
<file path=[Content_Types].xml><?xml version="1.0" encoding="utf-8"?>
<Types xmlns="http://schemas.openxmlformats.org/package/2006/content-types"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Грн." sheetId="1" state="visible" r:id="rId2"/>
    <sheet name=" Літо " sheetId="2" state="visible" r:id="rId3"/>
    <sheet name="Зима" sheetId="3" state="visible" r:id="rId4"/>
    <sheet name="Диски" sheetId="4" state="visible" r:id="rId5"/>
  </sheets>
  <definedNames>
    <definedName function="false" hidden="true" localSheetId="1" name="_xlnm._FilterDatabase" vbProcedure="false">' Літо '!$H$1:$H$2514</definedName>
    <definedName function="false" hidden="true" localSheetId="0" name="_xlnm._FilterDatabase" vbProcedure="false">'Грн.'!$D$2:$D$616</definedName>
    <definedName function="false" hidden="true" localSheetId="3" name="_xlnm._FilterDatabase" vbProcedure="false">Диски!$H$1:$H$2049</definedName>
    <definedName function="false" hidden="true" localSheetId="2" name="_xlnm._FilterDatabase" vbProcedure="false">Зима!$H$1:$H$1844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<sst xmlns="http://schemas.openxmlformats.org/spreadsheetml/2006/main" count="17778" uniqueCount="4069">
  <si>
    <t xml:space="preserve">СЕНТЯБРЬ</t>
  </si>
  <si>
    <t xml:space="preserve">  РАЗМЕР</t>
  </si>
  <si>
    <t xml:space="preserve">    ФИРМА</t>
  </si>
  <si>
    <t xml:space="preserve">     МОДЕЛЬ</t>
  </si>
  <si>
    <t xml:space="preserve">Кол-во на 31.</t>
  </si>
  <si>
    <t xml:space="preserve">Цена</t>
  </si>
  <si>
    <t xml:space="preserve">R 10</t>
  </si>
  <si>
    <t xml:space="preserve">5.00/R10</t>
  </si>
  <si>
    <t xml:space="preserve">Алтайский ШЗ</t>
  </si>
  <si>
    <t xml:space="preserve">В-19А ИНС-52</t>
  </si>
  <si>
    <t xml:space="preserve">Rosava </t>
  </si>
  <si>
    <t xml:space="preserve">Ф-292</t>
  </si>
  <si>
    <t xml:space="preserve">R 12</t>
  </si>
  <si>
    <t xml:space="preserve">135.80/R12</t>
  </si>
  <si>
    <t xml:space="preserve">Kama</t>
  </si>
  <si>
    <t xml:space="preserve">R 13</t>
  </si>
  <si>
    <t xml:space="preserve">155.65/R13</t>
  </si>
  <si>
    <t xml:space="preserve">Cordiant</t>
  </si>
  <si>
    <t xml:space="preserve">SNO MAXX PW-401</t>
  </si>
  <si>
    <t xml:space="preserve">155.70/R13</t>
  </si>
  <si>
    <t xml:space="preserve">Belshina </t>
  </si>
  <si>
    <t xml:space="preserve">Бел-391</t>
  </si>
  <si>
    <t xml:space="preserve">ROAD RUNNER PS-1</t>
  </si>
  <si>
    <t xml:space="preserve">WINTER DRIVE PW-1</t>
  </si>
  <si>
    <t xml:space="preserve">SNOWCROSS шип</t>
  </si>
  <si>
    <t xml:space="preserve">ВС-11</t>
  </si>
  <si>
    <t xml:space="preserve">TRL-501</t>
  </si>
  <si>
    <t xml:space="preserve">CONTIRE ARCTIC п.шип</t>
  </si>
  <si>
    <t xml:space="preserve">WQ-101</t>
  </si>
  <si>
    <t xml:space="preserve">ESTRADA SAMURAI 75Tп.шип</t>
  </si>
  <si>
    <t xml:space="preserve">БЦ-10</t>
  </si>
  <si>
    <t xml:space="preserve">155.80/R13</t>
  </si>
  <si>
    <t xml:space="preserve">Rossiya</t>
  </si>
  <si>
    <t xml:space="preserve">И-Л 143 М+S вездеход</t>
  </si>
  <si>
    <t xml:space="preserve">165.70/R13</t>
  </si>
  <si>
    <t xml:space="preserve">Бел-105</t>
  </si>
  <si>
    <t xml:space="preserve">БЦ-19</t>
  </si>
  <si>
    <t xml:space="preserve">ВС-48</t>
  </si>
  <si>
    <t xml:space="preserve">6.40/R13</t>
  </si>
  <si>
    <t xml:space="preserve">М-100</t>
  </si>
  <si>
    <t xml:space="preserve">6.45/R13</t>
  </si>
  <si>
    <t xml:space="preserve">АИ-168У вездеход</t>
  </si>
  <si>
    <t xml:space="preserve">Ф-328</t>
  </si>
  <si>
    <t xml:space="preserve">БЦС-1 с камерой</t>
  </si>
  <si>
    <t xml:space="preserve">175.70/R13</t>
  </si>
  <si>
    <t xml:space="preserve">Бел-100</t>
  </si>
  <si>
    <t xml:space="preserve">Бел-103</t>
  </si>
  <si>
    <t xml:space="preserve">Бел-253</t>
  </si>
  <si>
    <t xml:space="preserve">Бел-347 ARTM</t>
  </si>
  <si>
    <t xml:space="preserve">Бел-188</t>
  </si>
  <si>
    <t xml:space="preserve">Бел-188 М п.шип</t>
  </si>
  <si>
    <t xml:space="preserve">Comfort PS-400</t>
  </si>
  <si>
    <t xml:space="preserve">Polar SL PW-404</t>
  </si>
  <si>
    <t xml:space="preserve">Polar 2 PW-502</t>
  </si>
  <si>
    <t xml:space="preserve">SNOW CROSS PW-2 шип</t>
  </si>
  <si>
    <t xml:space="preserve">Sno-Max PW-401</t>
  </si>
  <si>
    <t xml:space="preserve">Sno-Max PW-401 шип</t>
  </si>
  <si>
    <t xml:space="preserve">Euro-129</t>
  </si>
  <si>
    <t xml:space="preserve">Euro-224</t>
  </si>
  <si>
    <t xml:space="preserve">Euro-НК-519 </t>
  </si>
  <si>
    <t xml:space="preserve">Euro-519 шип</t>
  </si>
  <si>
    <t xml:space="preserve">БЦ-20</t>
  </si>
  <si>
    <t xml:space="preserve">ВС-49</t>
  </si>
  <si>
    <t xml:space="preserve">SQ-201</t>
  </si>
  <si>
    <t xml:space="preserve">Premiorri Solazo</t>
  </si>
  <si>
    <t xml:space="preserve">ITEGRO</t>
  </si>
  <si>
    <t xml:space="preserve">ESTRADA SPRINT</t>
  </si>
  <si>
    <t xml:space="preserve">БЦ-6</t>
  </si>
  <si>
    <t xml:space="preserve">WQ-102</t>
  </si>
  <si>
    <t xml:space="preserve">Snowgard</t>
  </si>
  <si>
    <t xml:space="preserve">Snowgard шип</t>
  </si>
  <si>
    <t xml:space="preserve">ViaMaggiore</t>
  </si>
  <si>
    <t xml:space="preserve">ESTRADA SAMURAI 82Tп.шип</t>
  </si>
  <si>
    <t xml:space="preserve">ESTRADA SAMURAI шип</t>
  </si>
  <si>
    <t xml:space="preserve">Tunga</t>
  </si>
  <si>
    <t xml:space="preserve">Nordway-2 шип</t>
  </si>
  <si>
    <t xml:space="preserve">185.65/R13</t>
  </si>
  <si>
    <t xml:space="preserve">ВС-40</t>
  </si>
  <si>
    <t xml:space="preserve">R 14</t>
  </si>
  <si>
    <t xml:space="preserve">165.70/R14</t>
  </si>
  <si>
    <t xml:space="preserve">SOLAZO</t>
  </si>
  <si>
    <t xml:space="preserve">175.65/R14</t>
  </si>
  <si>
    <t xml:space="preserve">Amtel</t>
  </si>
  <si>
    <t xml:space="preserve">NordMaster K-239  </t>
  </si>
  <si>
    <t xml:space="preserve">БЕЛ-264</t>
  </si>
  <si>
    <t xml:space="preserve">Бел-227</t>
  </si>
  <si>
    <t xml:space="preserve">Бел-357 ARTM</t>
  </si>
  <si>
    <t xml:space="preserve">Sport 2 PS-501</t>
  </si>
  <si>
    <t xml:space="preserve">SNOW CROSS PW-2  шип</t>
  </si>
  <si>
    <t xml:space="preserve">Sno-Max PW-401 </t>
  </si>
  <si>
    <t xml:space="preserve">НК-519 п.шип</t>
  </si>
  <si>
    <t xml:space="preserve">НК-519 шип</t>
  </si>
  <si>
    <t xml:space="preserve">ВС-50</t>
  </si>
  <si>
    <t xml:space="preserve">SYRON EVEREST 1+</t>
  </si>
  <si>
    <t xml:space="preserve">NORDWAY TL шип</t>
  </si>
  <si>
    <t xml:space="preserve">175.70/R14</t>
  </si>
  <si>
    <t xml:space="preserve">Standart PS-405 TL</t>
  </si>
  <si>
    <t xml:space="preserve">Standart RG-1</t>
  </si>
  <si>
    <t xml:space="preserve">Polar TL шип.  </t>
  </si>
  <si>
    <t xml:space="preserve">EURO-519</t>
  </si>
  <si>
    <t xml:space="preserve">ВС-51</t>
  </si>
  <si>
    <t xml:space="preserve">185.60/R14</t>
  </si>
  <si>
    <t xml:space="preserve">Би-555</t>
  </si>
  <si>
    <t xml:space="preserve">БЕЛ-256</t>
  </si>
  <si>
    <t xml:space="preserve">BEL-267</t>
  </si>
  <si>
    <t xml:space="preserve">SNO-MAX PW-401</t>
  </si>
  <si>
    <t xml:space="preserve">505 Irbis п.шип</t>
  </si>
  <si>
    <t xml:space="preserve">505 Irbis шип</t>
  </si>
  <si>
    <t xml:space="preserve">EURO HK-519</t>
  </si>
  <si>
    <t xml:space="preserve">EURO HK-519 шип</t>
  </si>
  <si>
    <t xml:space="preserve">Megapolis </t>
  </si>
  <si>
    <t xml:space="preserve">WQ-102 п. Шип</t>
  </si>
  <si>
    <t xml:space="preserve">ZODIAK 2 PS-7</t>
  </si>
  <si>
    <t xml:space="preserve">NORDWAY TL</t>
  </si>
  <si>
    <t xml:space="preserve">185.65/R14</t>
  </si>
  <si>
    <t xml:space="preserve">Бел-94</t>
  </si>
  <si>
    <t xml:space="preserve">Бел-254</t>
  </si>
  <si>
    <t xml:space="preserve">Бел-147 ARTM</t>
  </si>
  <si>
    <t xml:space="preserve">Sport TL</t>
  </si>
  <si>
    <t xml:space="preserve">Euro-236</t>
  </si>
  <si>
    <t xml:space="preserve">KAMA EURO HK-129</t>
  </si>
  <si>
    <t xml:space="preserve">Euro-519 п.шип</t>
  </si>
  <si>
    <t xml:space="preserve">BC-40</t>
  </si>
  <si>
    <t xml:space="preserve">WQ-103</t>
  </si>
  <si>
    <t xml:space="preserve">ESTRADA SAMURAI 86T</t>
  </si>
  <si>
    <t xml:space="preserve">CAMINA PS-4   </t>
  </si>
  <si>
    <t xml:space="preserve">NORDWAY</t>
  </si>
  <si>
    <t xml:space="preserve">EXTREME CONTACT шип</t>
  </si>
  <si>
    <t xml:space="preserve">NORDWAY </t>
  </si>
  <si>
    <t xml:space="preserve">185.70/R14</t>
  </si>
  <si>
    <t xml:space="preserve">Бел-97 88Н</t>
  </si>
  <si>
    <t xml:space="preserve">Бел-274 88Т</t>
  </si>
  <si>
    <t xml:space="preserve">Бел-117</t>
  </si>
  <si>
    <t xml:space="preserve">Polar-2 PW-502</t>
  </si>
  <si>
    <t xml:space="preserve">Polar-2 PW-502 шип</t>
  </si>
  <si>
    <t xml:space="preserve">Euro-519</t>
  </si>
  <si>
    <t xml:space="preserve">Contyre</t>
  </si>
  <si>
    <t xml:space="preserve"> Arctic Ice </t>
  </si>
  <si>
    <t xml:space="preserve">195.70/R14</t>
  </si>
  <si>
    <t xml:space="preserve">205.70/R14</t>
  </si>
  <si>
    <t xml:space="preserve">Бел-59</t>
  </si>
  <si>
    <t xml:space="preserve">ОИ-297C-1 </t>
  </si>
  <si>
    <t xml:space="preserve">БЦ-16 </t>
  </si>
  <si>
    <t xml:space="preserve">БЦ-1 </t>
  </si>
  <si>
    <t xml:space="preserve">BC-46</t>
  </si>
  <si>
    <t xml:space="preserve">R 15</t>
  </si>
  <si>
    <t xml:space="preserve">185.55/R15</t>
  </si>
  <si>
    <t xml:space="preserve">185.60/R15</t>
  </si>
  <si>
    <t xml:space="preserve">БЕЛ-286</t>
  </si>
  <si>
    <t xml:space="preserve">БЕЛ-327 ARTM 84T</t>
  </si>
  <si>
    <t xml:space="preserve">БЕЛ-367 ARTM 88T</t>
  </si>
  <si>
    <t xml:space="preserve">Сordiant</t>
  </si>
  <si>
    <t xml:space="preserve">185.65/R15</t>
  </si>
  <si>
    <t xml:space="preserve">Бел-280</t>
  </si>
  <si>
    <t xml:space="preserve">Бел-287</t>
  </si>
  <si>
    <t xml:space="preserve">SNOW CROSS PW-2шип</t>
  </si>
  <si>
    <t xml:space="preserve">POLAR-2 PW-502</t>
  </si>
  <si>
    <t xml:space="preserve">Euro-519 </t>
  </si>
  <si>
    <t xml:space="preserve">SNOWGARD</t>
  </si>
  <si>
    <t xml:space="preserve">195.55/R15</t>
  </si>
  <si>
    <t xml:space="preserve">SPORT 3 PS-2</t>
  </si>
  <si>
    <t xml:space="preserve">EURO 519</t>
  </si>
  <si>
    <t xml:space="preserve">EURO 519 шип</t>
  </si>
  <si>
    <t xml:space="preserve">195.60/R15</t>
  </si>
  <si>
    <t xml:space="preserve">NordMaster 2 M-516 п.шип</t>
  </si>
  <si>
    <t xml:space="preserve">БЕЛ-281</t>
  </si>
  <si>
    <t xml:space="preserve">Бел-307</t>
  </si>
  <si>
    <t xml:space="preserve">Sport 3 PS-2</t>
  </si>
  <si>
    <t xml:space="preserve">Polar 2 PW-502 шип</t>
  </si>
  <si>
    <t xml:space="preserve">NORDWEY</t>
  </si>
  <si>
    <t xml:space="preserve">195.65/R15</t>
  </si>
  <si>
    <t xml:space="preserve">Бел-119</t>
  </si>
  <si>
    <t xml:space="preserve">Бел-261</t>
  </si>
  <si>
    <t xml:space="preserve">Бел-337 ARTM</t>
  </si>
  <si>
    <t xml:space="preserve">Бел-247</t>
  </si>
  <si>
    <t xml:space="preserve">SPORT 2 PS-501</t>
  </si>
  <si>
    <t xml:space="preserve">Nikola</t>
  </si>
  <si>
    <t xml:space="preserve">234 М+S</t>
  </si>
  <si>
    <t xml:space="preserve">195.65/R15 </t>
  </si>
  <si>
    <t xml:space="preserve">Кама-505 </t>
  </si>
  <si>
    <t xml:space="preserve">VIMERO AS M+S</t>
  </si>
  <si>
    <t xml:space="preserve">WQ-102 под шип</t>
  </si>
  <si>
    <t xml:space="preserve">Snowgard H</t>
  </si>
  <si>
    <t xml:space="preserve">ESTRADA SAMURAI 91T</t>
  </si>
  <si>
    <t xml:space="preserve">ViaMaggiore Z Plus</t>
  </si>
  <si>
    <t xml:space="preserve">205.60/R15</t>
  </si>
  <si>
    <t xml:space="preserve">205.65/R15</t>
  </si>
  <si>
    <t xml:space="preserve">Бел-99</t>
  </si>
  <si>
    <t xml:space="preserve">Бел-279</t>
  </si>
  <si>
    <t xml:space="preserve">Бел-297 АРТМ</t>
  </si>
  <si>
    <t xml:space="preserve">POLAR 2 PW-502</t>
  </si>
  <si>
    <t xml:space="preserve">MINTER DRIVE PW-1</t>
  </si>
  <si>
    <t xml:space="preserve">НК-132</t>
  </si>
  <si>
    <t xml:space="preserve">НК-519</t>
  </si>
  <si>
    <t xml:space="preserve">205.70/R15</t>
  </si>
  <si>
    <t xml:space="preserve">Бел-121</t>
  </si>
  <si>
    <t xml:space="preserve">ВС-54</t>
  </si>
  <si>
    <t xml:space="preserve">WQ-102 95S под шип</t>
  </si>
  <si>
    <t xml:space="preserve">205.75/R15</t>
  </si>
  <si>
    <t xml:space="preserve">Euro-228</t>
  </si>
  <si>
    <t xml:space="preserve">FORWARD</t>
  </si>
  <si>
    <t xml:space="preserve">SAFARI F-540 M+S</t>
  </si>
  <si>
    <t xml:space="preserve">515 шип</t>
  </si>
  <si>
    <t xml:space="preserve">215.75/R15</t>
  </si>
  <si>
    <t xml:space="preserve">NORTEC</t>
  </si>
  <si>
    <t xml:space="preserve">AT560 </t>
  </si>
  <si>
    <t xml:space="preserve">235.75/R15</t>
  </si>
  <si>
    <t xml:space="preserve">POLAR шип</t>
  </si>
  <si>
    <t xml:space="preserve">NORDWAY Tlшип</t>
  </si>
  <si>
    <t xml:space="preserve">ВС-55</t>
  </si>
  <si>
    <t xml:space="preserve">ВС-56 М+S</t>
  </si>
  <si>
    <t xml:space="preserve">И-520 Пилигрим</t>
  </si>
  <si>
    <t xml:space="preserve">FORWARD F-530 105P M+S</t>
  </si>
  <si>
    <t xml:space="preserve">FORWARD 540 105P M+S</t>
  </si>
  <si>
    <t xml:space="preserve">R 16</t>
  </si>
  <si>
    <t xml:space="preserve">175.80/R16</t>
  </si>
  <si>
    <t xml:space="preserve">ВЛИ 5/4 с камерой</t>
  </si>
  <si>
    <t xml:space="preserve">Voltyre</t>
  </si>
  <si>
    <t xml:space="preserve">КАМА</t>
  </si>
  <si>
    <t xml:space="preserve">И-511 с камерой</t>
  </si>
  <si>
    <t xml:space="preserve">ARCTIC 511 с камерой</t>
  </si>
  <si>
    <t xml:space="preserve">185.75/R16</t>
  </si>
  <si>
    <t xml:space="preserve">FORWARD F-232 92Q б/камеры</t>
  </si>
  <si>
    <t xml:space="preserve">232 б/камеры</t>
  </si>
  <si>
    <t xml:space="preserve">Кировский ШЗ</t>
  </si>
  <si>
    <t xml:space="preserve">К-156 б/камеры</t>
  </si>
  <si>
    <t xml:space="preserve">FD-156 б/камеры</t>
  </si>
  <si>
    <t xml:space="preserve">195.55/R16</t>
  </si>
  <si>
    <t xml:space="preserve">205.55/R16</t>
  </si>
  <si>
    <t xml:space="preserve">БЕЛ-262</t>
  </si>
  <si>
    <t xml:space="preserve">БЕЛ-317 ARTM</t>
  </si>
  <si>
    <t xml:space="preserve">Euro НК-129</t>
  </si>
  <si>
    <t xml:space="preserve">ViaMaggiore Z PLUS 91H</t>
  </si>
  <si>
    <t xml:space="preserve">WQ-102 шип</t>
  </si>
  <si>
    <t xml:space="preserve">SNOW CROSS шип</t>
  </si>
  <si>
    <t xml:space="preserve">SNOMAXX PW-401</t>
  </si>
  <si>
    <t xml:space="preserve">205.60/R16</t>
  </si>
  <si>
    <t xml:space="preserve">БЕЛ-282</t>
  </si>
  <si>
    <t xml:space="preserve">БЕЛ-277 ARTM</t>
  </si>
  <si>
    <t xml:space="preserve">ViaMaggior</t>
  </si>
  <si>
    <t xml:space="preserve">205.65/R16</t>
  </si>
  <si>
    <t xml:space="preserve">БЕЛ-270</t>
  </si>
  <si>
    <t xml:space="preserve">205.70/R16</t>
  </si>
  <si>
    <t xml:space="preserve">AS-701</t>
  </si>
  <si>
    <t xml:space="preserve">NOR TEC /Кама Флейм/</t>
  </si>
  <si>
    <t xml:space="preserve">Flame</t>
  </si>
  <si>
    <t xml:space="preserve">215.55/R16</t>
  </si>
  <si>
    <t xml:space="preserve">215.60/R16</t>
  </si>
  <si>
    <t xml:space="preserve">БЕЛ-257 ARTM 99T</t>
  </si>
  <si>
    <t xml:space="preserve">БЕЛ-283</t>
  </si>
  <si>
    <t xml:space="preserve">БЕЛ-377 95H</t>
  </si>
  <si>
    <t xml:space="preserve">215.65/R16</t>
  </si>
  <si>
    <t xml:space="preserve">Бел-205 102Q</t>
  </si>
  <si>
    <t xml:space="preserve">Бел-220 M+S 98H</t>
  </si>
  <si>
    <t xml:space="preserve">БЕЛ-217</t>
  </si>
  <si>
    <t xml:space="preserve">NOR TEC MT-540</t>
  </si>
  <si>
    <t xml:space="preserve">Кама</t>
  </si>
  <si>
    <t xml:space="preserve">215.70/R16</t>
  </si>
  <si>
    <t xml:space="preserve">VIAMAGGIORE Z PLUS 100H</t>
  </si>
  <si>
    <t xml:space="preserve">225.55/R16</t>
  </si>
  <si>
    <t xml:space="preserve">VIAMAGGIORE Z PLUS 99H</t>
  </si>
  <si>
    <t xml:space="preserve">225.75/R16</t>
  </si>
  <si>
    <t xml:space="preserve">235.60/R16</t>
  </si>
  <si>
    <t xml:space="preserve">Белшина</t>
  </si>
  <si>
    <t xml:space="preserve">БЕЛ-273</t>
  </si>
  <si>
    <t xml:space="preserve">235.70/R16</t>
  </si>
  <si>
    <t xml:space="preserve">R-17</t>
  </si>
  <si>
    <t xml:space="preserve">215.60/R17</t>
  </si>
  <si>
    <t xml:space="preserve">VIAMADGGIORE Z PLUS 96H</t>
  </si>
  <si>
    <t xml:space="preserve">R 13 C</t>
  </si>
  <si>
    <t xml:space="preserve">165.80/R13C</t>
  </si>
  <si>
    <t xml:space="preserve">TRL-502</t>
  </si>
  <si>
    <t xml:space="preserve">185.75/R13C</t>
  </si>
  <si>
    <t xml:space="preserve">R 14 C</t>
  </si>
  <si>
    <t xml:space="preserve">185/R14C</t>
  </si>
  <si>
    <t xml:space="preserve">БЦ-15</t>
  </si>
  <si>
    <t xml:space="preserve">ВС-44</t>
  </si>
  <si>
    <t xml:space="preserve">195/R14C</t>
  </si>
  <si>
    <t xml:space="preserve">Бел-78</t>
  </si>
  <si>
    <t xml:space="preserve">BUSINNES CA-1</t>
  </si>
  <si>
    <t xml:space="preserve">EURO 131</t>
  </si>
  <si>
    <t xml:space="preserve">205.80/R14C</t>
  </si>
  <si>
    <t xml:space="preserve">R 15 C</t>
  </si>
  <si>
    <t xml:space="preserve">195.70/R15C</t>
  </si>
  <si>
    <t xml:space="preserve">Бел-171</t>
  </si>
  <si>
    <t xml:space="preserve">BUSINESS CS-501</t>
  </si>
  <si>
    <t xml:space="preserve">УГКЩ-131</t>
  </si>
  <si>
    <t xml:space="preserve">Vimero-Van</t>
  </si>
  <si>
    <t xml:space="preserve">SNOWGARD VAN 104/102R</t>
  </si>
  <si>
    <t xml:space="preserve">205.70/R15C</t>
  </si>
  <si>
    <t xml:space="preserve">215.70/R15C</t>
  </si>
  <si>
    <t xml:space="preserve">BUSINESS CA-1</t>
  </si>
  <si>
    <t xml:space="preserve">215.90/R15C</t>
  </si>
  <si>
    <t xml:space="preserve">FORWARD F-510  M+S</t>
  </si>
  <si>
    <t xml:space="preserve">Я-245</t>
  </si>
  <si>
    <t xml:space="preserve">225.70/R15C</t>
  </si>
  <si>
    <t xml:space="preserve">Бел-77</t>
  </si>
  <si>
    <t xml:space="preserve">LTA-401</t>
  </si>
  <si>
    <t xml:space="preserve">SNOWGARD VAN 112/110</t>
  </si>
  <si>
    <t xml:space="preserve">8.40/R15C</t>
  </si>
  <si>
    <t xml:space="preserve">Kama </t>
  </si>
  <si>
    <t xml:space="preserve">Я-245-1 </t>
  </si>
  <si>
    <t xml:space="preserve">R 16 C</t>
  </si>
  <si>
    <t xml:space="preserve">7.50/R16C</t>
  </si>
  <si>
    <t xml:space="preserve">Днепропетровский ШЗ</t>
  </si>
  <si>
    <t xml:space="preserve">ДТ-100</t>
  </si>
  <si>
    <t xml:space="preserve">175/R16C</t>
  </si>
  <si>
    <t xml:space="preserve">Би-522 б/камеры</t>
  </si>
  <si>
    <t xml:space="preserve">185.75/R16C</t>
  </si>
  <si>
    <t xml:space="preserve">FORWARD 301 б/камеры</t>
  </si>
  <si>
    <t xml:space="preserve">FORWARD 156 б.камеры</t>
  </si>
  <si>
    <t xml:space="preserve">FORWARD PROF 600 с камер</t>
  </si>
  <si>
    <t xml:space="preserve">Бел-109 б/камеры</t>
  </si>
  <si>
    <t xml:space="preserve">Бел-293 б/камеры</t>
  </si>
  <si>
    <t xml:space="preserve">BUSINESS CA-1 б/камерная</t>
  </si>
  <si>
    <t xml:space="preserve">LTW-301</t>
  </si>
  <si>
    <t xml:space="preserve">БЦ-24</t>
  </si>
  <si>
    <t xml:space="preserve">VS-22 c/камерой</t>
  </si>
  <si>
    <t xml:space="preserve">НК-131</t>
  </si>
  <si>
    <t xml:space="preserve">НК-520</t>
  </si>
  <si>
    <t xml:space="preserve">НК-520 шип</t>
  </si>
  <si>
    <t xml:space="preserve">195.75/R16C</t>
  </si>
  <si>
    <t xml:space="preserve">БЕЛ-303</t>
  </si>
  <si>
    <t xml:space="preserve">BUSINESS CА-1</t>
  </si>
  <si>
    <t xml:space="preserve">SNOWGARD VAN 107/105R</t>
  </si>
  <si>
    <t xml:space="preserve">BC-44</t>
  </si>
  <si>
    <t xml:space="preserve">205.65/R16C</t>
  </si>
  <si>
    <t xml:space="preserve">205.75/R16C</t>
  </si>
  <si>
    <t xml:space="preserve">Euro-131</t>
  </si>
  <si>
    <t xml:space="preserve">BUSINNES CS-501</t>
  </si>
  <si>
    <t xml:space="preserve">215.65/R16C</t>
  </si>
  <si>
    <t xml:space="preserve">215.75/R16C</t>
  </si>
  <si>
    <t xml:space="preserve">БЕЛ-313</t>
  </si>
  <si>
    <t xml:space="preserve">БЦ-34</t>
  </si>
  <si>
    <t xml:space="preserve">225.65/R16C</t>
  </si>
  <si>
    <t xml:space="preserve">225.75/R16C</t>
  </si>
  <si>
    <t xml:space="preserve">FORWARD 218</t>
  </si>
  <si>
    <t xml:space="preserve">VIMERO- VAN</t>
  </si>
  <si>
    <t xml:space="preserve">ВС-26</t>
  </si>
  <si>
    <t xml:space="preserve">И-359</t>
  </si>
  <si>
    <t xml:space="preserve">K-152 Бычок б.камеры</t>
  </si>
  <si>
    <t xml:space="preserve">235.65/R16C</t>
  </si>
  <si>
    <t xml:space="preserve">R 17.5</t>
  </si>
  <si>
    <t xml:space="preserve">215.75/R17.5</t>
  </si>
  <si>
    <t xml:space="preserve">Бел-169</t>
  </si>
  <si>
    <t xml:space="preserve">СЕЛЬХОЗ</t>
  </si>
  <si>
    <t xml:space="preserve">6.50/R16C</t>
  </si>
  <si>
    <t xml:space="preserve">Я-387 передние</t>
  </si>
  <si>
    <t xml:space="preserve">TR-101</t>
  </si>
  <si>
    <t xml:space="preserve">7,50/R20</t>
  </si>
  <si>
    <t xml:space="preserve">B-103</t>
  </si>
  <si>
    <t xml:space="preserve">В-103А передние T40</t>
  </si>
  <si>
    <t xml:space="preserve">8,3/R20</t>
  </si>
  <si>
    <t xml:space="preserve">B-105A малое ведущее</t>
  </si>
  <si>
    <t xml:space="preserve">9,00/R20(240R508)</t>
  </si>
  <si>
    <t xml:space="preserve">БЕЛ-311 8слоев</t>
  </si>
  <si>
    <t xml:space="preserve">VL-45</t>
  </si>
  <si>
    <t xml:space="preserve">10,00/75-15,3</t>
  </si>
  <si>
    <t xml:space="preserve">ALLIANCE</t>
  </si>
  <si>
    <t xml:space="preserve">A-320</t>
  </si>
  <si>
    <t xml:space="preserve">11,2/R20</t>
  </si>
  <si>
    <t xml:space="preserve">Ф-35 ведущее МТЗ</t>
  </si>
  <si>
    <t xml:space="preserve">8Ф-35 ведущее МТЗ</t>
  </si>
  <si>
    <t xml:space="preserve">13,6/R20</t>
  </si>
  <si>
    <t xml:space="preserve">БЕЛ-17</t>
  </si>
  <si>
    <t xml:space="preserve">13,6/R38</t>
  </si>
  <si>
    <t xml:space="preserve">Я-166</t>
  </si>
  <si>
    <t xml:space="preserve">15,5/R38</t>
  </si>
  <si>
    <t xml:space="preserve">Ф2AD МТЗ ЮМЗ ведущее</t>
  </si>
  <si>
    <t xml:space="preserve">Ф-2А </t>
  </si>
  <si>
    <t xml:space="preserve">9,5/R32</t>
  </si>
  <si>
    <t xml:space="preserve">В-110 ведущее Т-125</t>
  </si>
  <si>
    <t xml:space="preserve">9,00/R16</t>
  </si>
  <si>
    <t xml:space="preserve">Я-234А</t>
  </si>
  <si>
    <t xml:space="preserve">АС-8 прицеп</t>
  </si>
  <si>
    <t xml:space="preserve">IM-14</t>
  </si>
  <si>
    <t xml:space="preserve">21,3/R24</t>
  </si>
  <si>
    <t xml:space="preserve">ИЯВ-79 ведущие комб Т150</t>
  </si>
  <si>
    <t xml:space="preserve">ГРУЗОВАЯ</t>
  </si>
  <si>
    <t xml:space="preserve">8.25/R20 (240Р508)</t>
  </si>
  <si>
    <t xml:space="preserve">У-2 10сл                 </t>
  </si>
  <si>
    <t xml:space="preserve">У-2 10сл                </t>
  </si>
  <si>
    <t xml:space="preserve">Омская</t>
  </si>
  <si>
    <t xml:space="preserve">9.00/R20 (260Р508)</t>
  </si>
  <si>
    <t xml:space="preserve">И-Н142Б 136/133 12сл.</t>
  </si>
  <si>
    <t xml:space="preserve">ИН-142 Б      14сл.</t>
  </si>
  <si>
    <t xml:space="preserve">ИН-142 БМ          12сл.</t>
  </si>
  <si>
    <t xml:space="preserve">ИН-142 БМ        12сл.</t>
  </si>
  <si>
    <t xml:space="preserve">ИН-142 БМ        14сл.</t>
  </si>
  <si>
    <t xml:space="preserve">O-40БМ               12сл</t>
  </si>
  <si>
    <t xml:space="preserve">ИН-142 БМ       12сл.</t>
  </si>
  <si>
    <t xml:space="preserve">ИН-142 БМ       14сл.</t>
  </si>
  <si>
    <t xml:space="preserve">10.00/R20 (280Р508)</t>
  </si>
  <si>
    <t xml:space="preserve">БЦИ-185</t>
  </si>
  <si>
    <t xml:space="preserve">БЦ-38</t>
  </si>
  <si>
    <t xml:space="preserve">281 У-4 ромб</t>
  </si>
  <si>
    <t xml:space="preserve">ИА-185                16 сл</t>
  </si>
  <si>
    <t xml:space="preserve">БЕЛ-114              16сл</t>
  </si>
  <si>
    <t xml:space="preserve">БЕЛ-114 18сл</t>
  </si>
  <si>
    <t xml:space="preserve">11.00/R20 (300Р508)</t>
  </si>
  <si>
    <t xml:space="preserve">И-111АМ       16 сл</t>
  </si>
  <si>
    <t xml:space="preserve">И-68А            16сл</t>
  </si>
  <si>
    <t xml:space="preserve">12.00/R20 (320Р508)</t>
  </si>
  <si>
    <t xml:space="preserve">ИД-304          16 сл</t>
  </si>
  <si>
    <t xml:space="preserve">ИД-304   16 сл</t>
  </si>
  <si>
    <t xml:space="preserve">ИД-304         16 сл ромб</t>
  </si>
  <si>
    <t xml:space="preserve">И-368</t>
  </si>
  <si>
    <t xml:space="preserve">ДИСКИ</t>
  </si>
  <si>
    <t xml:space="preserve">Диск колеса </t>
  </si>
  <si>
    <t xml:space="preserve">4,0J-12 3Х98</t>
  </si>
  <si>
    <t xml:space="preserve">ОКА</t>
  </si>
  <si>
    <t xml:space="preserve">4,5J-13H2</t>
  </si>
  <si>
    <t xml:space="preserve">Таврия</t>
  </si>
  <si>
    <t xml:space="preserve">Таврия ДК</t>
  </si>
  <si>
    <t xml:space="preserve">DAEWOO MATIZ</t>
  </si>
  <si>
    <t xml:space="preserve">5J-13H2 4х114,3 ЕТ45</t>
  </si>
  <si>
    <t xml:space="preserve">Чери</t>
  </si>
  <si>
    <t xml:space="preserve">5J-13H2</t>
  </si>
  <si>
    <t xml:space="preserve">ВАЗ-2106</t>
  </si>
  <si>
    <t xml:space="preserve">ВАЗ-2106 Евродиск</t>
  </si>
  <si>
    <t xml:space="preserve">ВАЗ-2106 ДК</t>
  </si>
  <si>
    <t xml:space="preserve">ВАЗ 2108,09</t>
  </si>
  <si>
    <t xml:space="preserve">ВАЗ 2108,09 ДК</t>
  </si>
  <si>
    <t xml:space="preserve">5.5J-13H2</t>
  </si>
  <si>
    <t xml:space="preserve">5J-14H2</t>
  </si>
  <si>
    <t xml:space="preserve">ВАЗ-2110 </t>
  </si>
  <si>
    <t xml:space="preserve">5.5J-14H2</t>
  </si>
  <si>
    <t xml:space="preserve">ВАЗ-2110 серые-харьков</t>
  </si>
  <si>
    <t xml:space="preserve">OPEL DAEWOO черный</t>
  </si>
  <si>
    <t xml:space="preserve">OPEL DAEWOO металик</t>
  </si>
  <si>
    <t xml:space="preserve">5.5J-14H2 4x100 ET49</t>
  </si>
  <si>
    <t xml:space="preserve">R14</t>
  </si>
  <si>
    <t xml:space="preserve">LANOS</t>
  </si>
  <si>
    <t xml:space="preserve">4J-14H2 4x100 ET45</t>
  </si>
  <si>
    <t xml:space="preserve">АВЕО черный</t>
  </si>
  <si>
    <t xml:space="preserve">OPEL DAEWOO ДК</t>
  </si>
  <si>
    <t xml:space="preserve">4хJ-14H2 4х100 ЕТ43</t>
  </si>
  <si>
    <t xml:space="preserve">RENO LOGAN</t>
  </si>
  <si>
    <t xml:space="preserve">Волга ГАЗ-2410</t>
  </si>
  <si>
    <t xml:space="preserve">Волга ГАЗ-3102</t>
  </si>
  <si>
    <t xml:space="preserve">5x15 5x108 45 58 White</t>
  </si>
  <si>
    <t xml:space="preserve">Волга ГАЗ-3110</t>
  </si>
  <si>
    <t xml:space="preserve">6.0J-16H2 6X170 ET105</t>
  </si>
  <si>
    <t xml:space="preserve">Волга ГАЗ-3302 ДК металик</t>
  </si>
  <si>
    <t xml:space="preserve">6,J-15H2 5x139,7 ET48</t>
  </si>
  <si>
    <t xml:space="preserve">НИВА ШЕВРОЛЕ</t>
  </si>
  <si>
    <t xml:space="preserve">R15</t>
  </si>
  <si>
    <t xml:space="preserve">СПРИНТЕР  </t>
  </si>
  <si>
    <t xml:space="preserve">5J-16H2</t>
  </si>
  <si>
    <t xml:space="preserve">НИВА 2121</t>
  </si>
  <si>
    <t xml:space="preserve">5.5J-16H2</t>
  </si>
  <si>
    <t xml:space="preserve">ГАЗЕЛЬ Харьков серебро</t>
  </si>
  <si>
    <t xml:space="preserve">ГАЗЕЛЬ</t>
  </si>
  <si>
    <t xml:space="preserve">ГАЗЕЛЬ ДК</t>
  </si>
  <si>
    <t xml:space="preserve">ГАЗЕЛЬ кр.отверстия</t>
  </si>
  <si>
    <t xml:space="preserve">5.5J-16H2 3302</t>
  </si>
  <si>
    <t xml:space="preserve">ИВЕКО ДК серебро</t>
  </si>
  <si>
    <t xml:space="preserve">6,5J-16H2</t>
  </si>
  <si>
    <t xml:space="preserve">СОБОЛЬ</t>
  </si>
  <si>
    <t xml:space="preserve">6,5J-16H2 6x205 ET123</t>
  </si>
  <si>
    <t xml:space="preserve">ЗИЛ 5301 (БЫЧОК)</t>
  </si>
  <si>
    <t xml:space="preserve">6,0J-15 5x130 ET75</t>
  </si>
  <si>
    <t xml:space="preserve">СПРИНТЕР ДК</t>
  </si>
  <si>
    <t xml:space="preserve">6,5J-16 6x130 ET62 </t>
  </si>
  <si>
    <t xml:space="preserve">СПРИНТЕР </t>
  </si>
  <si>
    <t xml:space="preserve">6,5J-15 6x130 ET62 </t>
  </si>
  <si>
    <t xml:space="preserve">СПРИНТЕР германия</t>
  </si>
  <si>
    <t xml:space="preserve">BETTER</t>
  </si>
  <si>
    <t xml:space="preserve">6.00-17.5 </t>
  </si>
  <si>
    <t xml:space="preserve">под футорку</t>
  </si>
  <si>
    <t xml:space="preserve">6.00-17.5 ET-127 6x205 DIA-161</t>
  </si>
  <si>
    <t xml:space="preserve">БОГДАН </t>
  </si>
  <si>
    <t xml:space="preserve">6.00-17.5 ЕТ-127 6х205</t>
  </si>
  <si>
    <t xml:space="preserve">ЭТАЛОН ДК</t>
  </si>
  <si>
    <t xml:space="preserve">6,00Х17,5 ЕТ127 6х222 DIA-164</t>
  </si>
  <si>
    <t xml:space="preserve">ЭТАЛОН </t>
  </si>
  <si>
    <t xml:space="preserve">КАПИТАН</t>
  </si>
  <si>
    <t xml:space="preserve">6,00х17,5 ЕТ115 6х245</t>
  </si>
  <si>
    <t xml:space="preserve">MAN/ATEGO</t>
  </si>
  <si>
    <t xml:space="preserve">6,75х17,5 ЕТ140 6х245</t>
  </si>
  <si>
    <t xml:space="preserve">MAN </t>
  </si>
  <si>
    <t xml:space="preserve">6,75Х17,5 ЕТ128 6X205</t>
  </si>
  <si>
    <t xml:space="preserve">МЕРС под конус</t>
  </si>
  <si>
    <t xml:space="preserve">6,00Х17,5 ЕТ127 6X205</t>
  </si>
  <si>
    <t xml:space="preserve">JANTSA</t>
  </si>
  <si>
    <t xml:space="preserve">6,75Х17,5 ЕТ140 6x245,2</t>
  </si>
  <si>
    <t xml:space="preserve">8,25х22,5</t>
  </si>
  <si>
    <t xml:space="preserve">JANTSA MAN прицеп</t>
  </si>
  <si>
    <t xml:space="preserve">7,50Х22,5</t>
  </si>
  <si>
    <t xml:space="preserve">КАМАЗ</t>
  </si>
  <si>
    <t xml:space="preserve">КАМАЗ/ под клин ДК</t>
  </si>
  <si>
    <t xml:space="preserve">8,25Х22,5</t>
  </si>
  <si>
    <t xml:space="preserve">МАЗ\КАМАЗ под клин</t>
  </si>
  <si>
    <t xml:space="preserve">9,00х22,5 ET175</t>
  </si>
  <si>
    <t xml:space="preserve">11.75x22,5 ЕТ120</t>
  </si>
  <si>
    <t xml:space="preserve">РУЛЬ ПРИЦЕП</t>
  </si>
  <si>
    <t xml:space="preserve">STAHLRADER</t>
  </si>
  <si>
    <t xml:space="preserve">11.75x22,5 ЕТ0 усиленый</t>
  </si>
  <si>
    <t xml:space="preserve">ПРИЦЕП БАРАБАН</t>
  </si>
  <si>
    <t xml:space="preserve">11.75x22,5 ЕТ-0 10х335</t>
  </si>
  <si>
    <t xml:space="preserve">ПРИЦЕП БАРАБАН ДК</t>
  </si>
  <si>
    <t xml:space="preserve">Talas by Germany</t>
  </si>
  <si>
    <t xml:space="preserve">РУЛЬ</t>
  </si>
  <si>
    <t xml:space="preserve">11.75x22,5 ET120 10x335</t>
  </si>
  <si>
    <t xml:space="preserve">РУЛЬ ДИСК </t>
  </si>
  <si>
    <t xml:space="preserve">11.75x22,5 ЕТ120 10х335</t>
  </si>
  <si>
    <t xml:space="preserve">ДК прицеп диск</t>
  </si>
  <si>
    <t xml:space="preserve">R15 4х100</t>
  </si>
  <si>
    <t xml:space="preserve">R16 КИТАЙ</t>
  </si>
  <si>
    <t xml:space="preserve">ТАТА</t>
  </si>
  <si>
    <t xml:space="preserve">HONDA</t>
  </si>
  <si>
    <t xml:space="preserve">R15 5X114</t>
  </si>
  <si>
    <t xml:space="preserve">NISSAN</t>
  </si>
  <si>
    <t xml:space="preserve">1500$</t>
  </si>
  <si>
    <t xml:space="preserve">HYNDAY ARCENT</t>
  </si>
  <si>
    <t xml:space="preserve">R15 4x100 D54</t>
  </si>
  <si>
    <t xml:space="preserve">TOYOTO R17 6x139</t>
  </si>
  <si>
    <t xml:space="preserve">Ободная лента</t>
  </si>
  <si>
    <t xml:space="preserve">6,50R/16</t>
  </si>
  <si>
    <t xml:space="preserve">10,00 R20</t>
  </si>
  <si>
    <t xml:space="preserve">Китай</t>
  </si>
  <si>
    <t xml:space="preserve">6.7-R20</t>
  </si>
  <si>
    <t xml:space="preserve">260-508 узкий</t>
  </si>
  <si>
    <t xml:space="preserve">320-508/7,7R20/ шир</t>
  </si>
  <si>
    <t xml:space="preserve">Камера </t>
  </si>
  <si>
    <t xml:space="preserve">3.50-10</t>
  </si>
  <si>
    <t xml:space="preserve">4,50-10</t>
  </si>
  <si>
    <t xml:space="preserve">Сельхоз</t>
  </si>
  <si>
    <t xml:space="preserve">R-13-0,1</t>
  </si>
  <si>
    <t xml:space="preserve">R-13-0,2</t>
  </si>
  <si>
    <t xml:space="preserve">R-14-0,1</t>
  </si>
  <si>
    <t xml:space="preserve">R-14-0,2</t>
  </si>
  <si>
    <t xml:space="preserve">R-15-01</t>
  </si>
  <si>
    <t xml:space="preserve">R-15</t>
  </si>
  <si>
    <t xml:space="preserve">УАЗ</t>
  </si>
  <si>
    <t xml:space="preserve">R-16 БШК</t>
  </si>
  <si>
    <t xml:space="preserve">R-16 ROSSAVA</t>
  </si>
  <si>
    <t xml:space="preserve">R-16</t>
  </si>
  <si>
    <t xml:space="preserve">6.95/R16</t>
  </si>
  <si>
    <t xml:space="preserve">Россава метал.штуцер</t>
  </si>
  <si>
    <t xml:space="preserve">195.75/R16</t>
  </si>
  <si>
    <t xml:space="preserve">225.75.16</t>
  </si>
  <si>
    <t xml:space="preserve">Бычок</t>
  </si>
  <si>
    <t xml:space="preserve">9,00-16</t>
  </si>
  <si>
    <t xml:space="preserve">КИТАЙ</t>
  </si>
  <si>
    <t xml:space="preserve">15,5R38</t>
  </si>
  <si>
    <t xml:space="preserve">Алтай  </t>
  </si>
  <si>
    <t xml:space="preserve">Примечания</t>
  </si>
  <si>
    <t xml:space="preserve">Индекс нагрузки</t>
  </si>
  <si>
    <t xml:space="preserve">Индекс скорости</t>
  </si>
  <si>
    <t xml:space="preserve">Произво-дитель</t>
  </si>
  <si>
    <t xml:space="preserve">Кол-во на 31</t>
  </si>
  <si>
    <t xml:space="preserve">Цена </t>
  </si>
  <si>
    <t xml:space="preserve">FALKEN</t>
  </si>
  <si>
    <t xml:space="preserve">SN-807</t>
  </si>
  <si>
    <t xml:space="preserve">DEBICA </t>
  </si>
  <si>
    <t xml:space="preserve">PASSIO 2 73Т</t>
  </si>
  <si>
    <t xml:space="preserve">FEDERAL</t>
  </si>
  <si>
    <t xml:space="preserve">SUPER STEEL 657</t>
  </si>
  <si>
    <t xml:space="preserve">225/55 R17</t>
  </si>
  <si>
    <t xml:space="preserve">ACCELERA</t>
  </si>
  <si>
    <t xml:space="preserve">Snow (X-Grip) 101V XL</t>
  </si>
  <si>
    <t xml:space="preserve">T</t>
  </si>
  <si>
    <t xml:space="preserve">Индонезия</t>
  </si>
  <si>
    <t xml:space="preserve">TRIANGLE</t>
  </si>
  <si>
    <t xml:space="preserve">TR-256</t>
  </si>
  <si>
    <t xml:space="preserve">ACHILLES</t>
  </si>
  <si>
    <t xml:space="preserve">PLATINUM 7 75H</t>
  </si>
  <si>
    <t xml:space="preserve">BARUM</t>
  </si>
  <si>
    <t xml:space="preserve">BRILLANTIS 2  </t>
  </si>
  <si>
    <t xml:space="preserve">Чехия</t>
  </si>
  <si>
    <t xml:space="preserve">NAVIGATOR 2</t>
  </si>
  <si>
    <t xml:space="preserve">KORMORAN</t>
  </si>
  <si>
    <t xml:space="preserve">IMPULSER</t>
  </si>
  <si>
    <t xml:space="preserve">LASSA</t>
  </si>
  <si>
    <t xml:space="preserve">ATRACTA </t>
  </si>
  <si>
    <t xml:space="preserve">Турция</t>
  </si>
  <si>
    <t xml:space="preserve">LAUFENN</t>
  </si>
  <si>
    <t xml:space="preserve">LK-41 75T</t>
  </si>
  <si>
    <t xml:space="preserve">LEAO</t>
  </si>
  <si>
    <t xml:space="preserve">NOVA-FORSE GP </t>
  </si>
  <si>
    <t xml:space="preserve">IGREEN 75T M+S</t>
  </si>
  <si>
    <t xml:space="preserve">M+S</t>
  </si>
  <si>
    <t xml:space="preserve">MATADOR</t>
  </si>
  <si>
    <t xml:space="preserve">MP 47 HECTORA 3 </t>
  </si>
  <si>
    <t xml:space="preserve">Словения</t>
  </si>
  <si>
    <t xml:space="preserve">MIRAGE</t>
  </si>
  <si>
    <t xml:space="preserve">MR-162 </t>
  </si>
  <si>
    <t xml:space="preserve">TR-928</t>
  </si>
  <si>
    <t xml:space="preserve">TOYO</t>
  </si>
  <si>
    <t xml:space="preserve">NE-03</t>
  </si>
  <si>
    <t xml:space="preserve">MP 16 STELLA 2 </t>
  </si>
  <si>
    <t xml:space="preserve">MP-47 79T </t>
  </si>
  <si>
    <t xml:space="preserve">MICHELIN</t>
  </si>
  <si>
    <t xml:space="preserve">ENERGY E3B 1 </t>
  </si>
  <si>
    <t xml:space="preserve">Англия</t>
  </si>
  <si>
    <t xml:space="preserve">ENERGY XM1 </t>
  </si>
  <si>
    <t xml:space="preserve">Колумбия</t>
  </si>
  <si>
    <t xml:space="preserve">TE-301 </t>
  </si>
  <si>
    <t xml:space="preserve">PLATINUM  82H отбойник</t>
  </si>
  <si>
    <t xml:space="preserve">BRILLIANTIS 2 </t>
  </si>
  <si>
    <t xml:space="preserve">BRIDGESTONE</t>
  </si>
  <si>
    <t xml:space="preserve">MY-02 82H </t>
  </si>
  <si>
    <t xml:space="preserve">PASSIO 2</t>
  </si>
  <si>
    <t xml:space="preserve">FULDA</t>
  </si>
  <si>
    <t xml:space="preserve">ECOCONTROL </t>
  </si>
  <si>
    <t xml:space="preserve">HANKOOK</t>
  </si>
  <si>
    <t xml:space="preserve">K-415 82H </t>
  </si>
  <si>
    <t xml:space="preserve">OPTIMO K715 82Т </t>
  </si>
  <si>
    <t xml:space="preserve">Корея</t>
  </si>
  <si>
    <t xml:space="preserve">ATRACTA</t>
  </si>
  <si>
    <t xml:space="preserve">LK-41 82T</t>
  </si>
  <si>
    <t xml:space="preserve">MP-47 HECTORA 3  </t>
  </si>
  <si>
    <t xml:space="preserve">MAXXIS</t>
  </si>
  <si>
    <t xml:space="preserve">MP-10 82H </t>
  </si>
  <si>
    <t xml:space="preserve">NEXEN</t>
  </si>
  <si>
    <t xml:space="preserve">NBLUE HD PLUS 82T </t>
  </si>
  <si>
    <t xml:space="preserve">RIKEN</t>
  </si>
  <si>
    <t xml:space="preserve">ROAD 82T </t>
  </si>
  <si>
    <t xml:space="preserve">RODSTONE</t>
  </si>
  <si>
    <t xml:space="preserve">CP-661 </t>
  </si>
  <si>
    <t xml:space="preserve">SUNWIDE</t>
  </si>
  <si>
    <t xml:space="preserve">RS-ZERO </t>
  </si>
  <si>
    <t xml:space="preserve">TAURUS</t>
  </si>
  <si>
    <t xml:space="preserve">TOURING-301 </t>
  </si>
  <si>
    <t xml:space="preserve">Сербия</t>
  </si>
  <si>
    <t xml:space="preserve">Япония</t>
  </si>
  <si>
    <t xml:space="preserve">B-250</t>
  </si>
  <si>
    <t xml:space="preserve">185.70/R13</t>
  </si>
  <si>
    <t xml:space="preserve">PLATINUM-2 86H</t>
  </si>
  <si>
    <t xml:space="preserve">BRILLANTIS 2 86T </t>
  </si>
  <si>
    <t xml:space="preserve">Румыния</t>
  </si>
  <si>
    <t xml:space="preserve">OPTIMO K415</t>
  </si>
  <si>
    <t xml:space="preserve">ATRACTA 86T</t>
  </si>
  <si>
    <t xml:space="preserve">H</t>
  </si>
  <si>
    <t xml:space="preserve">155.65/R14</t>
  </si>
  <si>
    <t xml:space="preserve">BRILLANTIS 2 75T</t>
  </si>
  <si>
    <t xml:space="preserve">MP-16 75Т  </t>
  </si>
  <si>
    <t xml:space="preserve">MP-47 75T</t>
  </si>
  <si>
    <t xml:space="preserve">165.60/R14</t>
  </si>
  <si>
    <t xml:space="preserve">Португалия</t>
  </si>
  <si>
    <t xml:space="preserve">165.65/R14</t>
  </si>
  <si>
    <t xml:space="preserve">ECOCONTROL</t>
  </si>
  <si>
    <t xml:space="preserve">MP-16</t>
  </si>
  <si>
    <t xml:space="preserve">BRILLANTIS 2</t>
  </si>
  <si>
    <t xml:space="preserve">NAVIGATOR 2 82T </t>
  </si>
  <si>
    <t xml:space="preserve">DIPLOMAT</t>
  </si>
  <si>
    <t xml:space="preserve">ECOCONTROL 81T</t>
  </si>
  <si>
    <t xml:space="preserve">GREENWAYS 81T</t>
  </si>
  <si>
    <t xml:space="preserve">MP 16 STELLA 2 81T </t>
  </si>
  <si>
    <t xml:space="preserve">MP-47 81T </t>
  </si>
  <si>
    <t xml:space="preserve">ENERGY XM2</t>
  </si>
  <si>
    <t xml:space="preserve">SAVA</t>
  </si>
  <si>
    <t xml:space="preserve">PERFECTA</t>
  </si>
  <si>
    <t xml:space="preserve">RS-ZERO 81T</t>
  </si>
  <si>
    <t xml:space="preserve">TE-301 85T</t>
  </si>
  <si>
    <t xml:space="preserve">PLATINUM  </t>
  </si>
  <si>
    <t xml:space="preserve">EP-150 82H</t>
  </si>
  <si>
    <t xml:space="preserve">CONTINENTAL</t>
  </si>
  <si>
    <t xml:space="preserve">PREMIUM CONTACT 5 82Т</t>
  </si>
  <si>
    <t xml:space="preserve">PASSIO 2 82T</t>
  </si>
  <si>
    <t xml:space="preserve">турция</t>
  </si>
  <si>
    <t xml:space="preserve">NAVIGATOR 2 82Т </t>
  </si>
  <si>
    <t xml:space="preserve">Польша</t>
  </si>
  <si>
    <t xml:space="preserve">ECOCONTROL 82T </t>
  </si>
  <si>
    <t xml:space="preserve">K-425 82T</t>
  </si>
  <si>
    <t xml:space="preserve">KLEBER</t>
  </si>
  <si>
    <t xml:space="preserve">DYNAXER HP3 82Т </t>
  </si>
  <si>
    <t xml:space="preserve">KUMHO</t>
  </si>
  <si>
    <t xml:space="preserve">TA-31</t>
  </si>
  <si>
    <t xml:space="preserve">IMPETUS REVO</t>
  </si>
  <si>
    <t xml:space="preserve">NOVA-FORSE HP 82H</t>
  </si>
  <si>
    <t xml:space="preserve">NOVA-FORSE GP 82T</t>
  </si>
  <si>
    <t xml:space="preserve">MP 16 STELLA 2</t>
  </si>
  <si>
    <t xml:space="preserve">MP-47 HECTORA 3 82T </t>
  </si>
  <si>
    <t xml:space="preserve">MP-61 M+S</t>
  </si>
  <si>
    <t xml:space="preserve">NBLUE HD PLUS 86H </t>
  </si>
  <si>
    <t xml:space="preserve">SAILUN</t>
  </si>
  <si>
    <t xml:space="preserve">ATREZZO ECO 82T</t>
  </si>
  <si>
    <t xml:space="preserve">RS-ZERO 82H</t>
  </si>
  <si>
    <t xml:space="preserve">PROXES CF-2 82H</t>
  </si>
  <si>
    <t xml:space="preserve">NE-03 </t>
  </si>
  <si>
    <t xml:space="preserve">TE-301 86H</t>
  </si>
  <si>
    <t xml:space="preserve">UNIROJAL</t>
  </si>
  <si>
    <t xml:space="preserve">RAIN EXPERT 3 82T</t>
  </si>
  <si>
    <t xml:space="preserve">ECOPIA P-EP150</t>
  </si>
  <si>
    <t xml:space="preserve">ECO CONTACT 5 84T</t>
  </si>
  <si>
    <t xml:space="preserve">K-425 84T</t>
  </si>
  <si>
    <t xml:space="preserve">K-715 84T</t>
  </si>
  <si>
    <t xml:space="preserve">ATRACTA 84T</t>
  </si>
  <si>
    <t xml:space="preserve">LK-41 84T XL</t>
  </si>
  <si>
    <t xml:space="preserve">NOVA FORSE GP 84T</t>
  </si>
  <si>
    <t xml:space="preserve">MP-47 HECTORA 3 84T </t>
  </si>
  <si>
    <t xml:space="preserve">словения</t>
  </si>
  <si>
    <t xml:space="preserve">MP-10 84H</t>
  </si>
  <si>
    <t xml:space="preserve">MR-162 84T</t>
  </si>
  <si>
    <t xml:space="preserve">ENERGY XM2 </t>
  </si>
  <si>
    <t xml:space="preserve">ALLSTAR-2 </t>
  </si>
  <si>
    <t xml:space="preserve">ATREZZO ECO 84T</t>
  </si>
  <si>
    <t xml:space="preserve">NE-3 88T XL </t>
  </si>
  <si>
    <t xml:space="preserve">175.80/R14</t>
  </si>
  <si>
    <t xml:space="preserve">MP-47 88T </t>
  </si>
  <si>
    <t xml:space="preserve">PLATINUM  82H</t>
  </si>
  <si>
    <t xml:space="preserve">BRILLANTIS 2 82Н </t>
  </si>
  <si>
    <t xml:space="preserve">SPORTY STYLE MY-02</t>
  </si>
  <si>
    <t xml:space="preserve">PREMIUMCONTACT-5 82H </t>
  </si>
  <si>
    <t xml:space="preserve">PRESTO</t>
  </si>
  <si>
    <t xml:space="preserve">DUNLOP</t>
  </si>
  <si>
    <t xml:space="preserve">SP SPORT FAST RESPONSE</t>
  </si>
  <si>
    <t xml:space="preserve">SP STREETRESPONSE</t>
  </si>
  <si>
    <t xml:space="preserve">ZIEX ZE-914</t>
  </si>
  <si>
    <t xml:space="preserve">ECOCONTROL HP</t>
  </si>
  <si>
    <t xml:space="preserve">K-435 82H </t>
  </si>
  <si>
    <t xml:space="preserve">DYNAXER HP3 </t>
  </si>
  <si>
    <t xml:space="preserve">KR26 ZETUM </t>
  </si>
  <si>
    <t xml:space="preserve">SOLUS KH17</t>
  </si>
  <si>
    <t xml:space="preserve">ECSTA SPT KU31</t>
  </si>
  <si>
    <t xml:space="preserve">GREENWAYS 82H</t>
  </si>
  <si>
    <t xml:space="preserve">IMPETUS REVO 82H</t>
  </si>
  <si>
    <t xml:space="preserve">MP 16 STELLA 2 82H</t>
  </si>
  <si>
    <t xml:space="preserve">MP-47 82H</t>
  </si>
  <si>
    <t xml:space="preserve">ENERGY XM2 82H</t>
  </si>
  <si>
    <t xml:space="preserve">Россия</t>
  </si>
  <si>
    <t xml:space="preserve">E3A</t>
  </si>
  <si>
    <t xml:space="preserve">MR-162 82H </t>
  </si>
  <si>
    <t xml:space="preserve">ROADSTONE</t>
  </si>
  <si>
    <t xml:space="preserve">CLASSE PREMIERE CP661</t>
  </si>
  <si>
    <t xml:space="preserve">ATREZZA ECO 82H</t>
  </si>
  <si>
    <t xml:space="preserve">PROXES CF-2 </t>
  </si>
  <si>
    <t xml:space="preserve">RAIN EXPERT 3 82T </t>
  </si>
  <si>
    <t xml:space="preserve">VIKING</t>
  </si>
  <si>
    <t xml:space="preserve">CITY TECH II</t>
  </si>
  <si>
    <t xml:space="preserve">122  86H </t>
  </si>
  <si>
    <t xml:space="preserve">PLATINUM 86H</t>
  </si>
  <si>
    <t xml:space="preserve">MY-02 86H</t>
  </si>
  <si>
    <t xml:space="preserve">ECO CONTACT 3 86Т </t>
  </si>
  <si>
    <t xml:space="preserve">ECO CONTACT 3 86Т</t>
  </si>
  <si>
    <t xml:space="preserve">PASSIO 2 86T</t>
  </si>
  <si>
    <t xml:space="preserve">NAVIGATOR 2 86Т новый</t>
  </si>
  <si>
    <t xml:space="preserve">ST 86T </t>
  </si>
  <si>
    <t xml:space="preserve">ZIEX ZE-326</t>
  </si>
  <si>
    <t xml:space="preserve">FIRESTONE</t>
  </si>
  <si>
    <t xml:space="preserve">MULTIHAWK-2 86T </t>
  </si>
  <si>
    <t xml:space="preserve">ECOCONTROL 86T </t>
  </si>
  <si>
    <t xml:space="preserve">GENERAL</t>
  </si>
  <si>
    <t xml:space="preserve">ALTIMAX COMFORT 86T</t>
  </si>
  <si>
    <t xml:space="preserve">K425 86Т </t>
  </si>
  <si>
    <t xml:space="preserve">К-435 86Н </t>
  </si>
  <si>
    <t xml:space="preserve">DYNAXER HP3 86T </t>
  </si>
  <si>
    <t xml:space="preserve">KH-27</t>
  </si>
  <si>
    <t xml:space="preserve">IMPETUS REVO 86H</t>
  </si>
  <si>
    <t xml:space="preserve">GREENWAYS 86H</t>
  </si>
  <si>
    <t xml:space="preserve">LK-41 86H</t>
  </si>
  <si>
    <t xml:space="preserve">NOVA-FORSE GP 86T</t>
  </si>
  <si>
    <t xml:space="preserve">NOVA-FORSE HP 86H</t>
  </si>
  <si>
    <t xml:space="preserve">LINGLONG</t>
  </si>
  <si>
    <t xml:space="preserve">GREEN-MAX HP010 86H</t>
  </si>
  <si>
    <t xml:space="preserve">MP 16 STELLA 2 86T </t>
  </si>
  <si>
    <t xml:space="preserve">MP-47 HECTORRA 3 86T </t>
  </si>
  <si>
    <t xml:space="preserve">ENERGY XM2 88H </t>
  </si>
  <si>
    <t xml:space="preserve">ENERGY XM2 86H </t>
  </si>
  <si>
    <t xml:space="preserve">N BLUE 4 SEASON 86T M+S</t>
  </si>
  <si>
    <t xml:space="preserve">PAXARO</t>
  </si>
  <si>
    <t xml:space="preserve">SUMMER PERFORMANCE 86T </t>
  </si>
  <si>
    <t xml:space="preserve">ALLSTAR-2 86H</t>
  </si>
  <si>
    <t xml:space="preserve">ROLIT 6 86H M+S</t>
  </si>
  <si>
    <t xml:space="preserve">RS-ZERO 86H</t>
  </si>
  <si>
    <t xml:space="preserve">PROXES CF-2 86H </t>
  </si>
  <si>
    <t xml:space="preserve">TRANPATH MPZ 86H </t>
  </si>
  <si>
    <t xml:space="preserve">RAIN EXPERT 3 86T</t>
  </si>
  <si>
    <t xml:space="preserve">VREDESTEIN</t>
  </si>
  <si>
    <t xml:space="preserve">SРORTRAC 5</t>
  </si>
  <si>
    <t xml:space="preserve">BRILLANTIS 2 88Т</t>
  </si>
  <si>
    <t xml:space="preserve">ECOPIA EP150</t>
  </si>
  <si>
    <t xml:space="preserve">PASSIO V1</t>
  </si>
  <si>
    <t xml:space="preserve">K-425 88T</t>
  </si>
  <si>
    <t xml:space="preserve">K-715 88T</t>
  </si>
  <si>
    <t xml:space="preserve">KELLI</t>
  </si>
  <si>
    <t xml:space="preserve">ST </t>
  </si>
  <si>
    <t xml:space="preserve">DYNAXER HP3</t>
  </si>
  <si>
    <t xml:space="preserve">ATRACTA 88T</t>
  </si>
  <si>
    <t xml:space="preserve">LK-41 88T</t>
  </si>
  <si>
    <t xml:space="preserve">MP-16 88Т</t>
  </si>
  <si>
    <t xml:space="preserve">MP-47 HECTORA 3 88T </t>
  </si>
  <si>
    <t xml:space="preserve">ENERGY SAVER+</t>
  </si>
  <si>
    <t xml:space="preserve">RADIAL DT</t>
  </si>
  <si>
    <t xml:space="preserve">ROLIT-6 88H</t>
  </si>
  <si>
    <t xml:space="preserve">MPZ 88H </t>
  </si>
  <si>
    <t xml:space="preserve">TE-301 88H</t>
  </si>
  <si>
    <t xml:space="preserve">195.60/R14</t>
  </si>
  <si>
    <t xml:space="preserve">BRILLIANTIS-2</t>
  </si>
  <si>
    <t xml:space="preserve">195.65/R14</t>
  </si>
  <si>
    <t xml:space="preserve">AUSTONE</t>
  </si>
  <si>
    <t xml:space="preserve">SP-801 95H XL</t>
  </si>
  <si>
    <t xml:space="preserve">B250</t>
  </si>
  <si>
    <t xml:space="preserve">K-715 91T  </t>
  </si>
  <si>
    <t xml:space="preserve">KR-26</t>
  </si>
  <si>
    <t xml:space="preserve">MIRATTA</t>
  </si>
  <si>
    <t xml:space="preserve">MP 42 ELITE 2</t>
  </si>
  <si>
    <t xml:space="preserve">ENERGY SAVER</t>
  </si>
  <si>
    <t xml:space="preserve">CP-661 91T</t>
  </si>
  <si>
    <t xml:space="preserve">PIRELLI</t>
  </si>
  <si>
    <t xml:space="preserve">P400 TOURING</t>
  </si>
  <si>
    <t xml:space="preserve">TE-301 95H</t>
  </si>
  <si>
    <t xml:space="preserve">K-424</t>
  </si>
  <si>
    <t xml:space="preserve">ROLIT-6 95H</t>
  </si>
  <si>
    <t xml:space="preserve">TR-956 98T</t>
  </si>
  <si>
    <t xml:space="preserve">175.60/R15</t>
  </si>
  <si>
    <t xml:space="preserve">MP-16 81Н </t>
  </si>
  <si>
    <t xml:space="preserve">MP-47 HECTORRA 3 81H </t>
  </si>
  <si>
    <t xml:space="preserve">DRIVEWAYS 82V</t>
  </si>
  <si>
    <t xml:space="preserve">MP 47 HECTORRA 3 82H </t>
  </si>
  <si>
    <t xml:space="preserve">MR-162 82V </t>
  </si>
  <si>
    <t xml:space="preserve">PERFORMANCE 82V</t>
  </si>
  <si>
    <t xml:space="preserve">V</t>
  </si>
  <si>
    <t xml:space="preserve">SUNWIDE </t>
  </si>
  <si>
    <t xml:space="preserve">RS-ZERO 82V</t>
  </si>
  <si>
    <t xml:space="preserve">122 84H</t>
  </si>
  <si>
    <t xml:space="preserve">BRILLANTIS 2 </t>
  </si>
  <si>
    <t xml:space="preserve">ECOPIA EP-200 84V </t>
  </si>
  <si>
    <t xml:space="preserve">Тайвань</t>
  </si>
  <si>
    <t xml:space="preserve">DEBICA</t>
  </si>
  <si>
    <t xml:space="preserve">ECOCONTROL HP </t>
  </si>
  <si>
    <t xml:space="preserve">K-425 88H XL</t>
  </si>
  <si>
    <t xml:space="preserve">DYNAXER HP3 88H XL</t>
  </si>
  <si>
    <t xml:space="preserve">SOLUS KH-27 </t>
  </si>
  <si>
    <t xml:space="preserve">NOVA-FORSE HP 88H</t>
  </si>
  <si>
    <t xml:space="preserve">MP-62 EVO 88T XL M+S</t>
  </si>
  <si>
    <t xml:space="preserve">MP-47 HECTORA 3 84H </t>
  </si>
  <si>
    <t xml:space="preserve">MA-510N 84T</t>
  </si>
  <si>
    <t xml:space="preserve">ENERGY SAVER 84T</t>
  </si>
  <si>
    <t xml:space="preserve">ROAD PERFORMANCE XL 88H </t>
  </si>
  <si>
    <t xml:space="preserve">H XL</t>
  </si>
  <si>
    <t xml:space="preserve">STRIAL</t>
  </si>
  <si>
    <t xml:space="preserve">301 88H</t>
  </si>
  <si>
    <t xml:space="preserve">RS-ZERO XL 88H</t>
  </si>
  <si>
    <t xml:space="preserve">TOURING-301  88H XL</t>
  </si>
  <si>
    <t xml:space="preserve">сербия</t>
  </si>
  <si>
    <t xml:space="preserve">PROXES CF2 88H XL</t>
  </si>
  <si>
    <t xml:space="preserve">TRANPATH MPZ 84H </t>
  </si>
  <si>
    <t xml:space="preserve">PLATINUM 88H</t>
  </si>
  <si>
    <t xml:space="preserve">122 88Н</t>
  </si>
  <si>
    <t xml:space="preserve">BRILLANTIS 2 88Т </t>
  </si>
  <si>
    <t xml:space="preserve">Германия</t>
  </si>
  <si>
    <t xml:space="preserve">BFGOODRICH</t>
  </si>
  <si>
    <t xml:space="preserve">G-GRIP</t>
  </si>
  <si>
    <t xml:space="preserve">ECOPIA EP 150 </t>
  </si>
  <si>
    <t xml:space="preserve">Тайланд</t>
  </si>
  <si>
    <t xml:space="preserve">TURANZA T005 88T </t>
  </si>
  <si>
    <t xml:space="preserve">Венгрия</t>
  </si>
  <si>
    <t xml:space="preserve">TURANZA T005 91H </t>
  </si>
  <si>
    <t xml:space="preserve">TURANZA T001 88H </t>
  </si>
  <si>
    <t xml:space="preserve">PREMIUMCONTACT-5 88T </t>
  </si>
  <si>
    <t xml:space="preserve">NAVIGATOR-2 88T </t>
  </si>
  <si>
    <t xml:space="preserve">SP STREET RESPONSE</t>
  </si>
  <si>
    <t xml:space="preserve">ZE-914</t>
  </si>
  <si>
    <t xml:space="preserve">К-435 92Т XL </t>
  </si>
  <si>
    <t xml:space="preserve">корея</t>
  </si>
  <si>
    <t xml:space="preserve">DYNAXER HP3 88H</t>
  </si>
  <si>
    <t xml:space="preserve">IMPETUS REVO 88H</t>
  </si>
  <si>
    <t xml:space="preserve">GREENWAYS 88H</t>
  </si>
  <si>
    <t xml:space="preserve">LK-41 88H</t>
  </si>
  <si>
    <t xml:space="preserve">IGREEN 88H M+S</t>
  </si>
  <si>
    <t xml:space="preserve">MP 44 ELITE 3 88Т </t>
  </si>
  <si>
    <t xml:space="preserve">Словакия</t>
  </si>
  <si>
    <t xml:space="preserve">MP-61 88H </t>
  </si>
  <si>
    <t xml:space="preserve">словакия</t>
  </si>
  <si>
    <t xml:space="preserve">ENERGY SAVER 88T </t>
  </si>
  <si>
    <t xml:space="preserve">германия</t>
  </si>
  <si>
    <t xml:space="preserve">MR-162 88H</t>
  </si>
  <si>
    <t xml:space="preserve">NBLUE 4 88T M+S</t>
  </si>
  <si>
    <t xml:space="preserve">SUMMER COMFORT 88T</t>
  </si>
  <si>
    <t xml:space="preserve">ROAD PERFORMANCE 88H</t>
  </si>
  <si>
    <t xml:space="preserve">Cербия</t>
  </si>
  <si>
    <t xml:space="preserve">RS-ZERO 88H</t>
  </si>
  <si>
    <t xml:space="preserve">PROXES CF2 88H </t>
  </si>
  <si>
    <t xml:space="preserve">япония</t>
  </si>
  <si>
    <t xml:space="preserve">TRANPATH MPZ 88H </t>
  </si>
  <si>
    <t xml:space="preserve">RAINEXPERT 3 88T </t>
  </si>
  <si>
    <t xml:space="preserve">195.50/R15</t>
  </si>
  <si>
    <t xml:space="preserve">BRAVURIS 3 HM 82V </t>
  </si>
  <si>
    <t xml:space="preserve">COMFORT CONTACT 1</t>
  </si>
  <si>
    <t xml:space="preserve">VENTUS 51 EVO</t>
  </si>
  <si>
    <t xml:space="preserve">MARANGONI</t>
  </si>
  <si>
    <t xml:space="preserve">ZETA LINEA</t>
  </si>
  <si>
    <t xml:space="preserve">MP 47 82V </t>
  </si>
  <si>
    <t xml:space="preserve">PRIMACY LC</t>
  </si>
  <si>
    <t xml:space="preserve">SUMMER 82V </t>
  </si>
  <si>
    <t xml:space="preserve">португалия</t>
  </si>
  <si>
    <t xml:space="preserve">SPORT-3 82H </t>
  </si>
  <si>
    <t xml:space="preserve">BRAVURIS 3</t>
  </si>
  <si>
    <t xml:space="preserve">K-120 85V</t>
  </si>
  <si>
    <t xml:space="preserve">K-115 89V</t>
  </si>
  <si>
    <t xml:space="preserve">DYNAXER HP3 87V </t>
  </si>
  <si>
    <t xml:space="preserve">KR-26 ZETUM</t>
  </si>
  <si>
    <t xml:space="preserve">IMPETUS REVO 85H</t>
  </si>
  <si>
    <t xml:space="preserve">LK-01 85V</t>
  </si>
  <si>
    <t xml:space="preserve">MP 47 HECTORRA 3 85V</t>
  </si>
  <si>
    <t xml:space="preserve">MP-162</t>
  </si>
  <si>
    <t xml:space="preserve">MP-182 91V XL</t>
  </si>
  <si>
    <t xml:space="preserve">SUMMER PERFORMENCE 85V</t>
  </si>
  <si>
    <t xml:space="preserve">ATREZZO ELITE 85H</t>
  </si>
  <si>
    <t xml:space="preserve">PERFORMANCE 85V</t>
  </si>
  <si>
    <t xml:space="preserve">TE-301 85V</t>
  </si>
  <si>
    <t xml:space="preserve">BRAVURA</t>
  </si>
  <si>
    <t xml:space="preserve">BRAVURIS 2  88Н </t>
  </si>
  <si>
    <t xml:space="preserve">ECOPIA EP-150 88H</t>
  </si>
  <si>
    <t xml:space="preserve">TURANZA T-001 88V </t>
  </si>
  <si>
    <t xml:space="preserve">PREMIUM CONTACT 5 88Н </t>
  </si>
  <si>
    <t xml:space="preserve">PRESTO </t>
  </si>
  <si>
    <t xml:space="preserve">ROADHAWK 88H </t>
  </si>
  <si>
    <t xml:space="preserve">Италия</t>
  </si>
  <si>
    <t xml:space="preserve">K-425 88H  </t>
  </si>
  <si>
    <t xml:space="preserve">К-125 88Н </t>
  </si>
  <si>
    <t xml:space="preserve">DYNAXER HP3 88H </t>
  </si>
  <si>
    <t xml:space="preserve">KH-32</t>
  </si>
  <si>
    <t xml:space="preserve">LK-01 88V </t>
  </si>
  <si>
    <t xml:space="preserve">DRIVEWAYS 88V</t>
  </si>
  <si>
    <t xml:space="preserve">NOVA-FORCE HP 88H</t>
  </si>
  <si>
    <t xml:space="preserve">HP-5 88V</t>
  </si>
  <si>
    <t xml:space="preserve">MP 44 ELITE 3 88V </t>
  </si>
  <si>
    <t xml:space="preserve">MP-47 HECTORA 3 88Н </t>
  </si>
  <si>
    <t xml:space="preserve">ENERGY ХМ-2 88H </t>
  </si>
  <si>
    <t xml:space="preserve">MR-162 88V</t>
  </si>
  <si>
    <t xml:space="preserve">SUMMER PERFORMANCE 82V </t>
  </si>
  <si>
    <t xml:space="preserve">V </t>
  </si>
  <si>
    <t xml:space="preserve">PROXES CF2 88V </t>
  </si>
  <si>
    <t xml:space="preserve">Малазия</t>
  </si>
  <si>
    <t xml:space="preserve">TE-301 88V</t>
  </si>
  <si>
    <t xml:space="preserve">UNIROAL</t>
  </si>
  <si>
    <t xml:space="preserve">RAINEXPERT 3 88H </t>
  </si>
  <si>
    <t xml:space="preserve">PLATINUM 91V отбойник</t>
  </si>
  <si>
    <t xml:space="preserve">BRILLANTIS 2 91Т </t>
  </si>
  <si>
    <t xml:space="preserve">Франция</t>
  </si>
  <si>
    <t xml:space="preserve">TURANZA ER-300 91H </t>
  </si>
  <si>
    <t xml:space="preserve">Испания</t>
  </si>
  <si>
    <t xml:space="preserve">TURANZA T-001 91V </t>
  </si>
  <si>
    <t xml:space="preserve">PREMIUM CONTACT 2</t>
  </si>
  <si>
    <t xml:space="preserve">PREMIUM CONTACT 5 91H </t>
  </si>
  <si>
    <t xml:space="preserve">PREMIUM CONTACT 5 91Т </t>
  </si>
  <si>
    <t xml:space="preserve">NAVIGATOR 2 91Т </t>
  </si>
  <si>
    <t xml:space="preserve">PASSIO 2 91T</t>
  </si>
  <si>
    <t xml:space="preserve">SP SPORT-600 91V </t>
  </si>
  <si>
    <t xml:space="preserve">Африка</t>
  </si>
  <si>
    <t xml:space="preserve">DIPLOMAT ST 91H </t>
  </si>
  <si>
    <t xml:space="preserve">FIREHAWK TZ300 ALPHA</t>
  </si>
  <si>
    <t xml:space="preserve">ECOCONTROL HP 91Н </t>
  </si>
  <si>
    <t xml:space="preserve">ALTIMAX COMFORT 92H </t>
  </si>
  <si>
    <t xml:space="preserve">GOODYEAR</t>
  </si>
  <si>
    <t xml:space="preserve">EFFICIENTGRIP 91H </t>
  </si>
  <si>
    <t xml:space="preserve">K-125 91v </t>
  </si>
  <si>
    <t xml:space="preserve">K-425 91Т</t>
  </si>
  <si>
    <t xml:space="preserve">K-425 91Н</t>
  </si>
  <si>
    <t xml:space="preserve">K-435 91Н </t>
  </si>
  <si>
    <t xml:space="preserve">DYNAXER HP3  91Т </t>
  </si>
  <si>
    <t xml:space="preserve">HS-51 корея</t>
  </si>
  <si>
    <t xml:space="preserve">ATRACTA 91T</t>
  </si>
  <si>
    <t xml:space="preserve">IMPETUS REVO 91H</t>
  </si>
  <si>
    <t xml:space="preserve">GREENWAYS 91H</t>
  </si>
  <si>
    <t xml:space="preserve">LK-41 91V </t>
  </si>
  <si>
    <t xml:space="preserve">LK-01 91V </t>
  </si>
  <si>
    <t xml:space="preserve">NOVA-FORCE GP 91T</t>
  </si>
  <si>
    <t xml:space="preserve">NOVA-FORCE HP 91H</t>
  </si>
  <si>
    <t xml:space="preserve">MP 44 ELITE 3 91Т</t>
  </si>
  <si>
    <t xml:space="preserve">MP-47 91H</t>
  </si>
  <si>
    <t xml:space="preserve">MP-47 91V</t>
  </si>
  <si>
    <t xml:space="preserve">HP-5 91V</t>
  </si>
  <si>
    <t xml:space="preserve">ENERGY SAVER + 91Н  G-1</t>
  </si>
  <si>
    <t xml:space="preserve">ENERGY XM2 91Н </t>
  </si>
  <si>
    <t xml:space="preserve">CROSSCLIMATE PLUS XL 95V M+S</t>
  </si>
  <si>
    <t xml:space="preserve">V XL</t>
  </si>
  <si>
    <t xml:space="preserve">NBLUE HD</t>
  </si>
  <si>
    <t xml:space="preserve">SUMMER PERFORMANCE 91H </t>
  </si>
  <si>
    <t xml:space="preserve">ROAD PERFORMANCE XL 95H </t>
  </si>
  <si>
    <t xml:space="preserve">B-2</t>
  </si>
  <si>
    <t xml:space="preserve">ROLIT-6 91H M+S</t>
  </si>
  <si>
    <t xml:space="preserve">RS-ZERO 91V</t>
  </si>
  <si>
    <t xml:space="preserve">401 95H </t>
  </si>
  <si>
    <t xml:space="preserve">TRANPATH MPZ 91H </t>
  </si>
  <si>
    <t xml:space="preserve">PROXES CF2 91H </t>
  </si>
  <si>
    <t xml:space="preserve">TE-301 91H</t>
  </si>
  <si>
    <t xml:space="preserve">UNIROYAL</t>
  </si>
  <si>
    <t xml:space="preserve">RAIN EXPERT-3 91T</t>
  </si>
  <si>
    <t xml:space="preserve">RAIN EXPERT-3 95T XL </t>
  </si>
  <si>
    <t xml:space="preserve">195.70/R15</t>
  </si>
  <si>
    <t xml:space="preserve">CARGO OR56      RF </t>
  </si>
  <si>
    <t xml:space="preserve">K-715 97T XL</t>
  </si>
  <si>
    <t xml:space="preserve">DYNAXER HP2    RF</t>
  </si>
  <si>
    <t xml:space="preserve">RAIN MAX RF </t>
  </si>
  <si>
    <t xml:space="preserve">205.55/R15</t>
  </si>
  <si>
    <t xml:space="preserve">PILOT EXALTO PE2 </t>
  </si>
  <si>
    <t xml:space="preserve">AEOLUS</t>
  </si>
  <si>
    <t xml:space="preserve">AH-01</t>
  </si>
  <si>
    <t xml:space="preserve">BRAVURIS 2</t>
  </si>
  <si>
    <t xml:space="preserve">FURIO</t>
  </si>
  <si>
    <t xml:space="preserve">CARAT PROGRESSO-91</t>
  </si>
  <si>
    <t xml:space="preserve">K 425 91H </t>
  </si>
  <si>
    <t xml:space="preserve">K 125 91V </t>
  </si>
  <si>
    <t xml:space="preserve">IMPETUS REVO 91V</t>
  </si>
  <si>
    <t xml:space="preserve">MP-44 91H</t>
  </si>
  <si>
    <t xml:space="preserve">MR-162 91V</t>
  </si>
  <si>
    <t xml:space="preserve">ROAD PERFORMANCE 91V </t>
  </si>
  <si>
    <t xml:space="preserve">PLATINUM 94H</t>
  </si>
  <si>
    <t xml:space="preserve">PREMIUM CONTACT 2 91H</t>
  </si>
  <si>
    <t xml:space="preserve">FURIO-DIPLOMAT</t>
  </si>
  <si>
    <t xml:space="preserve">DOPLOMAT HP 94H</t>
  </si>
  <si>
    <t xml:space="preserve">CARAT PROGRESSO</t>
  </si>
  <si>
    <t xml:space="preserve">K-425 94-H </t>
  </si>
  <si>
    <t xml:space="preserve">К-415 94Н </t>
  </si>
  <si>
    <t xml:space="preserve">HS-51 </t>
  </si>
  <si>
    <t xml:space="preserve">LK-01 94H </t>
  </si>
  <si>
    <t xml:space="preserve">IMPETUS REVO-2+XL  99H</t>
  </si>
  <si>
    <t xml:space="preserve">DRIVEWAYS 94V</t>
  </si>
  <si>
    <t xml:space="preserve">NOVA-FORCE HP 94V</t>
  </si>
  <si>
    <t xml:space="preserve">MP 44 ELITE 3 94H</t>
  </si>
  <si>
    <t xml:space="preserve">MP-47 HECTORRA 3 94H </t>
  </si>
  <si>
    <t xml:space="preserve">MR-162 94V</t>
  </si>
  <si>
    <t xml:space="preserve">CLASSE PREMIERE 641</t>
  </si>
  <si>
    <t xml:space="preserve">SUMMER 94H </t>
  </si>
  <si>
    <t xml:space="preserve">PERFORMANCE 401 94V</t>
  </si>
  <si>
    <t xml:space="preserve">MAYSTORM-2 94V</t>
  </si>
  <si>
    <t xml:space="preserve">ROLIT-6 94H M+S</t>
  </si>
  <si>
    <t xml:space="preserve">RS-ONE 94V</t>
  </si>
  <si>
    <t xml:space="preserve">PERFORMANCE 94V</t>
  </si>
  <si>
    <t xml:space="preserve">PROXES CF2 99Н XL </t>
  </si>
  <si>
    <t xml:space="preserve">TRANPATH MPZ 94H </t>
  </si>
  <si>
    <t xml:space="preserve">TE-301 94V</t>
  </si>
  <si>
    <t xml:space="preserve">SPORTRAC 5</t>
  </si>
  <si>
    <t xml:space="preserve">YOKOHAMA</t>
  </si>
  <si>
    <t xml:space="preserve">A.DRIVE AA01</t>
  </si>
  <si>
    <t xml:space="preserve"> </t>
  </si>
  <si>
    <t xml:space="preserve">AS-02</t>
  </si>
  <si>
    <t xml:space="preserve">BRAVURIS 4X4 </t>
  </si>
  <si>
    <t xml:space="preserve">ECOPIA EP-150 96H </t>
  </si>
  <si>
    <t xml:space="preserve">A/T 697</t>
  </si>
  <si>
    <t xml:space="preserve">4X4 CONTACT</t>
  </si>
  <si>
    <t xml:space="preserve">K-425 96T </t>
  </si>
  <si>
    <t xml:space="preserve">венгрия</t>
  </si>
  <si>
    <t xml:space="preserve">COMPETUS A/T 2 96T</t>
  </si>
  <si>
    <t xml:space="preserve">COMPETUS H/L 96H</t>
  </si>
  <si>
    <t xml:space="preserve">LK-41 96T</t>
  </si>
  <si>
    <t xml:space="preserve">MP-71 IZZARDA 4X4 95T</t>
  </si>
  <si>
    <t xml:space="preserve">MP-82 CONQUERRA 2</t>
  </si>
  <si>
    <t xml:space="preserve">LATITUDE CROSS 100H XL </t>
  </si>
  <si>
    <t xml:space="preserve">LATITUDE TOUR HP</t>
  </si>
  <si>
    <t xml:space="preserve">CP-661 96T</t>
  </si>
  <si>
    <t xml:space="preserve">ROLIT-6 96H</t>
  </si>
  <si>
    <t xml:space="preserve">TRANPATH MPZ 96H </t>
  </si>
  <si>
    <t xml:space="preserve">OPEN COUNTRY H/T 96H M+S </t>
  </si>
  <si>
    <t xml:space="preserve">CF-2 96H SUV </t>
  </si>
  <si>
    <t xml:space="preserve">TE-301 96H</t>
  </si>
  <si>
    <t xml:space="preserve">NANKANG</t>
  </si>
  <si>
    <t xml:space="preserve">N-605</t>
  </si>
  <si>
    <t xml:space="preserve">215.60/R15</t>
  </si>
  <si>
    <t xml:space="preserve">SS-657</t>
  </si>
  <si>
    <t xml:space="preserve">ENERGY MXV8</t>
  </si>
  <si>
    <t xml:space="preserve">RS-ONE 95V</t>
  </si>
  <si>
    <t xml:space="preserve">215.65/R15</t>
  </si>
  <si>
    <t xml:space="preserve">BRAVURIS 2 96H </t>
  </si>
  <si>
    <t xml:space="preserve">IMPETUS REVO 96H</t>
  </si>
  <si>
    <t xml:space="preserve">LH-41 96H</t>
  </si>
  <si>
    <t xml:space="preserve">EXTRA LOAD TL CROSS  99V M+S</t>
  </si>
  <si>
    <t xml:space="preserve">италия</t>
  </si>
  <si>
    <t xml:space="preserve">NBLUE HD PLUS 96H</t>
  </si>
  <si>
    <t xml:space="preserve">N7000</t>
  </si>
  <si>
    <t xml:space="preserve">MAYSTORM 2 B2 XL 100V </t>
  </si>
  <si>
    <t xml:space="preserve">TR-978 100H</t>
  </si>
  <si>
    <t xml:space="preserve">215.70/R15</t>
  </si>
  <si>
    <t xml:space="preserve">122 98H</t>
  </si>
  <si>
    <t xml:space="preserve">MR-162 98H</t>
  </si>
  <si>
    <t xml:space="preserve">ROLIT 6 98H</t>
  </si>
  <si>
    <t xml:space="preserve">TE-301 98H</t>
  </si>
  <si>
    <t xml:space="preserve">ALL TERRAIN T/A KO</t>
  </si>
  <si>
    <t xml:space="preserve">225.60/R15</t>
  </si>
  <si>
    <t xml:space="preserve">BRAVURIS 2 96V</t>
  </si>
  <si>
    <t xml:space="preserve">румыния</t>
  </si>
  <si>
    <t xml:space="preserve">REVO 96V</t>
  </si>
  <si>
    <t xml:space="preserve">N-7000 96V</t>
  </si>
  <si>
    <t xml:space="preserve">225.70/R15</t>
  </si>
  <si>
    <t xml:space="preserve">LD-01 100T</t>
  </si>
  <si>
    <t xml:space="preserve">MICHELIN MXTE</t>
  </si>
  <si>
    <t xml:space="preserve">225.75/R15</t>
  </si>
  <si>
    <t xml:space="preserve">LATITUDE CROSS</t>
  </si>
  <si>
    <t xml:space="preserve">ROAD VENTURE APT KL51</t>
  </si>
  <si>
    <t xml:space="preserve">ALL-TERRAIN 104S</t>
  </si>
  <si>
    <t xml:space="preserve">DYNAPRO HP RA23</t>
  </si>
  <si>
    <t xml:space="preserve">COMPETUS A/T</t>
  </si>
  <si>
    <t xml:space="preserve">MP-82 109T XL</t>
  </si>
  <si>
    <t xml:space="preserve">MR-HT 172 109H</t>
  </si>
  <si>
    <t xml:space="preserve">DUREVOLE AT XL 109T</t>
  </si>
  <si>
    <t xml:space="preserve">265.70/R15</t>
  </si>
  <si>
    <t xml:space="preserve">MP-82 </t>
  </si>
  <si>
    <t xml:space="preserve">HTX RH-5 112S</t>
  </si>
  <si>
    <t xml:space="preserve">31X10.5/R15</t>
  </si>
  <si>
    <t xml:space="preserve">ALL-TERRAIN USA</t>
  </si>
  <si>
    <t xml:space="preserve">195.50/R16</t>
  </si>
  <si>
    <t xml:space="preserve">MP-47 88V </t>
  </si>
  <si>
    <t xml:space="preserve">PREMIUM CONTACT 5 87H </t>
  </si>
  <si>
    <t xml:space="preserve">BRAVURIS 3 87V </t>
  </si>
  <si>
    <t xml:space="preserve">TURANZA T-001 87V</t>
  </si>
  <si>
    <t xml:space="preserve">DYNAXER HP-3 87V </t>
  </si>
  <si>
    <t xml:space="preserve">MP-47 87Н </t>
  </si>
  <si>
    <t xml:space="preserve">PROXES CF-2 87H</t>
  </si>
  <si>
    <t xml:space="preserve">RAINSPORT 3 87T </t>
  </si>
  <si>
    <t xml:space="preserve">205.50/R16</t>
  </si>
  <si>
    <t xml:space="preserve">BRAVURIS 3 HM 91V</t>
  </si>
  <si>
    <t xml:space="preserve">SPORTMAXX RT 87W</t>
  </si>
  <si>
    <t xml:space="preserve">PILOT SPORT 3 87V</t>
  </si>
  <si>
    <t xml:space="preserve">AU-01 94W XL</t>
  </si>
  <si>
    <t xml:space="preserve">2233 91V</t>
  </si>
  <si>
    <t xml:space="preserve">ATR SPORT 2 91V</t>
  </si>
  <si>
    <t xml:space="preserve">BRAVURIS 3 HM 91V </t>
  </si>
  <si>
    <t xml:space="preserve">Германия   </t>
  </si>
  <si>
    <t xml:space="preserve">ER-300 91V </t>
  </si>
  <si>
    <t xml:space="preserve">T-005 91W </t>
  </si>
  <si>
    <t xml:space="preserve">W</t>
  </si>
  <si>
    <t xml:space="preserve">T-001 92V XL </t>
  </si>
  <si>
    <t xml:space="preserve">CONTINENTAL </t>
  </si>
  <si>
    <t xml:space="preserve">PREMIUM-5 91V  отбойник</t>
  </si>
  <si>
    <t xml:space="preserve">PROCONTACT TX  </t>
  </si>
  <si>
    <t xml:space="preserve">HP 91V</t>
  </si>
  <si>
    <t xml:space="preserve">SP SPORT-6060 91W </t>
  </si>
  <si>
    <t xml:space="preserve">SS-595 91W</t>
  </si>
  <si>
    <t xml:space="preserve">SPORTCONTROL HP 91H </t>
  </si>
  <si>
    <t xml:space="preserve">ECOCONTROL HP 91W </t>
  </si>
  <si>
    <t xml:space="preserve">EXCELLENCE 91V </t>
  </si>
  <si>
    <t xml:space="preserve">EFFICIENT GRIP PERFOMANCE 91V</t>
  </si>
  <si>
    <t xml:space="preserve">польша</t>
  </si>
  <si>
    <t xml:space="preserve">K-115 91V </t>
  </si>
  <si>
    <t xml:space="preserve">K-435 91H</t>
  </si>
  <si>
    <t xml:space="preserve">KETER</t>
  </si>
  <si>
    <t xml:space="preserve">KT-626 91V</t>
  </si>
  <si>
    <t xml:space="preserve">DYNAXER HP-3 91V </t>
  </si>
  <si>
    <t xml:space="preserve">GREENWAYS 91V</t>
  </si>
  <si>
    <t xml:space="preserve">NOVA-FORCE HP 91V</t>
  </si>
  <si>
    <t xml:space="preserve">MARCHAL</t>
  </si>
  <si>
    <t xml:space="preserve">MU-12 91W  отбойник</t>
  </si>
  <si>
    <t xml:space="preserve">MP 47 HECTORRA 3 91V </t>
  </si>
  <si>
    <t xml:space="preserve">MP 47 HECTORRA 3 91Н </t>
  </si>
  <si>
    <t xml:space="preserve">PILOT SPORT 3 94W </t>
  </si>
  <si>
    <t xml:space="preserve">PRIMACY 3 91V   </t>
  </si>
  <si>
    <t xml:space="preserve">PRIMACY 3 91Н </t>
  </si>
  <si>
    <t xml:space="preserve">Германия  </t>
  </si>
  <si>
    <t xml:space="preserve">PRIMACY 3 91Н  </t>
  </si>
  <si>
    <t xml:space="preserve">PILOT SPORT 4  91W </t>
  </si>
  <si>
    <t xml:space="preserve">PRIMACY 4 91V </t>
  </si>
  <si>
    <t xml:space="preserve">CROSS CLIMATE 94V XL </t>
  </si>
  <si>
    <t xml:space="preserve">NBLUE HD PLUS 91V</t>
  </si>
  <si>
    <t xml:space="preserve">NBLUE HD 91V</t>
  </si>
  <si>
    <t xml:space="preserve">NOKIAN</t>
  </si>
  <si>
    <t xml:space="preserve">HAKKA Z         W  XL</t>
  </si>
  <si>
    <t xml:space="preserve">WR G-2</t>
  </si>
  <si>
    <t xml:space="preserve">WR </t>
  </si>
  <si>
    <t xml:space="preserve">4M</t>
  </si>
  <si>
    <t xml:space="preserve">HAKKA I3                H</t>
  </si>
  <si>
    <t xml:space="preserve">PERFORMANCE 91V </t>
  </si>
  <si>
    <t xml:space="preserve">POINTS</t>
  </si>
  <si>
    <t xml:space="preserve">SUMMERSTAR 2</t>
  </si>
  <si>
    <t xml:space="preserve">ROAD PERFORMANCE XL 94V </t>
  </si>
  <si>
    <t xml:space="preserve">ATREZZO SH-402</t>
  </si>
  <si>
    <t xml:space="preserve">RS-ONE 91W</t>
  </si>
  <si>
    <t xml:space="preserve">TIGAR</t>
  </si>
  <si>
    <t xml:space="preserve">HIGH PERFORMANCE 401 91V </t>
  </si>
  <si>
    <t xml:space="preserve">HIGH PERFORMANCE 91V новый</t>
  </si>
  <si>
    <t xml:space="preserve">PROXES CF-2 94T </t>
  </si>
  <si>
    <t xml:space="preserve">PROXES CF-2 94H XL </t>
  </si>
  <si>
    <t xml:space="preserve">PROXES CF-2 91V </t>
  </si>
  <si>
    <t xml:space="preserve">PROXES T1R 91W </t>
  </si>
  <si>
    <t xml:space="preserve">DRB 91V </t>
  </si>
  <si>
    <t xml:space="preserve">TRANPATH MPZ 94V XL</t>
  </si>
  <si>
    <t xml:space="preserve">TR-976 91V</t>
  </si>
  <si>
    <t xml:space="preserve">TH-201 91V</t>
  </si>
  <si>
    <t xml:space="preserve">TR-978 91H</t>
  </si>
  <si>
    <t xml:space="preserve">SPORTRAC 5 91V </t>
  </si>
  <si>
    <t xml:space="preserve">HITRAC</t>
  </si>
  <si>
    <t xml:space="preserve">ADVAN SPORT 91V</t>
  </si>
  <si>
    <t xml:space="preserve">ZEETEX</t>
  </si>
  <si>
    <t xml:space="preserve">ZT-1000 91V</t>
  </si>
  <si>
    <t xml:space="preserve">122 92H</t>
  </si>
  <si>
    <t xml:space="preserve">G-GRIP 92H </t>
  </si>
  <si>
    <t xml:space="preserve">ECOPIA EP200 92V</t>
  </si>
  <si>
    <t xml:space="preserve">TURANZA T-005 92Н </t>
  </si>
  <si>
    <t xml:space="preserve">MY-02 92V </t>
  </si>
  <si>
    <t xml:space="preserve">PREMIUM CONTACT 5 92H </t>
  </si>
  <si>
    <t xml:space="preserve">PREMIUM CONTACT 5 96V XL </t>
  </si>
  <si>
    <t xml:space="preserve">DIPLOMAT HP 92H</t>
  </si>
  <si>
    <t xml:space="preserve">TZ300A </t>
  </si>
  <si>
    <t xml:space="preserve">ECOCONTROL HP 92Н</t>
  </si>
  <si>
    <t xml:space="preserve">тайланд</t>
  </si>
  <si>
    <t xml:space="preserve">EFFICIENT GRIP</t>
  </si>
  <si>
    <t xml:space="preserve">EFFICIENT GRIP PERFOMANCE</t>
  </si>
  <si>
    <t xml:space="preserve">K-125 92V</t>
  </si>
  <si>
    <t xml:space="preserve">K 425 92V </t>
  </si>
  <si>
    <t xml:space="preserve">К-117 92W </t>
  </si>
  <si>
    <t xml:space="preserve">K 425 +диски</t>
  </si>
  <si>
    <t xml:space="preserve">KT-626 92H</t>
  </si>
  <si>
    <t xml:space="preserve">DYNAXER HP3 92H </t>
  </si>
  <si>
    <t xml:space="preserve">HS-61 92V </t>
  </si>
  <si>
    <t xml:space="preserve">HS-51 92V </t>
  </si>
  <si>
    <t xml:space="preserve">DRIVEWAYS 92V</t>
  </si>
  <si>
    <t xml:space="preserve">IMPETUS REVO 92V</t>
  </si>
  <si>
    <t xml:space="preserve">LUFENN</t>
  </si>
  <si>
    <t xml:space="preserve">LK-01 96V XL</t>
  </si>
  <si>
    <t xml:space="preserve">NOVA-FORCE HP 92V</t>
  </si>
  <si>
    <t xml:space="preserve">MP- 47 92Н </t>
  </si>
  <si>
    <t xml:space="preserve">HP-M3 92V M+S</t>
  </si>
  <si>
    <t xml:space="preserve">CROSS CLIMATE 96V </t>
  </si>
  <si>
    <t xml:space="preserve">ENERGY SAVER+ 92H </t>
  </si>
  <si>
    <t xml:space="preserve">PRIMACY 4 96 H XL </t>
  </si>
  <si>
    <t xml:space="preserve">PRIMACY  3 96 W XL </t>
  </si>
  <si>
    <t xml:space="preserve">PRIMACY HP 92W </t>
  </si>
  <si>
    <t xml:space="preserve">MR-162 92V</t>
  </si>
  <si>
    <t xml:space="preserve">NFERA SU4</t>
  </si>
  <si>
    <t xml:space="preserve">NBLUE HD PLUS 92H</t>
  </si>
  <si>
    <t xml:space="preserve">ORIUM</t>
  </si>
  <si>
    <t xml:space="preserve">HIGH PERFORMANCE 96V XL</t>
  </si>
  <si>
    <t xml:space="preserve">PERFORMANCE XL 96V </t>
  </si>
  <si>
    <t xml:space="preserve">MAYSTORM 2 96W XL</t>
  </si>
  <si>
    <t xml:space="preserve">ATREZZO ELITE 92H</t>
  </si>
  <si>
    <t xml:space="preserve">PERFORMANCE 96V  </t>
  </si>
  <si>
    <t xml:space="preserve">RS-ONE 92V</t>
  </si>
  <si>
    <t xml:space="preserve">SUMMER PERFORMANCE 92H </t>
  </si>
  <si>
    <t xml:space="preserve">PERFORMANCE 96V XL</t>
  </si>
  <si>
    <t xml:space="preserve">PROXES CF2 92V </t>
  </si>
  <si>
    <t xml:space="preserve">TRANPATH MPZ 92H</t>
  </si>
  <si>
    <t xml:space="preserve">TR-918 96H</t>
  </si>
  <si>
    <t xml:space="preserve">SPORTRAC 5  92H</t>
  </si>
  <si>
    <t xml:space="preserve">HI-TRAC 2</t>
  </si>
  <si>
    <t xml:space="preserve">ZETTUM</t>
  </si>
  <si>
    <t xml:space="preserve">ECOPIA EP-850</t>
  </si>
  <si>
    <t xml:space="preserve">ЕР-200 95V</t>
  </si>
  <si>
    <t xml:space="preserve">HP-M3 95H M+S</t>
  </si>
  <si>
    <t xml:space="preserve">ENERGU XM1</t>
  </si>
  <si>
    <t xml:space="preserve">CP-641</t>
  </si>
  <si>
    <t xml:space="preserve">PROXSESV C1S XL</t>
  </si>
  <si>
    <t xml:space="preserve">122 93H</t>
  </si>
  <si>
    <t xml:space="preserve">BRAVURIS 3 HM</t>
  </si>
  <si>
    <t xml:space="preserve">TURANZA T001 93V </t>
  </si>
  <si>
    <t xml:space="preserve">TURANZA T001 97W </t>
  </si>
  <si>
    <t xml:space="preserve">PREMIUM CONTACT 5 93Н </t>
  </si>
  <si>
    <t xml:space="preserve">франция</t>
  </si>
  <si>
    <t xml:space="preserve">PRESTO 93V</t>
  </si>
  <si>
    <t xml:space="preserve">HP 93V </t>
  </si>
  <si>
    <t xml:space="preserve">SS-595 93W</t>
  </si>
  <si>
    <t xml:space="preserve">SPORTCONTROL </t>
  </si>
  <si>
    <t xml:space="preserve">K-125 93V </t>
  </si>
  <si>
    <t xml:space="preserve">KT-676 93V</t>
  </si>
  <si>
    <t xml:space="preserve">DYNAXER HP3   </t>
  </si>
  <si>
    <t xml:space="preserve">PHENOMA 97W</t>
  </si>
  <si>
    <t xml:space="preserve">LK-01 XL 97W </t>
  </si>
  <si>
    <t xml:space="preserve">MP 44 ELITE 3 93W</t>
  </si>
  <si>
    <t xml:space="preserve">MP-47 97Н HEKTORA 3 XL </t>
  </si>
  <si>
    <t xml:space="preserve">PRIMACY 3</t>
  </si>
  <si>
    <t xml:space="preserve">PRIMACY 4 93V </t>
  </si>
  <si>
    <t xml:space="preserve">MR-182 97W XL отбойник</t>
  </si>
  <si>
    <t xml:space="preserve">NFERA SU-1 97W</t>
  </si>
  <si>
    <t xml:space="preserve">NBLUE HD PLUS 93V</t>
  </si>
  <si>
    <t xml:space="preserve">PERFORMANCE 93V </t>
  </si>
  <si>
    <t xml:space="preserve">MAYSTORM 93V</t>
  </si>
  <si>
    <t xml:space="preserve">RS-ONE 97W XL</t>
  </si>
  <si>
    <t xml:space="preserve">PERFORMANCE 97W XL</t>
  </si>
  <si>
    <t xml:space="preserve">PROXES T1R 93W </t>
  </si>
  <si>
    <t xml:space="preserve">PROXES CF-2 93W          </t>
  </si>
  <si>
    <t xml:space="preserve">Япония   </t>
  </si>
  <si>
    <t xml:space="preserve">2017/18</t>
  </si>
  <si>
    <t xml:space="preserve">TR-978 97V</t>
  </si>
  <si>
    <t xml:space="preserve">AU-01</t>
  </si>
  <si>
    <t xml:space="preserve">ATR SPORT XL 99V</t>
  </si>
  <si>
    <t xml:space="preserve">TURANZA T-001 95V </t>
  </si>
  <si>
    <t xml:space="preserve">TURANZA T-005 99Н XL </t>
  </si>
  <si>
    <t xml:space="preserve">ECOPIA EP-200 95H </t>
  </si>
  <si>
    <t xml:space="preserve">G-GRIP 99V XL </t>
  </si>
  <si>
    <t xml:space="preserve">ECOCONTACT 5 99V XL</t>
  </si>
  <si>
    <t xml:space="preserve">PREMIUM CONTACT 5 95H </t>
  </si>
  <si>
    <t xml:space="preserve">ECOCONTROL HP 99Н XL </t>
  </si>
  <si>
    <t xml:space="preserve">EFFICIENTGRIP 95H </t>
  </si>
  <si>
    <t xml:space="preserve">К-125 99Н XL </t>
  </si>
  <si>
    <t xml:space="preserve">KT-626 95H</t>
  </si>
  <si>
    <t xml:space="preserve">ECSTA SPT KU31 95V </t>
  </si>
  <si>
    <t xml:space="preserve">IMPETUS REVO 99H</t>
  </si>
  <si>
    <t xml:space="preserve">DRIVEWAYS 99V XL</t>
  </si>
  <si>
    <t xml:space="preserve">LK-01 99V XL</t>
  </si>
  <si>
    <t xml:space="preserve">МР-44</t>
  </si>
  <si>
    <t xml:space="preserve">MP-47 99H XL </t>
  </si>
  <si>
    <t xml:space="preserve">2018-2017</t>
  </si>
  <si>
    <t xml:space="preserve">PRIMACY HP 95V </t>
  </si>
  <si>
    <t xml:space="preserve">PRIMACY-4 99V XL </t>
  </si>
  <si>
    <t xml:space="preserve">PRIMACY 3 99V XL </t>
  </si>
  <si>
    <t xml:space="preserve">ENERGY SAVER+ 95H </t>
  </si>
  <si>
    <t xml:space="preserve">1-16/3-17</t>
  </si>
  <si>
    <t xml:space="preserve">MR-162 95V</t>
  </si>
  <si>
    <t xml:space="preserve">NBLUE HD PLUS 95H</t>
  </si>
  <si>
    <t xml:space="preserve">NBLUE ECO SH-01 95V </t>
  </si>
  <si>
    <t xml:space="preserve">PERFORMANCE 99V XL</t>
  </si>
  <si>
    <t xml:space="preserve">SUMMER PERFORMANCE 99H XL </t>
  </si>
  <si>
    <t xml:space="preserve">PROXES CF-2 99V XL </t>
  </si>
  <si>
    <t xml:space="preserve">PROXES CF-2 95H </t>
  </si>
  <si>
    <t xml:space="preserve">TRANPAT MPZ 95H </t>
  </si>
  <si>
    <t xml:space="preserve">TE-301 99V</t>
  </si>
  <si>
    <t xml:space="preserve">RAINEXPERT 3 </t>
  </si>
  <si>
    <t xml:space="preserve">ARTUM</t>
  </si>
  <si>
    <t xml:space="preserve">A-2000 102H</t>
  </si>
  <si>
    <t xml:space="preserve">BRAVURIS 4х4 98H </t>
  </si>
  <si>
    <t xml:space="preserve">Партугалия</t>
  </si>
  <si>
    <t xml:space="preserve">TURANZA T-005 98H </t>
  </si>
  <si>
    <t xml:space="preserve">ECOPIA EP-850 98H</t>
  </si>
  <si>
    <t xml:space="preserve">TURANZA T-001 98H </t>
  </si>
  <si>
    <t xml:space="preserve">PREMIUMCONTACT 5 98H </t>
  </si>
  <si>
    <t xml:space="preserve">SP FASTERSPONSE </t>
  </si>
  <si>
    <t xml:space="preserve">ECOCONTROL HP 98H </t>
  </si>
  <si>
    <t xml:space="preserve">DYNAPRO HP2 RA-33 98H </t>
  </si>
  <si>
    <t xml:space="preserve">K-425 98H </t>
  </si>
  <si>
    <t xml:space="preserve">KL-33</t>
  </si>
  <si>
    <t xml:space="preserve">ROAD VENTURE APT KL51 102Н</t>
  </si>
  <si>
    <t xml:space="preserve">COMPETUS H/L 98H</t>
  </si>
  <si>
    <t xml:space="preserve">COMPETUS A/T-2 102T  M+S</t>
  </si>
  <si>
    <t xml:space="preserve">LK-41 98H</t>
  </si>
  <si>
    <t xml:space="preserve">HP-91 98V </t>
  </si>
  <si>
    <t xml:space="preserve">MP-82 98H </t>
  </si>
  <si>
    <t xml:space="preserve">MA-510E 98H</t>
  </si>
  <si>
    <t xml:space="preserve">LATITUDE TOUR HP 98H </t>
  </si>
  <si>
    <t xml:space="preserve">PRIMACY 3 98V</t>
  </si>
  <si>
    <t xml:space="preserve">LATITUDE CROSS 102H </t>
  </si>
  <si>
    <t xml:space="preserve">CROSS CLIMATE 102V XL </t>
  </si>
  <si>
    <t xml:space="preserve">MR-HT-172 98H M+S</t>
  </si>
  <si>
    <t xml:space="preserve">MR-162 102H XL</t>
  </si>
  <si>
    <t xml:space="preserve">SUMMER PERFORMANCE 98H 4x4</t>
  </si>
  <si>
    <t xml:space="preserve">4x4</t>
  </si>
  <si>
    <t xml:space="preserve">H </t>
  </si>
  <si>
    <t xml:space="preserve">H-701 102H M+S </t>
  </si>
  <si>
    <t xml:space="preserve">STARFIRE</t>
  </si>
  <si>
    <t xml:space="preserve">WH-200 98H M+S</t>
  </si>
  <si>
    <t xml:space="preserve">ROLIT-6 98H M+S</t>
  </si>
  <si>
    <t xml:space="preserve">SUV-701 102H XL </t>
  </si>
  <si>
    <t xml:space="preserve">PROXES CF2 98H  SUV </t>
  </si>
  <si>
    <t xml:space="preserve">TRANPAT MPZ 98H </t>
  </si>
  <si>
    <t xml:space="preserve">PROXES ST-III 102V</t>
  </si>
  <si>
    <t xml:space="preserve">TR-978</t>
  </si>
  <si>
    <t xml:space="preserve">AHILLES</t>
  </si>
  <si>
    <t xml:space="preserve">122 100H</t>
  </si>
  <si>
    <t xml:space="preserve">ALL TERRAIN KO-2 100/97R USA</t>
  </si>
  <si>
    <t xml:space="preserve">ECOPIA EP850 100H </t>
  </si>
  <si>
    <t xml:space="preserve">PREMIUMCONTACT 5 </t>
  </si>
  <si>
    <t xml:space="preserve">RA-33 100Т </t>
  </si>
  <si>
    <t xml:space="preserve">K-115 100H </t>
  </si>
  <si>
    <t xml:space="preserve">KT-616 100T</t>
  </si>
  <si>
    <t xml:space="preserve">KL-21</t>
  </si>
  <si>
    <t xml:space="preserve">KL-33 100H </t>
  </si>
  <si>
    <t xml:space="preserve">COMPETUS H/L 100H</t>
  </si>
  <si>
    <t xml:space="preserve">LK-01 100V</t>
  </si>
  <si>
    <t xml:space="preserve">MP-82 100H </t>
  </si>
  <si>
    <t xml:space="preserve">LATITUDE CROSS 104H XL </t>
  </si>
  <si>
    <t xml:space="preserve">LATITUDE TOUR HP 100H</t>
  </si>
  <si>
    <t xml:space="preserve">MR-HT 172 100H  </t>
  </si>
  <si>
    <t xml:space="preserve">701 100H SUV</t>
  </si>
  <si>
    <t xml:space="preserve">TRANPATH MPZ 100H </t>
  </si>
  <si>
    <t xml:space="preserve">TR-257 100T</t>
  </si>
  <si>
    <t xml:space="preserve">225.50/R16</t>
  </si>
  <si>
    <t xml:space="preserve">PRIMACY HP           V</t>
  </si>
  <si>
    <t xml:space="preserve">ATR SPORT 99W отбойник</t>
  </si>
  <si>
    <t xml:space="preserve">BRAVURIS 3 HM </t>
  </si>
  <si>
    <t xml:space="preserve">TURANZA T-001 </t>
  </si>
  <si>
    <t xml:space="preserve">PREMIUMCONTACT 5 95W </t>
  </si>
  <si>
    <t xml:space="preserve">SPORTCONTROL   </t>
  </si>
  <si>
    <t xml:space="preserve">K-115</t>
  </si>
  <si>
    <t xml:space="preserve">DRIVEWAYS 95W</t>
  </si>
  <si>
    <t xml:space="preserve">MP-47 95Y XL </t>
  </si>
  <si>
    <t xml:space="preserve">PRIMACY 3 95V </t>
  </si>
  <si>
    <t xml:space="preserve">PRIMACY 3 99W XL</t>
  </si>
  <si>
    <t xml:space="preserve">MR-182 XL 99V</t>
  </si>
  <si>
    <t xml:space="preserve">PERFORMANCE 95W </t>
  </si>
  <si>
    <t xml:space="preserve">ROSSAVA</t>
  </si>
  <si>
    <t xml:space="preserve">SOLAZO S PLUS 95V</t>
  </si>
  <si>
    <t xml:space="preserve">PERFORMANCE 95V</t>
  </si>
  <si>
    <t xml:space="preserve">PROXES CF2 95V </t>
  </si>
  <si>
    <t xml:space="preserve">TR-918 99W XL</t>
  </si>
  <si>
    <t xml:space="preserve">RAIN SPORT 3 99Y XL </t>
  </si>
  <si>
    <t xml:space="preserve">225.60/R16</t>
  </si>
  <si>
    <t xml:space="preserve">ECOCONTROL HP 98V </t>
  </si>
  <si>
    <t xml:space="preserve">KT-626 98V</t>
  </si>
  <si>
    <t xml:space="preserve">MP-46 98W </t>
  </si>
  <si>
    <t xml:space="preserve">PRIMACY HP 102V</t>
  </si>
  <si>
    <t xml:space="preserve">PRIMACY 3 102V XL </t>
  </si>
  <si>
    <t xml:space="preserve">NPRIZ AH8 98V M+S</t>
  </si>
  <si>
    <t xml:space="preserve">ROSAVA</t>
  </si>
  <si>
    <t xml:space="preserve">Украина</t>
  </si>
  <si>
    <t xml:space="preserve">ROLIT-6 98H</t>
  </si>
  <si>
    <t xml:space="preserve">225.70/R16</t>
  </si>
  <si>
    <t xml:space="preserve">BRAVURIS 4X4</t>
  </si>
  <si>
    <t xml:space="preserve">RA-33 103H</t>
  </si>
  <si>
    <t xml:space="preserve">COMPETUS A/T-2 103T</t>
  </si>
  <si>
    <t xml:space="preserve">COMPETUS H/L 102H</t>
  </si>
  <si>
    <t xml:space="preserve">MP-82 103H </t>
  </si>
  <si>
    <t xml:space="preserve">MR-HT 172 XL 103H</t>
  </si>
  <si>
    <t xml:space="preserve">225.75/R16 </t>
  </si>
  <si>
    <t xml:space="preserve">DUELER M/T 673</t>
  </si>
  <si>
    <t xml:space="preserve">MR-HT 172 M+S</t>
  </si>
  <si>
    <t xml:space="preserve">TRUCK 101 </t>
  </si>
  <si>
    <t xml:space="preserve">BRAVURIS 4X4 100H </t>
  </si>
  <si>
    <t xml:space="preserve">DESTINATION HP 100H </t>
  </si>
  <si>
    <t xml:space="preserve">ROAD 4X4 100H</t>
  </si>
  <si>
    <t xml:space="preserve">RA-33 106H </t>
  </si>
  <si>
    <t xml:space="preserve">COMPETUS H/L</t>
  </si>
  <si>
    <t xml:space="preserve">LK-41 100H</t>
  </si>
  <si>
    <t xml:space="preserve">LATITUDE CROSS </t>
  </si>
  <si>
    <t xml:space="preserve">LATITUDE TOUR HP 100H  </t>
  </si>
  <si>
    <t xml:space="preserve">MR-HT 172 100H М+S</t>
  </si>
  <si>
    <t xml:space="preserve">SUV-701 100H</t>
  </si>
  <si>
    <t xml:space="preserve">PROXES CF1 RF</t>
  </si>
  <si>
    <t xml:space="preserve">OPHT  </t>
  </si>
  <si>
    <t xml:space="preserve">TE-301 100H</t>
  </si>
  <si>
    <t xml:space="preserve">ULTRAC CENTO</t>
  </si>
  <si>
    <t xml:space="preserve">ALL TERRAIN </t>
  </si>
  <si>
    <t xml:space="preserve">DESTINATION HP 106H </t>
  </si>
  <si>
    <t xml:space="preserve">KT-616 106T</t>
  </si>
  <si>
    <t xml:space="preserve">LK-01</t>
  </si>
  <si>
    <t xml:space="preserve">MP-82</t>
  </si>
  <si>
    <t xml:space="preserve">LATITUDE TOUR HP  </t>
  </si>
  <si>
    <t xml:space="preserve">MR-HT 172 106T M+S</t>
  </si>
  <si>
    <t xml:space="preserve">ROADIAN HTX RH5 106T</t>
  </si>
  <si>
    <t xml:space="preserve">ск</t>
  </si>
  <si>
    <t xml:space="preserve">TERRAMAX CVR 106H</t>
  </si>
  <si>
    <t xml:space="preserve">235.75/R16</t>
  </si>
  <si>
    <t xml:space="preserve">RO-541 108H</t>
  </si>
  <si>
    <t xml:space="preserve">235.85/R16</t>
  </si>
  <si>
    <t xml:space="preserve">245.70/R16</t>
  </si>
  <si>
    <t xml:space="preserve">DESERT HAWK H/T</t>
  </si>
  <si>
    <t xml:space="preserve">индонезия</t>
  </si>
  <si>
    <t xml:space="preserve">BRAVURIS 4X4 107H</t>
  </si>
  <si>
    <t xml:space="preserve">ECOPIA EP-850 111H</t>
  </si>
  <si>
    <t xml:space="preserve">DUELER A/T 697 107S</t>
  </si>
  <si>
    <t xml:space="preserve">ALL TERRAIN  КО-2 113/110S</t>
  </si>
  <si>
    <t xml:space="preserve">США</t>
  </si>
  <si>
    <t xml:space="preserve">EXTRA LOAD 111H  M+S</t>
  </si>
  <si>
    <t xml:space="preserve">CROSCONTACT LX-2 107H </t>
  </si>
  <si>
    <t xml:space="preserve">WRANGLER AT/SA 110T M+S</t>
  </si>
  <si>
    <t xml:space="preserve">RA33 107H </t>
  </si>
  <si>
    <t xml:space="preserve">KT-616 111T XL</t>
  </si>
  <si>
    <t xml:space="preserve">COMPETUS A/T-2  111T  M+S</t>
  </si>
  <si>
    <t xml:space="preserve">MP-82 107H чехия</t>
  </si>
  <si>
    <t xml:space="preserve">MT-764 113/110Q вездеход</t>
  </si>
  <si>
    <t xml:space="preserve">LATITUDE CROSS 111H DT XL</t>
  </si>
  <si>
    <t xml:space="preserve">LATITUDE TOUR HP 107H </t>
  </si>
  <si>
    <t xml:space="preserve">MR-HT172 XL 111H</t>
  </si>
  <si>
    <t xml:space="preserve">RO-HT</t>
  </si>
  <si>
    <t xml:space="preserve">DUREVOLE 107T A/T M+S</t>
  </si>
  <si>
    <t xml:space="preserve">PROXES S/T 107V </t>
  </si>
  <si>
    <t xml:space="preserve">OPEN COUNTRY A/T 111H  </t>
  </si>
  <si>
    <t xml:space="preserve">TR-257 107T</t>
  </si>
  <si>
    <t xml:space="preserve">245.75/R16</t>
  </si>
  <si>
    <t xml:space="preserve">ALL-TERAIN KO-02 </t>
  </si>
  <si>
    <t xml:space="preserve">RF-10 OWL M+S </t>
  </si>
  <si>
    <t xml:space="preserve">LATITUDE TOUR</t>
  </si>
  <si>
    <t xml:space="preserve">MR-AT 172 111S M+S</t>
  </si>
  <si>
    <t xml:space="preserve">ROADIAN HTX RH-5 111S</t>
  </si>
  <si>
    <t xml:space="preserve">S</t>
  </si>
  <si>
    <t xml:space="preserve">TR-257 111H</t>
  </si>
  <si>
    <t xml:space="preserve">255.65/R16</t>
  </si>
  <si>
    <t xml:space="preserve">MP 81 CONQUERRA</t>
  </si>
  <si>
    <t xml:space="preserve">265.65/R16</t>
  </si>
  <si>
    <t xml:space="preserve">OPHT</t>
  </si>
  <si>
    <t xml:space="preserve">265.70/R16</t>
  </si>
  <si>
    <t xml:space="preserve">ALL TERRAIN KO-2 121/118S </t>
  </si>
  <si>
    <t xml:space="preserve">DUELER A/T 697 112S</t>
  </si>
  <si>
    <t xml:space="preserve">ECOPIA EP-850 112H</t>
  </si>
  <si>
    <t xml:space="preserve">RA-33 112H</t>
  </si>
  <si>
    <t xml:space="preserve">KT-616 112T</t>
  </si>
  <si>
    <t xml:space="preserve">COMPETUS H/L 112H</t>
  </si>
  <si>
    <t xml:space="preserve">COMPETUS A/T-2    M+S</t>
  </si>
  <si>
    <t xml:space="preserve">LD01 112T</t>
  </si>
  <si>
    <t xml:space="preserve">MP-82  112H</t>
  </si>
  <si>
    <t xml:space="preserve">MARSHAL</t>
  </si>
  <si>
    <t xml:space="preserve">HP-91 112V</t>
  </si>
  <si>
    <t xml:space="preserve">MT-764 117/114Q вездеход</t>
  </si>
  <si>
    <t xml:space="preserve">LATITUDE CROSS 112Н </t>
  </si>
  <si>
    <t xml:space="preserve">MR-AT172 112T</t>
  </si>
  <si>
    <t xml:space="preserve">TERRAMAX A/T 112T M+S</t>
  </si>
  <si>
    <t xml:space="preserve">DUREVOLE AT M+S</t>
  </si>
  <si>
    <t xml:space="preserve">OPEN COUNTRY A/T 112H  </t>
  </si>
  <si>
    <t xml:space="preserve">RAINEXPERT 3 112H SUV </t>
  </si>
  <si>
    <t xml:space="preserve">265.75/R16</t>
  </si>
  <si>
    <t xml:space="preserve">MR-AT 172 116S M+S</t>
  </si>
  <si>
    <t xml:space="preserve">ROADIAN HTX RH-5 116T</t>
  </si>
  <si>
    <t xml:space="preserve">OPC H/T W LT 112S</t>
  </si>
  <si>
    <t xml:space="preserve">275.70/R16</t>
  </si>
  <si>
    <t xml:space="preserve">DUELER A/T 697 114S</t>
  </si>
  <si>
    <t xml:space="preserve">ECOPIA EP-850 114H</t>
  </si>
  <si>
    <t xml:space="preserve">COOPER</t>
  </si>
  <si>
    <t xml:space="preserve">ZEON XSTA </t>
  </si>
  <si>
    <t xml:space="preserve">RF-10 114T</t>
  </si>
  <si>
    <t xml:space="preserve">LATITUDE TOUR HP 114H</t>
  </si>
  <si>
    <t xml:space="preserve">ROADIAN HT SUV 114S</t>
  </si>
  <si>
    <t xml:space="preserve">OPHT 114H</t>
  </si>
  <si>
    <t xml:space="preserve">285.75/R16</t>
  </si>
  <si>
    <t xml:space="preserve">MUD-TERRAIN T/A</t>
  </si>
  <si>
    <t xml:space="preserve">OPHT 3</t>
  </si>
  <si>
    <t xml:space="preserve">R 17</t>
  </si>
  <si>
    <t xml:space="preserve">205.50/R17</t>
  </si>
  <si>
    <t xml:space="preserve">BRAVURIS 3 HM 89V </t>
  </si>
  <si>
    <t xml:space="preserve">SPORTCONTACT 5</t>
  </si>
  <si>
    <t xml:space="preserve">MP-47 93V XL</t>
  </si>
  <si>
    <t xml:space="preserve">PILOT SPORT 3 93W</t>
  </si>
  <si>
    <t xml:space="preserve">SOLAZO 93V</t>
  </si>
  <si>
    <t xml:space="preserve">ATREZZO ZS 93W XL</t>
  </si>
  <si>
    <t xml:space="preserve">205.55/R17</t>
  </si>
  <si>
    <t xml:space="preserve">PREMIUM CONTACT 5 </t>
  </si>
  <si>
    <t xml:space="preserve">IMPETUS REVO 91W</t>
  </si>
  <si>
    <t xml:space="preserve">MP-47 XL 95V </t>
  </si>
  <si>
    <t xml:space="preserve">PILOT PRIMACY 95V</t>
  </si>
  <si>
    <t xml:space="preserve">NFERA RU-1 91V XL</t>
  </si>
  <si>
    <t xml:space="preserve">NFERA SU-1 95Y XL</t>
  </si>
  <si>
    <t xml:space="preserve">215.50/R17</t>
  </si>
  <si>
    <t xml:space="preserve">BRAVURIS 3 95Y</t>
  </si>
  <si>
    <t xml:space="preserve">SPORT CONTACT 5 </t>
  </si>
  <si>
    <t xml:space="preserve">SPORTCONTROL 95W XL </t>
  </si>
  <si>
    <t xml:space="preserve">K-120 95W XL</t>
  </si>
  <si>
    <t xml:space="preserve">MP-47 HECTORRA 3 XL 95W </t>
  </si>
  <si>
    <t xml:space="preserve">PRIMACY-3 95W</t>
  </si>
  <si>
    <t xml:space="preserve">MR-182 XL 95W</t>
  </si>
  <si>
    <t xml:space="preserve">NFERA SU-1 95W</t>
  </si>
  <si>
    <t xml:space="preserve">SUMMER PERFORMANCE 95W XL</t>
  </si>
  <si>
    <t xml:space="preserve">PERFORMANCE 401 95W XL </t>
  </si>
  <si>
    <t xml:space="preserve">PROXES CF2 95V</t>
  </si>
  <si>
    <t xml:space="preserve">TH-201 95W</t>
  </si>
  <si>
    <t xml:space="preserve">TRISTAR</t>
  </si>
  <si>
    <t xml:space="preserve">SPORTPOWER-2 98W XL</t>
  </si>
  <si>
    <t xml:space="preserve">215.55/R17</t>
  </si>
  <si>
    <t xml:space="preserve">AH-01 98W XL</t>
  </si>
  <si>
    <t xml:space="preserve">ACHILES</t>
  </si>
  <si>
    <t xml:space="preserve">ATR SPORT 98W</t>
  </si>
  <si>
    <t xml:space="preserve">BRAVURIS 3 94Y </t>
  </si>
  <si>
    <t xml:space="preserve">G-GRIP 94W</t>
  </si>
  <si>
    <t xml:space="preserve">TURANZA T005 94W </t>
  </si>
  <si>
    <t xml:space="preserve">TURANZA T001 94W</t>
  </si>
  <si>
    <t xml:space="preserve">PREMIUM CONTACT 5 94W </t>
  </si>
  <si>
    <t xml:space="preserve">PREMIUM CONTACT 5 94V </t>
  </si>
  <si>
    <t xml:space="preserve">PRESTO UHP 94W </t>
  </si>
  <si>
    <t xml:space="preserve">INTERTRAC</t>
  </si>
  <si>
    <t xml:space="preserve">TC-525 98W</t>
  </si>
  <si>
    <t xml:space="preserve">ZIEX ZE-914 94W </t>
  </si>
  <si>
    <t xml:space="preserve">SPORTCONTROL 98W </t>
  </si>
  <si>
    <t xml:space="preserve">EFFICIENT GRIP </t>
  </si>
  <si>
    <t xml:space="preserve">K-125 94V </t>
  </si>
  <si>
    <t xml:space="preserve">KT-696 98W XL</t>
  </si>
  <si>
    <t xml:space="preserve">IMPETUS REVO 94W</t>
  </si>
  <si>
    <t xml:space="preserve">DRIVEWAYS 94W</t>
  </si>
  <si>
    <t xml:space="preserve">VERSO</t>
  </si>
  <si>
    <t xml:space="preserve">MP-47 98Y XL  </t>
  </si>
  <si>
    <t xml:space="preserve">PRIMACY 4 94V</t>
  </si>
  <si>
    <t xml:space="preserve">PRIMACY 3 98W XL                </t>
  </si>
  <si>
    <t xml:space="preserve">HP-M3 98V M+S XL</t>
  </si>
  <si>
    <t xml:space="preserve">MR-182 98W XL</t>
  </si>
  <si>
    <t xml:space="preserve">SUMMER PERFORMANCE 98W XL </t>
  </si>
  <si>
    <t xml:space="preserve">W XL</t>
  </si>
  <si>
    <t xml:space="preserve">MAYSTORM-2 98W</t>
  </si>
  <si>
    <t xml:space="preserve">SOLAZO S PLUS 94V</t>
  </si>
  <si>
    <t xml:space="preserve">PERFORMANCE 98W</t>
  </si>
  <si>
    <t xml:space="preserve">RS-ONE 98W XL</t>
  </si>
  <si>
    <t xml:space="preserve">PROXES CF2 94W </t>
  </si>
  <si>
    <t xml:space="preserve">EXTENSA HP</t>
  </si>
  <si>
    <t xml:space="preserve">NANO ENERGY 2</t>
  </si>
  <si>
    <t xml:space="preserve">TH-201 94W</t>
  </si>
  <si>
    <t xml:space="preserve">RAIN SPORT 3</t>
  </si>
  <si>
    <t xml:space="preserve">DUELER SPORT H/P 96V </t>
  </si>
  <si>
    <t xml:space="preserve">PROCONTACT TX 96H </t>
  </si>
  <si>
    <t xml:space="preserve">RA-33 96H </t>
  </si>
  <si>
    <t xml:space="preserve">KL-33 </t>
  </si>
  <si>
    <t xml:space="preserve">COMPETUS H/P 96V</t>
  </si>
  <si>
    <t xml:space="preserve">HP-M3A 96H</t>
  </si>
  <si>
    <t xml:space="preserve">PRIMACY-3 96V </t>
  </si>
  <si>
    <t xml:space="preserve">PRIMACY-3 96V</t>
  </si>
  <si>
    <t xml:space="preserve">PERFORMANCE 96H </t>
  </si>
  <si>
    <t xml:space="preserve">PROXES CF1S 96H</t>
  </si>
  <si>
    <t xml:space="preserve">PROXES CF2S 96H</t>
  </si>
  <si>
    <t xml:space="preserve">TR-257 96H</t>
  </si>
  <si>
    <t xml:space="preserve">215.65/R17</t>
  </si>
  <si>
    <t xml:space="preserve">K-117 99V</t>
  </si>
  <si>
    <t xml:space="preserve">VERSADO VSCUV 98T</t>
  </si>
  <si>
    <t xml:space="preserve">225.45/R17</t>
  </si>
  <si>
    <t xml:space="preserve">BRAVURIS 3 HM FR 91Y</t>
  </si>
  <si>
    <t xml:space="preserve">BELCHINA</t>
  </si>
  <si>
    <t xml:space="preserve">BEL-285 ARTMOTION HP</t>
  </si>
  <si>
    <t xml:space="preserve">POTENZA</t>
  </si>
  <si>
    <t xml:space="preserve">PREMIUM CONTACT-6 91Y </t>
  </si>
  <si>
    <t xml:space="preserve">SPORTCONTROL</t>
  </si>
  <si>
    <t xml:space="preserve">SPORTCONTROL-2 94Y XL </t>
  </si>
  <si>
    <t xml:space="preserve">K-117 94Y XL</t>
  </si>
  <si>
    <t xml:space="preserve">MP-47 91Y </t>
  </si>
  <si>
    <t xml:space="preserve">MP-47 94Y XL </t>
  </si>
  <si>
    <t xml:space="preserve">MR-182 XL 94W отбойник</t>
  </si>
  <si>
    <t xml:space="preserve">SOLAZO </t>
  </si>
  <si>
    <t xml:space="preserve">RS-ONE 94W XL</t>
  </si>
  <si>
    <t xml:space="preserve">PROXES CF-2 94V</t>
  </si>
  <si>
    <t xml:space="preserve">EXTENZA HP</t>
  </si>
  <si>
    <t xml:space="preserve">225.50/R17</t>
  </si>
  <si>
    <t xml:space="preserve">SPORT 98W XL отбойник</t>
  </si>
  <si>
    <t xml:space="preserve">отбойник</t>
  </si>
  <si>
    <t xml:space="preserve">A-500 98W</t>
  </si>
  <si>
    <t xml:space="preserve">BRAVURIS 3 HM 98V XL </t>
  </si>
  <si>
    <t xml:space="preserve">G-GRIP V94</t>
  </si>
  <si>
    <t xml:space="preserve">T-001 98Y XL </t>
  </si>
  <si>
    <t xml:space="preserve">ECOCONTACT-5 </t>
  </si>
  <si>
    <t xml:space="preserve">PREMIUM CONTACT-6 98Y XL </t>
  </si>
  <si>
    <t xml:space="preserve">SP SPORT 01</t>
  </si>
  <si>
    <t xml:space="preserve">SP SPORT MAXX TT       94W</t>
  </si>
  <si>
    <t xml:space="preserve">SS-595 94W</t>
  </si>
  <si>
    <t xml:space="preserve">SPORTCONTROL XL 98W </t>
  </si>
  <si>
    <t xml:space="preserve">SPORTCONTROL-2 XL 98Y </t>
  </si>
  <si>
    <t xml:space="preserve">ALTIMAX SPORT 98Y XL </t>
  </si>
  <si>
    <t xml:space="preserve">EFFICIENT GRIP 98W</t>
  </si>
  <si>
    <t xml:space="preserve">K-117 98Y XL </t>
  </si>
  <si>
    <t xml:space="preserve">PS-31 </t>
  </si>
  <si>
    <t xml:space="preserve">DRIVEWAYS 98W</t>
  </si>
  <si>
    <t xml:space="preserve">MP-47 98V XL </t>
  </si>
  <si>
    <t xml:space="preserve">PILOT SPORT 4 98Y XL </t>
  </si>
  <si>
    <t xml:space="preserve">PRIMACY 3 94W  </t>
  </si>
  <si>
    <t xml:space="preserve">PRIMACY 3 94W XL </t>
  </si>
  <si>
    <t xml:space="preserve">PRIMACY 3 94W RFT </t>
  </si>
  <si>
    <t xml:space="preserve">PRIMACY 4 94Y </t>
  </si>
  <si>
    <t xml:space="preserve">MR-182 XL 98W</t>
  </si>
  <si>
    <t xml:space="preserve">NPRIZ-4 98V M+S</t>
  </si>
  <si>
    <t xml:space="preserve">ROAD PERFORMANCE 98V XL </t>
  </si>
  <si>
    <t xml:space="preserve">SOLAZO S PLUS 98V</t>
  </si>
  <si>
    <t xml:space="preserve">PERFORMANCE 98W XL</t>
  </si>
  <si>
    <t xml:space="preserve">PROXES CF-2 98V XL</t>
  </si>
  <si>
    <t xml:space="preserve">PROXES 4                    98W</t>
  </si>
  <si>
    <t xml:space="preserve">TR-968 XL</t>
  </si>
  <si>
    <t xml:space="preserve">RAINSPORT-3 XL 98Y </t>
  </si>
  <si>
    <t xml:space="preserve">225.55/R17</t>
  </si>
  <si>
    <t xml:space="preserve">SPORT-2 97W</t>
  </si>
  <si>
    <t xml:space="preserve">A-500 101W</t>
  </si>
  <si>
    <t xml:space="preserve">BRAVURIS 3 HM 101Y XL  </t>
  </si>
  <si>
    <t xml:space="preserve">TURANZA T001 97W RET</t>
  </si>
  <si>
    <t xml:space="preserve">PREMIUM CONTACT 5 97Y MO</t>
  </si>
  <si>
    <t xml:space="preserve">PREMIUM CONTACT 5 101Y MO XL </t>
  </si>
  <si>
    <t xml:space="preserve">ROADHAWK 101W </t>
  </si>
  <si>
    <t xml:space="preserve">SPORTCONTROL 2 101Y XL </t>
  </si>
  <si>
    <t xml:space="preserve">ALTIMAX SPORT 97Y XL </t>
  </si>
  <si>
    <t xml:space="preserve">K-117 97W XL</t>
  </si>
  <si>
    <t xml:space="preserve">K-115 101V XL </t>
  </si>
  <si>
    <t xml:space="preserve">KT-696 101W XL</t>
  </si>
  <si>
    <t xml:space="preserve">PS-31 корея</t>
  </si>
  <si>
    <t xml:space="preserve">DRIVEWAYS 101W XL</t>
  </si>
  <si>
    <t xml:space="preserve">MP 47 101Y XL </t>
  </si>
  <si>
    <t xml:space="preserve">PRO-101</t>
  </si>
  <si>
    <t xml:space="preserve">CROSSKLIMAT+ 112H</t>
  </si>
  <si>
    <t xml:space="preserve">PRIMACY 3 101W </t>
  </si>
  <si>
    <t xml:space="preserve">PRIMACY 4 101W XL </t>
  </si>
  <si>
    <t xml:space="preserve">MR-182 XL 101W</t>
  </si>
  <si>
    <t xml:space="preserve">PERFORMANCE 101W XL </t>
  </si>
  <si>
    <t xml:space="preserve">MAYSTORM 2 101W XL</t>
  </si>
  <si>
    <t xml:space="preserve">ROAD PERFORMANCE 98V</t>
  </si>
  <si>
    <t xml:space="preserve">PERFORMANCE 101W</t>
  </si>
  <si>
    <t xml:space="preserve">PERFORMANCE-401 101W </t>
  </si>
  <si>
    <t xml:space="preserve">PROXES CF2 97V</t>
  </si>
  <si>
    <t xml:space="preserve">PROXES TRT 97V </t>
  </si>
  <si>
    <t xml:space="preserve">DRB 97V </t>
  </si>
  <si>
    <t xml:space="preserve">TH-201 XL</t>
  </si>
  <si>
    <t xml:space="preserve">RAIN SPORT 3 101Y XL </t>
  </si>
  <si>
    <t xml:space="preserve">225.60/R17</t>
  </si>
  <si>
    <t xml:space="preserve">122 99H</t>
  </si>
  <si>
    <t xml:space="preserve">DUELER H/P SPORT 99H </t>
  </si>
  <si>
    <t xml:space="preserve">DUELER A/T-697 99H</t>
  </si>
  <si>
    <t xml:space="preserve">PREMIUMCONTACT-5 SUV </t>
  </si>
  <si>
    <t xml:space="preserve">EAGLE F-1 106V </t>
  </si>
  <si>
    <t xml:space="preserve">K-125</t>
  </si>
  <si>
    <t xml:space="preserve">К-115 99V </t>
  </si>
  <si>
    <t xml:space="preserve">KL-33 отбойник</t>
  </si>
  <si>
    <t xml:space="preserve">LH-41 99T</t>
  </si>
  <si>
    <t xml:space="preserve">KL-21 99H</t>
  </si>
  <si>
    <t xml:space="preserve">PRIMACY 4 99V </t>
  </si>
  <si>
    <t xml:space="preserve">PRIMACY 3 99V </t>
  </si>
  <si>
    <t xml:space="preserve">MR-HT 172 99H M+S</t>
  </si>
  <si>
    <t xml:space="preserve">NFERA RU-1 99H</t>
  </si>
  <si>
    <t xml:space="preserve">NBLUE HD PLUS 99H </t>
  </si>
  <si>
    <t xml:space="preserve">NPRIZ AH8 99H M-S</t>
  </si>
  <si>
    <t xml:space="preserve">SUMMER 4X4 99H </t>
  </si>
  <si>
    <t xml:space="preserve">701 99H SUV M+S</t>
  </si>
  <si>
    <t xml:space="preserve">PROXES ST-III 103V XL</t>
  </si>
  <si>
    <t xml:space="preserve">PROXES CF-2 99H SUV</t>
  </si>
  <si>
    <t xml:space="preserve">T1SPORT 99V</t>
  </si>
  <si>
    <t xml:space="preserve">TR-257 99H</t>
  </si>
  <si>
    <t xml:space="preserve">RAIN EXPERT 3 SUV 99V </t>
  </si>
  <si>
    <t xml:space="preserve">225.65/R17</t>
  </si>
  <si>
    <t xml:space="preserve">BRAVURIS 4X4 H</t>
  </si>
  <si>
    <t xml:space="preserve">CROSSCONTACT LX2 102H </t>
  </si>
  <si>
    <t xml:space="preserve">GRABER GT 102H </t>
  </si>
  <si>
    <t xml:space="preserve">RA-33 102H</t>
  </si>
  <si>
    <t xml:space="preserve">KT-616 102T</t>
  </si>
  <si>
    <t xml:space="preserve">KL-33 102H </t>
  </si>
  <si>
    <t xml:space="preserve">COMPETUS H/P 102V</t>
  </si>
  <si>
    <t xml:space="preserve">KL-21 102H</t>
  </si>
  <si>
    <t xml:space="preserve">MP-82 102H </t>
  </si>
  <si>
    <t xml:space="preserve">LATITUDE TOUR HP 102H </t>
  </si>
  <si>
    <t xml:space="preserve">LATITUDE CROSS DT 102H </t>
  </si>
  <si>
    <t xml:space="preserve">LATITUDE SPORT-3 102V </t>
  </si>
  <si>
    <t xml:space="preserve">MR-HT 172 102H</t>
  </si>
  <si>
    <t xml:space="preserve">NPRIZ AH5 102T M+S</t>
  </si>
  <si>
    <t xml:space="preserve">NFERA RU-1 102H</t>
  </si>
  <si>
    <t xml:space="preserve">RODIAN HTX RH5 102H M+S</t>
  </si>
  <si>
    <t xml:space="preserve">ROAD 701 4X4 M+S</t>
  </si>
  <si>
    <t xml:space="preserve">TERRAMAX CVR</t>
  </si>
  <si>
    <t xml:space="preserve">SUMMER PERFORMANCE 102H 4X4 </t>
  </si>
  <si>
    <t xml:space="preserve">701 106H SUV M+S</t>
  </si>
  <si>
    <t xml:space="preserve">PROXES CF-2S102H SUV </t>
  </si>
  <si>
    <t xml:space="preserve">TE-301 102H</t>
  </si>
  <si>
    <t xml:space="preserve">SPOTRAC 5 102H </t>
  </si>
  <si>
    <t xml:space="preserve">235.45/R17</t>
  </si>
  <si>
    <t xml:space="preserve">ATR SPORT 97W</t>
  </si>
  <si>
    <t xml:space="preserve">BRAVURIS 3 HM FR 97Y </t>
  </si>
  <si>
    <t xml:space="preserve">PREMIUM CONTACT 6 94Y</t>
  </si>
  <si>
    <t xml:space="preserve">PREMIUM CONTACT 6 97Y </t>
  </si>
  <si>
    <t xml:space="preserve">SPORTCONTROL-2 94Y </t>
  </si>
  <si>
    <t xml:space="preserve">K-120 97Y XL </t>
  </si>
  <si>
    <t xml:space="preserve">DYNAXER HP-3 94Y</t>
  </si>
  <si>
    <t xml:space="preserve">MP-47 97Y XL FR </t>
  </si>
  <si>
    <t xml:space="preserve">PRIMACY 3 97W </t>
  </si>
  <si>
    <t xml:space="preserve">PILOT SPORT PS3 </t>
  </si>
  <si>
    <t xml:space="preserve">SUMMER 97Y</t>
  </si>
  <si>
    <t xml:space="preserve">UHP 97Y</t>
  </si>
  <si>
    <t xml:space="preserve">S PLUS PREMIPRRI</t>
  </si>
  <si>
    <t xml:space="preserve">PROXES T1R 97Y XL </t>
  </si>
  <si>
    <t xml:space="preserve">PROXES CF2 94V</t>
  </si>
  <si>
    <t xml:space="preserve">235.50/R17</t>
  </si>
  <si>
    <t xml:space="preserve">COMFORSER</t>
  </si>
  <si>
    <t xml:space="preserve">CF-710 100W XL</t>
  </si>
  <si>
    <t xml:space="preserve">EAGLE F-1 ASYMMETRIC 96Y </t>
  </si>
  <si>
    <t xml:space="preserve">Y</t>
  </si>
  <si>
    <t xml:space="preserve">PRIMACY 3 96W </t>
  </si>
  <si>
    <t xml:space="preserve">N FERA SU-1 100W XL</t>
  </si>
  <si>
    <t xml:space="preserve">PROXES 4</t>
  </si>
  <si>
    <t xml:space="preserve">TR-967 100W</t>
  </si>
  <si>
    <t xml:space="preserve">V-105S 96Y </t>
  </si>
  <si>
    <t xml:space="preserve">235.55/R17</t>
  </si>
  <si>
    <t xml:space="preserve">BRAVURIS 3 HM 103Y XL </t>
  </si>
  <si>
    <t xml:space="preserve">ECOPIA EP-850 103H</t>
  </si>
  <si>
    <t xml:space="preserve">CROSSCONTACT LX2 116V </t>
  </si>
  <si>
    <t xml:space="preserve">PREMIUMCONTACT 5 AO 99V </t>
  </si>
  <si>
    <t xml:space="preserve">SPORTCONTROL 2 103Y XL </t>
  </si>
  <si>
    <t xml:space="preserve">K-125 103W XL </t>
  </si>
  <si>
    <t xml:space="preserve">K-117A 99V SUV </t>
  </si>
  <si>
    <t xml:space="preserve">KT-616 103W</t>
  </si>
  <si>
    <t xml:space="preserve">KT-676 103W</t>
  </si>
  <si>
    <t xml:space="preserve">KH-17 корея</t>
  </si>
  <si>
    <t xml:space="preserve">HS-51 103W XL </t>
  </si>
  <si>
    <t xml:space="preserve">DRIVEWAYS 103W XL</t>
  </si>
  <si>
    <t xml:space="preserve">MP-47 103V SUV XL </t>
  </si>
  <si>
    <t xml:space="preserve">MU-12 103W</t>
  </si>
  <si>
    <t xml:space="preserve">LATITUDE SPORT 99V   </t>
  </si>
  <si>
    <t xml:space="preserve">PRIMACY 4 103Y XL </t>
  </si>
  <si>
    <t xml:space="preserve">PRIMACY 4 XL 103W </t>
  </si>
  <si>
    <t xml:space="preserve">PRIMACY 3 XL 103W </t>
  </si>
  <si>
    <t xml:space="preserve">HP</t>
  </si>
  <si>
    <t xml:space="preserve">MR-182 103W XL</t>
  </si>
  <si>
    <t xml:space="preserve">N BLUE HD PLUS 99V </t>
  </si>
  <si>
    <t xml:space="preserve">NPRIZ AH-8 99V M+S</t>
  </si>
  <si>
    <t xml:space="preserve">HAKKA Z</t>
  </si>
  <si>
    <t xml:space="preserve">NFERA AU-5 103W </t>
  </si>
  <si>
    <t xml:space="preserve">STRIAL-401 103W</t>
  </si>
  <si>
    <t xml:space="preserve">RS-ONE 103V XL</t>
  </si>
  <si>
    <t xml:space="preserve">PROXES C1S 99Y</t>
  </si>
  <si>
    <t xml:space="preserve">PROXES CF-2 99V SUV </t>
  </si>
  <si>
    <t xml:space="preserve">TH-201 99W</t>
  </si>
  <si>
    <t xml:space="preserve">RAINSPORT 3 SUV 99V </t>
  </si>
  <si>
    <t xml:space="preserve">235.60/R17</t>
  </si>
  <si>
    <t xml:space="preserve">RA-23 102H</t>
  </si>
  <si>
    <t xml:space="preserve">LATITUDE SPORT 3 102V</t>
  </si>
  <si>
    <t xml:space="preserve">NBLUE HD PLUS 102H</t>
  </si>
  <si>
    <t xml:space="preserve">PROXES CF1</t>
  </si>
  <si>
    <t xml:space="preserve">235.65/R17</t>
  </si>
  <si>
    <t xml:space="preserve">BRAVURIS 4X4 108V XL FR </t>
  </si>
  <si>
    <t xml:space="preserve">ER-30 108V </t>
  </si>
  <si>
    <t xml:space="preserve">ZIEX ZE-912</t>
  </si>
  <si>
    <t xml:space="preserve">FK-453 108V</t>
  </si>
  <si>
    <t xml:space="preserve">DESTINATION HP 104H </t>
  </si>
  <si>
    <t xml:space="preserve">GRABER GT 108V XL</t>
  </si>
  <si>
    <t xml:space="preserve">DYNAPRO HP2 RA33 </t>
  </si>
  <si>
    <t xml:space="preserve">K-115 104H </t>
  </si>
  <si>
    <t xml:space="preserve">STEEL RADIAL 798</t>
  </si>
  <si>
    <t xml:space="preserve">COMPETUS H/L 108H</t>
  </si>
  <si>
    <t xml:space="preserve">COMPETUS H/P 108V XL</t>
  </si>
  <si>
    <t xml:space="preserve">LD-01 104T</t>
  </si>
  <si>
    <t xml:space="preserve">HP-91 104V </t>
  </si>
  <si>
    <t xml:space="preserve">MP-82 108H XL </t>
  </si>
  <si>
    <t xml:space="preserve">MP-85 HECTORRA 4x4</t>
  </si>
  <si>
    <t xml:space="preserve">HP-M3 104H M+S</t>
  </si>
  <si>
    <t xml:space="preserve">LATITUDE DIAMARIS  4X4 108VXL </t>
  </si>
  <si>
    <t xml:space="preserve">LATITUDE CROSS 108H XL </t>
  </si>
  <si>
    <t xml:space="preserve">LATITUDE TOUR HP 108V XL </t>
  </si>
  <si>
    <t xml:space="preserve">LATITUDE SPORT 3 104V </t>
  </si>
  <si>
    <t xml:space="preserve">MR-HT 172 108H M+S XL</t>
  </si>
  <si>
    <t xml:space="preserve">NFERA RU-1 108Н </t>
  </si>
  <si>
    <t xml:space="preserve">SUMMER 104V 4X4</t>
  </si>
  <si>
    <t xml:space="preserve">701 TL 108V</t>
  </si>
  <si>
    <t xml:space="preserve">ROAD-701 104V SUV</t>
  </si>
  <si>
    <t xml:space="preserve">PROXES ST-III 108V </t>
  </si>
  <si>
    <t xml:space="preserve">PROXES T1 SPORT 108V SUV XL</t>
  </si>
  <si>
    <t xml:space="preserve">TR-257 104T</t>
  </si>
  <si>
    <t xml:space="preserve">SPOTRAC 5 SUV 108V</t>
  </si>
  <si>
    <t xml:space="preserve">245.40/R17</t>
  </si>
  <si>
    <t xml:space="preserve">VENTUS V12 EVO K110</t>
  </si>
  <si>
    <t xml:space="preserve">PILOT SPORT 3 91Y</t>
  </si>
  <si>
    <t xml:space="preserve">245.45/R17</t>
  </si>
  <si>
    <t xml:space="preserve">BRAVURIS-3 99Y XL </t>
  </si>
  <si>
    <t xml:space="preserve">G-GRIP 95Y </t>
  </si>
  <si>
    <t xml:space="preserve">PREMIUM CONTACT 6 95Y </t>
  </si>
  <si>
    <t xml:space="preserve">SP SPORT MAXX TT</t>
  </si>
  <si>
    <t xml:space="preserve">SS-595 95V</t>
  </si>
  <si>
    <t xml:space="preserve">EAGLE F-1 ASYMMETRIC 3 95Y </t>
  </si>
  <si>
    <t xml:space="preserve">K-120 99Y корея</t>
  </si>
  <si>
    <t xml:space="preserve">MP-47 95Y</t>
  </si>
  <si>
    <t xml:space="preserve">PILOT SPORT 4 99Y XL </t>
  </si>
  <si>
    <t xml:space="preserve">PRIMACY 3 GRNX 99W XL </t>
  </si>
  <si>
    <t xml:space="preserve">NFERA SU1</t>
  </si>
  <si>
    <t xml:space="preserve">CINTURATO MO 95W</t>
  </si>
  <si>
    <t xml:space="preserve">ATREZZO ZS+</t>
  </si>
  <si>
    <t xml:space="preserve">SUMITOMO</t>
  </si>
  <si>
    <t xml:space="preserve">HTR 45Z</t>
  </si>
  <si>
    <t xml:space="preserve">PERFORMANCE  401 99W XL</t>
  </si>
  <si>
    <t xml:space="preserve">PROXES T1 SPORT 99Y</t>
  </si>
  <si>
    <t xml:space="preserve">TH-201 99Y</t>
  </si>
  <si>
    <t xml:space="preserve">245.50/R17</t>
  </si>
  <si>
    <t xml:space="preserve">VERSADO LX</t>
  </si>
  <si>
    <t xml:space="preserve">245.65/R17</t>
  </si>
  <si>
    <t xml:space="preserve">ECOPIA EP850 111H</t>
  </si>
  <si>
    <t xml:space="preserve">RA-33 HP2 107H </t>
  </si>
  <si>
    <t xml:space="preserve">COMPETUS A/T 111T</t>
  </si>
  <si>
    <t xml:space="preserve">A</t>
  </si>
  <si>
    <t xml:space="preserve">MP-85 HECTORRA 4x4 111Н</t>
  </si>
  <si>
    <t xml:space="preserve">LATITUDE TOUR HP 107H</t>
  </si>
  <si>
    <t xml:space="preserve">LTX 105T</t>
  </si>
  <si>
    <t xml:space="preserve">MR-HT 172 XL 111H</t>
  </si>
  <si>
    <t xml:space="preserve">OPHT 111Н XL</t>
  </si>
  <si>
    <t xml:space="preserve">255.45/R17</t>
  </si>
  <si>
    <t xml:space="preserve">EXCLAIM UHP</t>
  </si>
  <si>
    <t xml:space="preserve">255.60/R17</t>
  </si>
  <si>
    <t xml:space="preserve">SP-303 106H</t>
  </si>
  <si>
    <t xml:space="preserve">DUELER H/P SPORT 106H</t>
  </si>
  <si>
    <t xml:space="preserve">F-1 106V </t>
  </si>
  <si>
    <t xml:space="preserve">RA-33 106V</t>
  </si>
  <si>
    <t xml:space="preserve">COMPETUS H/P 106V</t>
  </si>
  <si>
    <t xml:space="preserve">MP-71 IZZARDA </t>
  </si>
  <si>
    <t xml:space="preserve">MP-82 словакия</t>
  </si>
  <si>
    <t xml:space="preserve">LATITUDE SPORT 3 106V</t>
  </si>
  <si>
    <t xml:space="preserve">RO-542 106H</t>
  </si>
  <si>
    <t xml:space="preserve">NFERA RU-1</t>
  </si>
  <si>
    <t xml:space="preserve">PROXES ST-III 110V </t>
  </si>
  <si>
    <t xml:space="preserve">VERSADO</t>
  </si>
  <si>
    <t xml:space="preserve">255.65/R17</t>
  </si>
  <si>
    <t xml:space="preserve">WRANGLER AT/SA 110T крупный</t>
  </si>
  <si>
    <t xml:space="preserve">RO-HTX RH5 110S</t>
  </si>
  <si>
    <t xml:space="preserve">265.65/R17</t>
  </si>
  <si>
    <t xml:space="preserve">ALL-TERRAIN KO-2</t>
  </si>
  <si>
    <t xml:space="preserve">DUELER H/T 840 </t>
  </si>
  <si>
    <t xml:space="preserve">DUELER А/T 001 112S </t>
  </si>
  <si>
    <t xml:space="preserve">ECOPIA EP850 112H</t>
  </si>
  <si>
    <t xml:space="preserve">CROSCONTACT LX 2 112H </t>
  </si>
  <si>
    <t xml:space="preserve">INTERSTATE</t>
  </si>
  <si>
    <t xml:space="preserve">SPORT SUV GT 112H</t>
  </si>
  <si>
    <t xml:space="preserve">ROAD VENTURE SAT KL51</t>
  </si>
  <si>
    <t xml:space="preserve">ROAD VENTURE SAT KL61 </t>
  </si>
  <si>
    <t xml:space="preserve">LANDSAIL</t>
  </si>
  <si>
    <t xml:space="preserve">CL V2 112H </t>
  </si>
  <si>
    <t xml:space="preserve">COMPETUS A/T-2 112T</t>
  </si>
  <si>
    <t xml:space="preserve">LC-01 112T M+S</t>
  </si>
  <si>
    <t xml:space="preserve">2017/2016</t>
  </si>
  <si>
    <t xml:space="preserve">NOVA-FORCE 4X4 HP 112H</t>
  </si>
  <si>
    <t xml:space="preserve">LATITUDE CROSS 112H </t>
  </si>
  <si>
    <t xml:space="preserve">MR-HT 172 112H</t>
  </si>
  <si>
    <t xml:space="preserve">ROADIAN-HTX RH5 112H M+S </t>
  </si>
  <si>
    <t xml:space="preserve">OPEN COUNTRY H/T 112H </t>
  </si>
  <si>
    <t xml:space="preserve">OPEN COUNTRY A/T+ 112H TL</t>
  </si>
  <si>
    <t xml:space="preserve">TR-257 112H</t>
  </si>
  <si>
    <t xml:space="preserve">RAINEXPERT 3 SUV 112H </t>
  </si>
  <si>
    <t xml:space="preserve">265.70/R17</t>
  </si>
  <si>
    <t xml:space="preserve">ALL-TERRAIN KO-2 121/118S </t>
  </si>
  <si>
    <t xml:space="preserve">LATITUDE CROSS 115H </t>
  </si>
  <si>
    <t xml:space="preserve">MR-HT 172 121/118S</t>
  </si>
  <si>
    <t xml:space="preserve">ROADIAN HTX RH5 115T</t>
  </si>
  <si>
    <t xml:space="preserve">OPEN COUNTRY H/T 112S</t>
  </si>
  <si>
    <t xml:space="preserve">275.60/R17</t>
  </si>
  <si>
    <t xml:space="preserve">PROXES S/T</t>
  </si>
  <si>
    <t xml:space="preserve">275.65/R17</t>
  </si>
  <si>
    <t xml:space="preserve">DUELER A/T 694     M+S</t>
  </si>
  <si>
    <t xml:space="preserve">DUELER H/T 840 114H</t>
  </si>
  <si>
    <t xml:space="preserve">A 15/12</t>
  </si>
  <si>
    <t xml:space="preserve">RA-33 115H OWL</t>
  </si>
  <si>
    <t xml:space="preserve">LATITUDE CROSS 115T</t>
  </si>
  <si>
    <t xml:space="preserve">285.60/R17</t>
  </si>
  <si>
    <t xml:space="preserve">PROXES STII</t>
  </si>
  <si>
    <t xml:space="preserve">285.70/R17</t>
  </si>
  <si>
    <t xml:space="preserve">ALL-TERRAIN KO-2 121/118R </t>
  </si>
  <si>
    <t xml:space="preserve"> R 18</t>
  </si>
  <si>
    <t xml:space="preserve">215.55/R18</t>
  </si>
  <si>
    <t xml:space="preserve">MP-47 99V SUV XL </t>
  </si>
  <si>
    <t xml:space="preserve">VERSADO LX 95T</t>
  </si>
  <si>
    <t xml:space="preserve">225.40/R18</t>
  </si>
  <si>
    <t xml:space="preserve">BRAVURIS 2 W  </t>
  </si>
  <si>
    <t xml:space="preserve">UHP MFS 92Y XL </t>
  </si>
  <si>
    <t xml:space="preserve">N 9000</t>
  </si>
  <si>
    <t xml:space="preserve">EXTENSA HP 92V</t>
  </si>
  <si>
    <t xml:space="preserve">225.45/R18</t>
  </si>
  <si>
    <t xml:space="preserve">Austone</t>
  </si>
  <si>
    <t xml:space="preserve">SP-701</t>
  </si>
  <si>
    <t xml:space="preserve">BRAVURIS 2 Y FR</t>
  </si>
  <si>
    <t xml:space="preserve">INFINITY</t>
  </si>
  <si>
    <t xml:space="preserve">ECOMAX 95Y XL</t>
  </si>
  <si>
    <t xml:space="preserve">MP-47 95Y XL</t>
  </si>
  <si>
    <t xml:space="preserve">DYNAXER HP-3 95W </t>
  </si>
  <si>
    <t xml:space="preserve">NFERA SU-1 95Y </t>
  </si>
  <si>
    <t xml:space="preserve">TR-918 95V</t>
  </si>
  <si>
    <t xml:space="preserve">225.55/R18</t>
  </si>
  <si>
    <t xml:space="preserve">BRAVURIS 3HM SUV </t>
  </si>
  <si>
    <t xml:space="preserve">DUELER H/P SPORT V </t>
  </si>
  <si>
    <t xml:space="preserve">PREMIUM CONTACT 6 98V </t>
  </si>
  <si>
    <t xml:space="preserve">GRABER GT 98V </t>
  </si>
  <si>
    <t xml:space="preserve">K-415</t>
  </si>
  <si>
    <t xml:space="preserve">KT-616 98V</t>
  </si>
  <si>
    <t xml:space="preserve">COMPETUS H/P 98V</t>
  </si>
  <si>
    <t xml:space="preserve">MP-47 98V  SUV </t>
  </si>
  <si>
    <t xml:space="preserve">TRANPATН MPZ 98V  отбойник</t>
  </si>
  <si>
    <t xml:space="preserve">TH-201 102W</t>
  </si>
  <si>
    <t xml:space="preserve">RAINSPORT 3 SUV 98V </t>
  </si>
  <si>
    <t xml:space="preserve">225.60/R18</t>
  </si>
  <si>
    <t xml:space="preserve">HP-71</t>
  </si>
  <si>
    <t xml:space="preserve">COMPETUS H/P 100V</t>
  </si>
  <si>
    <t xml:space="preserve">LK-01 100H</t>
  </si>
  <si>
    <t xml:space="preserve">HP-M3 100H M+S</t>
  </si>
  <si>
    <t xml:space="preserve">LATITUDE SPORT 3 100V </t>
  </si>
  <si>
    <t xml:space="preserve">LATITUDE TOUR HP </t>
  </si>
  <si>
    <t xml:space="preserve">ATREZZO 104W</t>
  </si>
  <si>
    <t xml:space="preserve">PROXES CF-2 100W TL</t>
  </si>
  <si>
    <t xml:space="preserve">PROXES CF-2 100H SUV TL</t>
  </si>
  <si>
    <t xml:space="preserve">OPEN COUNTRY U/T 100H </t>
  </si>
  <si>
    <t xml:space="preserve">TR-257 100V</t>
  </si>
  <si>
    <t xml:space="preserve">RAINEXPERT 3 SUV 100H </t>
  </si>
  <si>
    <t xml:space="preserve">225.65/R18</t>
  </si>
  <si>
    <t xml:space="preserve">GRANDTREC</t>
  </si>
  <si>
    <t xml:space="preserve">235.40/R18</t>
  </si>
  <si>
    <t xml:space="preserve">BRAVURIS 3 95Y XL FR</t>
  </si>
  <si>
    <t xml:space="preserve">SPORT CONTACT-5 95W XL</t>
  </si>
  <si>
    <t xml:space="preserve">PILOT SPORT 91Y</t>
  </si>
  <si>
    <t xml:space="preserve">N6000</t>
  </si>
  <si>
    <t xml:space="preserve">NFERA SU-1</t>
  </si>
  <si>
    <t xml:space="preserve">N-9000</t>
  </si>
  <si>
    <t xml:space="preserve">235.45/R18</t>
  </si>
  <si>
    <t xml:space="preserve">SP-701 XL</t>
  </si>
  <si>
    <t xml:space="preserve">BRAVURIS 3HM 98Y XL </t>
  </si>
  <si>
    <t xml:space="preserve">PREMIUM CONTACT 6 98Y XL </t>
  </si>
  <si>
    <t xml:space="preserve">Y XL</t>
  </si>
  <si>
    <t xml:space="preserve">FK-453 98Y</t>
  </si>
  <si>
    <t xml:space="preserve">SPORTCONTROL 94W </t>
  </si>
  <si>
    <t xml:space="preserve">PHENOMA 94W</t>
  </si>
  <si>
    <t xml:space="preserve">PRIMACY 3 98W XL </t>
  </si>
  <si>
    <t xml:space="preserve">испания</t>
  </si>
  <si>
    <t xml:space="preserve">PILOT SPORT 3 </t>
  </si>
  <si>
    <t xml:space="preserve">NFERA SU-1 98Y</t>
  </si>
  <si>
    <t xml:space="preserve">RAIN SPORT 3 98Y XL </t>
  </si>
  <si>
    <t xml:space="preserve">TR-968 98V</t>
  </si>
  <si>
    <t xml:space="preserve">TH-201 98Y</t>
  </si>
  <si>
    <t xml:space="preserve">235.50/R18</t>
  </si>
  <si>
    <t xml:space="preserve">ATR SPORT -2 101V</t>
  </si>
  <si>
    <t xml:space="preserve">PREMIUM CONTACT 6 97V </t>
  </si>
  <si>
    <t xml:space="preserve">K-415 100V</t>
  </si>
  <si>
    <t xml:space="preserve">KU21</t>
  </si>
  <si>
    <t xml:space="preserve">KU-31</t>
  </si>
  <si>
    <t xml:space="preserve">MP-47 HECTORRA 3 XL 101V </t>
  </si>
  <si>
    <t xml:space="preserve">LATITUDE TOUR HP Франция</t>
  </si>
  <si>
    <t xml:space="preserve">N FERA SU1</t>
  </si>
  <si>
    <t xml:space="preserve">PROXES Т1S 101Y</t>
  </si>
  <si>
    <t xml:space="preserve">TRANPATH MPZ 101V XL </t>
  </si>
  <si>
    <t xml:space="preserve">TR-257 97V</t>
  </si>
  <si>
    <t xml:space="preserve">SPORT 3 97V SUV </t>
  </si>
  <si>
    <t xml:space="preserve">ADVAN SPORT TERRAIN V802</t>
  </si>
  <si>
    <t xml:space="preserve">235.55/R18</t>
  </si>
  <si>
    <t xml:space="preserve">DUELER H/P SPORT 100V</t>
  </si>
  <si>
    <t xml:space="preserve">SPORT CONTACT 5 100V</t>
  </si>
  <si>
    <t xml:space="preserve">PREMIUMCONTACT-6 100V </t>
  </si>
  <si>
    <t xml:space="preserve">RA-33 100V </t>
  </si>
  <si>
    <t xml:space="preserve">KT-696 100W</t>
  </si>
  <si>
    <t xml:space="preserve">KL-33 VXLL корея</t>
  </si>
  <si>
    <t xml:space="preserve">COMPETUS H/Р 100V</t>
  </si>
  <si>
    <t xml:space="preserve">MP-47 100V SUV </t>
  </si>
  <si>
    <t xml:space="preserve">LATITUDE TOUR HP 100V </t>
  </si>
  <si>
    <t xml:space="preserve">SKORPION VERDE 100V</t>
  </si>
  <si>
    <t xml:space="preserve">701 100V</t>
  </si>
  <si>
    <t xml:space="preserve">OPEN COUNTRY H/T</t>
  </si>
  <si>
    <t xml:space="preserve">PROXES CF-2 SUV</t>
  </si>
  <si>
    <t xml:space="preserve">235.60/R18</t>
  </si>
  <si>
    <t xml:space="preserve">ACELLERA</t>
  </si>
  <si>
    <t xml:space="preserve">107V  </t>
  </si>
  <si>
    <t xml:space="preserve">A-2000 H\T 107H XL</t>
  </si>
  <si>
    <t xml:space="preserve">BRAVURIS 4X4 107V</t>
  </si>
  <si>
    <t xml:space="preserve">C</t>
  </si>
  <si>
    <t xml:space="preserve">DUELER H/P SPORT 103V </t>
  </si>
  <si>
    <t xml:space="preserve">PREMIUMCONTACT-6 103V </t>
  </si>
  <si>
    <t xml:space="preserve">FK-453 CC 107W</t>
  </si>
  <si>
    <t xml:space="preserve">COURAGIA F/X XL 107V</t>
  </si>
  <si>
    <t xml:space="preserve">GRABBER UHP </t>
  </si>
  <si>
    <t xml:space="preserve">USA</t>
  </si>
  <si>
    <t xml:space="preserve">EXCELLENCE </t>
  </si>
  <si>
    <t xml:space="preserve">K-115 103V </t>
  </si>
  <si>
    <t xml:space="preserve">K-117 103V </t>
  </si>
  <si>
    <t xml:space="preserve">RA33 107V XL</t>
  </si>
  <si>
    <t xml:space="preserve">KL-33 VXLL 103H </t>
  </si>
  <si>
    <t xml:space="preserve">COMPETUS H/P 107 W</t>
  </si>
  <si>
    <t xml:space="preserve">MP 85</t>
  </si>
  <si>
    <t xml:space="preserve">LATITUDE TOUR HP 103H</t>
  </si>
  <si>
    <t xml:space="preserve">LATITUDE SPORT 3 107W </t>
  </si>
  <si>
    <t xml:space="preserve">LATITUDE CROSS 107H XL </t>
  </si>
  <si>
    <t xml:space="preserve">NFERA RU1 103V отбойник</t>
  </si>
  <si>
    <t xml:space="preserve">NFERA RU5 107V XL </t>
  </si>
  <si>
    <t xml:space="preserve">TERRAMAX CVR 103V</t>
  </si>
  <si>
    <t xml:space="preserve">SUV-701 107W</t>
  </si>
  <si>
    <t xml:space="preserve">TR-257 103V</t>
  </si>
  <si>
    <t xml:space="preserve">OPEN COUNTRY H/T 107V</t>
  </si>
  <si>
    <t xml:space="preserve">PROXES ST III 107V XL </t>
  </si>
  <si>
    <t xml:space="preserve">V-105 107W </t>
  </si>
  <si>
    <t xml:space="preserve">ZETTA</t>
  </si>
  <si>
    <t xml:space="preserve">107V XL</t>
  </si>
  <si>
    <t xml:space="preserve">235.65/R18</t>
  </si>
  <si>
    <t xml:space="preserve">LATITUDE TOUR HP 104H</t>
  </si>
  <si>
    <t xml:space="preserve">PA02</t>
  </si>
  <si>
    <t xml:space="preserve">245.40/R18</t>
  </si>
  <si>
    <t xml:space="preserve">T-001 93Y венгрия</t>
  </si>
  <si>
    <t xml:space="preserve">PREMIUM CONTACT 6 XL 97Y </t>
  </si>
  <si>
    <t xml:space="preserve">SP CONTACT 3</t>
  </si>
  <si>
    <t xml:space="preserve">М</t>
  </si>
  <si>
    <t xml:space="preserve">NRVI SUV</t>
  </si>
  <si>
    <t xml:space="preserve">SPORTCONTROL 97Y MFS </t>
  </si>
  <si>
    <t xml:space="preserve">KU-36</t>
  </si>
  <si>
    <t xml:space="preserve">MP-47 97Y XL </t>
  </si>
  <si>
    <t xml:space="preserve">PRIMACY 3 93Y </t>
  </si>
  <si>
    <t xml:space="preserve">PZERO 97Y XL MO</t>
  </si>
  <si>
    <t xml:space="preserve">EXTENSA HP </t>
  </si>
  <si>
    <t xml:space="preserve">PROXES TS XL</t>
  </si>
  <si>
    <t xml:space="preserve">TR-968 97V</t>
  </si>
  <si>
    <t xml:space="preserve">245.45/R18</t>
  </si>
  <si>
    <t xml:space="preserve">BRAVURIS 3HM FR</t>
  </si>
  <si>
    <t xml:space="preserve">POTENZA S-001 100Y Xl</t>
  </si>
  <si>
    <t xml:space="preserve">PREMIUM CONTACT 6 96Y </t>
  </si>
  <si>
    <t xml:space="preserve">SPORTCONTACT-3 96Y SSR</t>
  </si>
  <si>
    <t xml:space="preserve">ZIEX ZE-914 100W </t>
  </si>
  <si>
    <t xml:space="preserve">тайлан</t>
  </si>
  <si>
    <t xml:space="preserve">SS-595 96W</t>
  </si>
  <si>
    <t xml:space="preserve">K-117 100Y XL</t>
  </si>
  <si>
    <t xml:space="preserve">K-120 100Y XL</t>
  </si>
  <si>
    <t xml:space="preserve">DRIVEWAYS 100W XL</t>
  </si>
  <si>
    <t xml:space="preserve">MP-47 100Y XL </t>
  </si>
  <si>
    <t xml:space="preserve">PRIMACY 4 100W XL </t>
  </si>
  <si>
    <t xml:space="preserve">PILOT  SPORT 3 96 v</t>
  </si>
  <si>
    <t xml:space="preserve">N9000</t>
  </si>
  <si>
    <t xml:space="preserve">PERFORMANCE  401 100W XL</t>
  </si>
  <si>
    <t xml:space="preserve">PROXES С1S XL</t>
  </si>
  <si>
    <t xml:space="preserve">EXTENSA HP 100W</t>
  </si>
  <si>
    <t xml:space="preserve">TR-968 96V</t>
  </si>
  <si>
    <t xml:space="preserve">TH-201 100Y</t>
  </si>
  <si>
    <t xml:space="preserve">245.50/R18</t>
  </si>
  <si>
    <t xml:space="preserve">TURANZA T-001 100W </t>
  </si>
  <si>
    <t xml:space="preserve">PREMIUM CONTACT 5</t>
  </si>
  <si>
    <t xml:space="preserve">SPORTCONTACT-3 100Y RF </t>
  </si>
  <si>
    <t xml:space="preserve">герман.</t>
  </si>
  <si>
    <t xml:space="preserve">H-426 99V </t>
  </si>
  <si>
    <t xml:space="preserve">LH-01 W</t>
  </si>
  <si>
    <t xml:space="preserve">PILOT PRIMACY  100W            </t>
  </si>
  <si>
    <t xml:space="preserve">франция  </t>
  </si>
  <si>
    <t xml:space="preserve">PROXES C1S 100Y</t>
  </si>
  <si>
    <t xml:space="preserve">TR-918 100V</t>
  </si>
  <si>
    <t xml:space="preserve">245.60/R18</t>
  </si>
  <si>
    <t xml:space="preserve">ZE-912</t>
  </si>
  <si>
    <t xml:space="preserve">LATITUDE TOUR HP 104H </t>
  </si>
  <si>
    <t xml:space="preserve">SPORT 3 105H </t>
  </si>
  <si>
    <t xml:space="preserve">ROADIAN HTX RH-5</t>
  </si>
  <si>
    <t xml:space="preserve">VERSADO SUV</t>
  </si>
  <si>
    <t xml:space="preserve">255.45/R18</t>
  </si>
  <si>
    <t xml:space="preserve">BRAVURIS 3 103Y XL </t>
  </si>
  <si>
    <t xml:space="preserve">TURANZA T-001 99Y </t>
  </si>
  <si>
    <t xml:space="preserve">PREMIUMCONTACT-6 99Y </t>
  </si>
  <si>
    <t xml:space="preserve">PS-31</t>
  </si>
  <si>
    <t xml:space="preserve">PRIMACY 3 99Y </t>
  </si>
  <si>
    <t xml:space="preserve">PRIMACY HP 99Y </t>
  </si>
  <si>
    <t xml:space="preserve">MAYSTORM 2 B2 XL 103Y</t>
  </si>
  <si>
    <t xml:space="preserve">RAIN SPORT-3 103Y XL </t>
  </si>
  <si>
    <t xml:space="preserve">255.55/R18</t>
  </si>
  <si>
    <t xml:space="preserve">BRAVURIS 3 HM 109Y XL </t>
  </si>
  <si>
    <t xml:space="preserve">DUELER SPORT HP</t>
  </si>
  <si>
    <t xml:space="preserve">CROSS CONTACT UHP 109Y N1</t>
  </si>
  <si>
    <t xml:space="preserve">SPORT CONTACT 5 109Y XL </t>
  </si>
  <si>
    <t xml:space="preserve">FK-453 CC 109W </t>
  </si>
  <si>
    <t xml:space="preserve">ZIEX S/TZ 04</t>
  </si>
  <si>
    <t xml:space="preserve">EFFICIENT GRIP SUV 109V XL</t>
  </si>
  <si>
    <t xml:space="preserve">K-117A Xl 109V </t>
  </si>
  <si>
    <t xml:space="preserve">NOVA-FORCE 4X4 HP 109v</t>
  </si>
  <si>
    <t xml:space="preserve">LK-01 XL </t>
  </si>
  <si>
    <t xml:space="preserve">MP-47 109Y SUV XL </t>
  </si>
  <si>
    <t xml:space="preserve">LATITUDE SPORT  XL 109Y №1 </t>
  </si>
  <si>
    <t xml:space="preserve">LATITUDE SPORT 3 105W </t>
  </si>
  <si>
    <t xml:space="preserve">LATITUDE TOUR HP 105V NO </t>
  </si>
  <si>
    <t xml:space="preserve">LATITUDE SPORT 3 109Y  XL </t>
  </si>
  <si>
    <t xml:space="preserve">RS-ONE 109W XL</t>
  </si>
  <si>
    <t xml:space="preserve">PROXES ST-III 109V XL </t>
  </si>
  <si>
    <t xml:space="preserve">PROXES T1SPORT</t>
  </si>
  <si>
    <t xml:space="preserve">TR 257 109V </t>
  </si>
  <si>
    <t xml:space="preserve">RAIN SPORT 3 SUV XL 109Y </t>
  </si>
  <si>
    <t xml:space="preserve">V-802 109W </t>
  </si>
  <si>
    <t xml:space="preserve">PROXES S/T </t>
  </si>
  <si>
    <t xml:space="preserve">Ск</t>
  </si>
  <si>
    <t xml:space="preserve">255.60/R18</t>
  </si>
  <si>
    <t xml:space="preserve">DUELER H/P SPORT 112V</t>
  </si>
  <si>
    <t xml:space="preserve">CROSSCONTACT LX SPORT 108W</t>
  </si>
  <si>
    <t xml:space="preserve">LATITUDE TOUR HP 112V </t>
  </si>
  <si>
    <t xml:space="preserve">2016/2015</t>
  </si>
  <si>
    <t xml:space="preserve">LATITUDE SPORT 3 112V </t>
  </si>
  <si>
    <t xml:space="preserve">RO-542 108H</t>
  </si>
  <si>
    <t xml:space="preserve">ROADSTON</t>
  </si>
  <si>
    <t xml:space="preserve">ROADIAN RU-5 </t>
  </si>
  <si>
    <t xml:space="preserve">RAINEXPERT 3 SUV XL 112V </t>
  </si>
  <si>
    <t xml:space="preserve">265.35/R18</t>
  </si>
  <si>
    <t xml:space="preserve">265.60/R18</t>
  </si>
  <si>
    <t xml:space="preserve">ALL-TERRAIN KO-2  </t>
  </si>
  <si>
    <t xml:space="preserve">DUELER A/T 697 110T</t>
  </si>
  <si>
    <t xml:space="preserve">DUELER H/P SPORT 109V</t>
  </si>
  <si>
    <t xml:space="preserve">DUELER A/T 684</t>
  </si>
  <si>
    <t xml:space="preserve">SPORTCONTACT 5 SUV 110Y</t>
  </si>
  <si>
    <t xml:space="preserve">RA-33 109v</t>
  </si>
  <si>
    <t xml:space="preserve">RH-06 110V</t>
  </si>
  <si>
    <t xml:space="preserve">ROAD VENTURE APT KL51 </t>
  </si>
  <si>
    <t xml:space="preserve">HP-91 110V </t>
  </si>
  <si>
    <t xml:space="preserve">PRO ESR 114V</t>
  </si>
  <si>
    <t xml:space="preserve">ENERGY SAVER LTX 110T </t>
  </si>
  <si>
    <t xml:space="preserve">LATITUDE CROSS 110H</t>
  </si>
  <si>
    <t xml:space="preserve">ROADIANT HTX RH-5 110H M+S</t>
  </si>
  <si>
    <t xml:space="preserve">ROADIANT HP 110H</t>
  </si>
  <si>
    <t xml:space="preserve">RO-542 110H</t>
  </si>
  <si>
    <t xml:space="preserve">OPEN COUNTRY H/T M+S </t>
  </si>
  <si>
    <t xml:space="preserve">PROXES STIII 114V</t>
  </si>
  <si>
    <t xml:space="preserve">265.65/R18</t>
  </si>
  <si>
    <t xml:space="preserve">ALL-TERRAIN KO-2 117/114R </t>
  </si>
  <si>
    <t xml:space="preserve">SAVER AS </t>
  </si>
  <si>
    <t xml:space="preserve">275.35/R18</t>
  </si>
  <si>
    <t xml:space="preserve">275.40/R18</t>
  </si>
  <si>
    <t xml:space="preserve">SPORTCONTACT 3 99Y </t>
  </si>
  <si>
    <t xml:space="preserve">275.60/R18</t>
  </si>
  <si>
    <t xml:space="preserve">LATITUDE TOUR HP 111 H</t>
  </si>
  <si>
    <t xml:space="preserve">ROADIAN HТ 111H</t>
  </si>
  <si>
    <t xml:space="preserve">285.50/R18</t>
  </si>
  <si>
    <t xml:space="preserve">SP SPORT 9000 109W</t>
  </si>
  <si>
    <t xml:space="preserve">8М</t>
  </si>
  <si>
    <t xml:space="preserve">285.60/R18</t>
  </si>
  <si>
    <t xml:space="preserve">ECOPIA EP-850 116V</t>
  </si>
  <si>
    <t xml:space="preserve">DUELER H/T 684 II 116V </t>
  </si>
  <si>
    <t xml:space="preserve">DUELER A/T 697 116T</t>
  </si>
  <si>
    <t xml:space="preserve">DUELER H/P SPORT 116V </t>
  </si>
  <si>
    <t xml:space="preserve">чехия</t>
  </si>
  <si>
    <t xml:space="preserve">GRANDTREK AT23 116V </t>
  </si>
  <si>
    <t xml:space="preserve">АТ-22</t>
  </si>
  <si>
    <t xml:space="preserve">2Р</t>
  </si>
  <si>
    <t xml:space="preserve">RA-33 116V</t>
  </si>
  <si>
    <t xml:space="preserve">HP-91 </t>
  </si>
  <si>
    <t xml:space="preserve">LATITUDE TOUR HP 120V XL </t>
  </si>
  <si>
    <t xml:space="preserve">usa</t>
  </si>
  <si>
    <t xml:space="preserve">HT 116H</t>
  </si>
  <si>
    <t xml:space="preserve">3Р</t>
  </si>
  <si>
    <t xml:space="preserve">ROADIAN HTX RH5 116V </t>
  </si>
  <si>
    <t xml:space="preserve">PROXES ST-III 120V XL </t>
  </si>
  <si>
    <t xml:space="preserve">OPEN CONTRY U/T 116H </t>
  </si>
  <si>
    <t xml:space="preserve">TR-257 116H</t>
  </si>
  <si>
    <t xml:space="preserve">G-056 116H</t>
  </si>
  <si>
    <t xml:space="preserve">285.65/R18</t>
  </si>
  <si>
    <t xml:space="preserve">R 19</t>
  </si>
  <si>
    <t xml:space="preserve">225.45/R19</t>
  </si>
  <si>
    <t xml:space="preserve">SPORT AS-3 96W </t>
  </si>
  <si>
    <t xml:space="preserve">225.55/R19</t>
  </si>
  <si>
    <t xml:space="preserve">N FERA RU1</t>
  </si>
  <si>
    <t xml:space="preserve">R-36</t>
  </si>
  <si>
    <t xml:space="preserve">235.55/R19</t>
  </si>
  <si>
    <t xml:space="preserve">SUPER SPORT</t>
  </si>
  <si>
    <t xml:space="preserve">DUELER H/P SPORT 101W-AO</t>
  </si>
  <si>
    <t xml:space="preserve">SPORT HP</t>
  </si>
  <si>
    <t xml:space="preserve">SPORT CONTACT-5 101V SUV </t>
  </si>
  <si>
    <t xml:space="preserve">SP SPORT MAXX</t>
  </si>
  <si>
    <t xml:space="preserve">RA-33 105V XL</t>
  </si>
  <si>
    <t xml:space="preserve">K-115 101V</t>
  </si>
  <si>
    <t xml:space="preserve">K-117 101W</t>
  </si>
  <si>
    <t xml:space="preserve">MP-47 105V SUV XL </t>
  </si>
  <si>
    <t xml:space="preserve">LATITUDE SPORT 3 101W </t>
  </si>
  <si>
    <t xml:space="preserve">LATITUDE SPORT 3 101W АО </t>
  </si>
  <si>
    <t xml:space="preserve">NFERA SU-1 105W XL</t>
  </si>
  <si>
    <t xml:space="preserve">N FERA RU-5 105W XL </t>
  </si>
  <si>
    <t xml:space="preserve">SUMMER SUV 105W</t>
  </si>
  <si>
    <t xml:space="preserve">RAIN SPORT 3 SUV XL 105Y </t>
  </si>
  <si>
    <t xml:space="preserve">245.45/R19</t>
  </si>
  <si>
    <t xml:space="preserve">SPORTCONTACT-5 SUV 98W</t>
  </si>
  <si>
    <t xml:space="preserve">MP-47 102Y XL </t>
  </si>
  <si>
    <t xml:space="preserve">PILOT SPORT 3  102Y</t>
  </si>
  <si>
    <t xml:space="preserve">NFERRA SU1 102Y</t>
  </si>
  <si>
    <t xml:space="preserve">PROXES C1S 102W XL</t>
  </si>
  <si>
    <t xml:space="preserve">TH-201 102Y XL</t>
  </si>
  <si>
    <t xml:space="preserve">RAIN SPORT 3 102Y XL </t>
  </si>
  <si>
    <t xml:space="preserve">245.55/R19</t>
  </si>
  <si>
    <t xml:space="preserve">HAWK UHP XL 103V</t>
  </si>
  <si>
    <t xml:space="preserve">EP-850 103V </t>
  </si>
  <si>
    <t xml:space="preserve">чех 2018</t>
  </si>
  <si>
    <t xml:space="preserve">CROSS CONTACT 103V </t>
  </si>
  <si>
    <t xml:space="preserve">COURAGIA F/X 103V</t>
  </si>
  <si>
    <t xml:space="preserve">LAT.TOUR HP 103H </t>
  </si>
  <si>
    <t xml:space="preserve">ROADIAN HTX RH5 103T</t>
  </si>
  <si>
    <t xml:space="preserve">OPEN COUNTRY H/T M+S</t>
  </si>
  <si>
    <t xml:space="preserve">G-055 103V</t>
  </si>
  <si>
    <t xml:space="preserve">255.35/R19</t>
  </si>
  <si>
    <t xml:space="preserve">PZERO 96Y XL</t>
  </si>
  <si>
    <t xml:space="preserve">255.40/R19</t>
  </si>
  <si>
    <t xml:space="preserve">SPORTCONTACT-5P XL 100Y </t>
  </si>
  <si>
    <t xml:space="preserve">K-117 Y XL</t>
  </si>
  <si>
    <t xml:space="preserve">PILOT SPORT 4 100Y </t>
  </si>
  <si>
    <t xml:space="preserve">RAIN SPORT-3 100Y XL</t>
  </si>
  <si>
    <t xml:space="preserve">255.45/R19</t>
  </si>
  <si>
    <t xml:space="preserve">CROSS CONTACT UHP 100V</t>
  </si>
  <si>
    <t xml:space="preserve">А</t>
  </si>
  <si>
    <t xml:space="preserve">SPORT MAXX MO 100V </t>
  </si>
  <si>
    <t xml:space="preserve">LATITUDE SPORT </t>
  </si>
  <si>
    <t xml:space="preserve">N FERA SU1 104Y XL</t>
  </si>
  <si>
    <t xml:space="preserve">NFERA RU-1 100V</t>
  </si>
  <si>
    <t xml:space="preserve">PZERO 104Y</t>
  </si>
  <si>
    <t xml:space="preserve">RAIN SPOT-3 XL 104Y </t>
  </si>
  <si>
    <t xml:space="preserve">255.50/R19</t>
  </si>
  <si>
    <t xml:space="preserve">DESERT HAWK UHP XL 107V</t>
  </si>
  <si>
    <t xml:space="preserve">SP-303 107V</t>
  </si>
  <si>
    <t xml:space="preserve">BRAVURIS 3HM 107Y XL</t>
  </si>
  <si>
    <t xml:space="preserve">ECOPIA EP850 103V</t>
  </si>
  <si>
    <t xml:space="preserve">SPORTCONTACT 5 FR NO 103Y </t>
  </si>
  <si>
    <t xml:space="preserve">CROSS CONTACT UHP MO 103W</t>
  </si>
  <si>
    <t xml:space="preserve">COURAGIA F/X XL 107W</t>
  </si>
  <si>
    <t xml:space="preserve">K-117 MO 103Y </t>
  </si>
  <si>
    <t xml:space="preserve">KT-696 107W</t>
  </si>
  <si>
    <t xml:space="preserve">MP-47 107Y SUV XL </t>
  </si>
  <si>
    <t xml:space="preserve">4х4 DIAMARIS usa 103W</t>
  </si>
  <si>
    <t xml:space="preserve">LATITUDE TOUR HP MO 107H </t>
  </si>
  <si>
    <t xml:space="preserve">LATITUDE SPORT 3 103Y </t>
  </si>
  <si>
    <t xml:space="preserve">LATITUDE SPORT 3 103W </t>
  </si>
  <si>
    <t xml:space="preserve">LATITUDE SPORT 3 107w </t>
  </si>
  <si>
    <t xml:space="preserve">RO-HP 107V</t>
  </si>
  <si>
    <t xml:space="preserve">N FERA RU1 103W</t>
  </si>
  <si>
    <t xml:space="preserve">PROXES T1 SPORT 107W</t>
  </si>
  <si>
    <t xml:space="preserve">VERSADO SUV 107V</t>
  </si>
  <si>
    <t xml:space="preserve">RAINSORT-3 SUV XL 107Y </t>
  </si>
  <si>
    <t xml:space="preserve">V-103 107Y </t>
  </si>
  <si>
    <t xml:space="preserve">255.55/R19</t>
  </si>
  <si>
    <t xml:space="preserve">BRAVURIS 3HM  SUV 111V XL</t>
  </si>
  <si>
    <t xml:space="preserve">PREMIUM CONTACT 6 XL 111V </t>
  </si>
  <si>
    <t xml:space="preserve">DESTINATION HP 111V XL </t>
  </si>
  <si>
    <t xml:space="preserve">K-117 111V XL </t>
  </si>
  <si>
    <t xml:space="preserve">RA-33 111V </t>
  </si>
  <si>
    <t xml:space="preserve">MP-47 111V SUV XL </t>
  </si>
  <si>
    <t xml:space="preserve">LATITUDE TOUR HP 111V XL </t>
  </si>
  <si>
    <t xml:space="preserve">NFERA RU-1 111V</t>
  </si>
  <si>
    <t xml:space="preserve">PROXES T1 SPORT 111V SUV XL</t>
  </si>
  <si>
    <t xml:space="preserve">PROXES ST-III 111V XL </t>
  </si>
  <si>
    <t xml:space="preserve">SPORT 3 111V XL</t>
  </si>
  <si>
    <t xml:space="preserve">265.50/R19</t>
  </si>
  <si>
    <t xml:space="preserve">HP-91 110Y </t>
  </si>
  <si>
    <t xml:space="preserve">LATITUDE SPORT 3 110W XL</t>
  </si>
  <si>
    <t xml:space="preserve">NFERA RU-1 110Y</t>
  </si>
  <si>
    <t xml:space="preserve">PROXES T1 SPORT 110Y SUV XL</t>
  </si>
  <si>
    <t xml:space="preserve">V-103 110Y </t>
  </si>
  <si>
    <t xml:space="preserve">265.55/R19</t>
  </si>
  <si>
    <t xml:space="preserve">M-3</t>
  </si>
  <si>
    <t xml:space="preserve">275.35/R19</t>
  </si>
  <si>
    <t xml:space="preserve">PILOT SPORT PS2</t>
  </si>
  <si>
    <t xml:space="preserve">ALTIMAX </t>
  </si>
  <si>
    <t xml:space="preserve">275.40/R19</t>
  </si>
  <si>
    <t xml:space="preserve">LATITUDE SPORT 3 106Y XL </t>
  </si>
  <si>
    <t xml:space="preserve">N FERA SU1 105Y</t>
  </si>
  <si>
    <t xml:space="preserve">Y </t>
  </si>
  <si>
    <t xml:space="preserve">TH-201 105Y</t>
  </si>
  <si>
    <t xml:space="preserve">275.45/R19</t>
  </si>
  <si>
    <t xml:space="preserve">DESERT HAWK UHP XL 108V</t>
  </si>
  <si>
    <t xml:space="preserve">LATITUDE SPORT</t>
  </si>
  <si>
    <t xml:space="preserve">275.55/R19</t>
  </si>
  <si>
    <t xml:space="preserve">DUELER H/P SPORT 111V</t>
  </si>
  <si>
    <t xml:space="preserve">CONTACT 4X4 FR MO 111V </t>
  </si>
  <si>
    <t xml:space="preserve">SP SPORT MAXX 111V MO</t>
  </si>
  <si>
    <t xml:space="preserve">COURAGIA F/X 111V</t>
  </si>
  <si>
    <t xml:space="preserve">K-117 111V  </t>
  </si>
  <si>
    <t xml:space="preserve">LATITUDE SPORT 111W MO </t>
  </si>
  <si>
    <t xml:space="preserve">285.35/R19</t>
  </si>
  <si>
    <t xml:space="preserve">GOODIEAR</t>
  </si>
  <si>
    <t xml:space="preserve">F-1 ASYMMETRIC 2 103Y NO FP</t>
  </si>
  <si>
    <t xml:space="preserve">SOTTO ZERO 103V XL</t>
  </si>
  <si>
    <t xml:space="preserve">285.45/R19</t>
  </si>
  <si>
    <t xml:space="preserve">SP-303 111V</t>
  </si>
  <si>
    <t xml:space="preserve">MP-47 HECTORA 3 111Y SUY XL </t>
  </si>
  <si>
    <t xml:space="preserve">LATITUDE DIAMARIS 107V</t>
  </si>
  <si>
    <t xml:space="preserve">LATITUDE SPORT 3 111W XL</t>
  </si>
  <si>
    <t xml:space="preserve">HP </t>
  </si>
  <si>
    <t xml:space="preserve">PROXES T1SPORT 107W SUV</t>
  </si>
  <si>
    <t xml:space="preserve">295.30/R19</t>
  </si>
  <si>
    <t xml:space="preserve">PZERO 100Y XL</t>
  </si>
  <si>
    <t xml:space="preserve">R 20</t>
  </si>
  <si>
    <t xml:space="preserve">235.55/R20</t>
  </si>
  <si>
    <t xml:space="preserve">V-103 102V </t>
  </si>
  <si>
    <t xml:space="preserve">245.35/R20</t>
  </si>
  <si>
    <t xml:space="preserve">REO-50 95Y RFT XL</t>
  </si>
  <si>
    <t xml:space="preserve">245.50/R20</t>
  </si>
  <si>
    <t xml:space="preserve">PROXES S/T II</t>
  </si>
  <si>
    <t xml:space="preserve">255.40/R20</t>
  </si>
  <si>
    <t xml:space="preserve">SPORTCONTACT 5P 101Y XL</t>
  </si>
  <si>
    <t xml:space="preserve">255.50/R20</t>
  </si>
  <si>
    <t xml:space="preserve">SPORT CONTACT 5 SUV 109Y</t>
  </si>
  <si>
    <t xml:space="preserve">RA-33 109V  XL </t>
  </si>
  <si>
    <t xml:space="preserve">LATITUDE DIAMARIS 109Y </t>
  </si>
  <si>
    <t xml:space="preserve">ROADIAN HP 109V XL</t>
  </si>
  <si>
    <t xml:space="preserve">PROXES T1 SPORT XL 109Y</t>
  </si>
  <si>
    <t xml:space="preserve">255.55/R20</t>
  </si>
  <si>
    <t xml:space="preserve">PREMIUMCONTACT 6 XL 110Y </t>
  </si>
  <si>
    <t xml:space="preserve">LATITUDE SPORT 110Y XL </t>
  </si>
  <si>
    <t xml:space="preserve">RU-5</t>
  </si>
  <si>
    <t xml:space="preserve">265.45/R20</t>
  </si>
  <si>
    <t xml:space="preserve">SPORTCONTACT 5 SUV 108W XL </t>
  </si>
  <si>
    <t xml:space="preserve">265.50/R20</t>
  </si>
  <si>
    <t xml:space="preserve">PREMIUMCONTACT 6 SUV 111V XL </t>
  </si>
  <si>
    <t xml:space="preserve">RA-33 107V</t>
  </si>
  <si>
    <t xml:space="preserve">LATITUDE SPORT 3 107V венгрия</t>
  </si>
  <si>
    <t xml:space="preserve">LATITUDE SPORT 3 111Y XL </t>
  </si>
  <si>
    <t xml:space="preserve">ROADIAN HP XL</t>
  </si>
  <si>
    <t xml:space="preserve">PROXES STIII 111V XL </t>
  </si>
  <si>
    <t xml:space="preserve">ST II</t>
  </si>
  <si>
    <t xml:space="preserve">V-105 111W </t>
  </si>
  <si>
    <t xml:space="preserve">275.40/R20</t>
  </si>
  <si>
    <t xml:space="preserve">DESERT HAWK UHP XL 106V</t>
  </si>
  <si>
    <t xml:space="preserve">DUELER HP SPORT</t>
  </si>
  <si>
    <t xml:space="preserve">4X4 SPORT CONTACT</t>
  </si>
  <si>
    <t xml:space="preserve">COURAGIA F/X XL 106W</t>
  </si>
  <si>
    <t xml:space="preserve">LATITUDE DIAMARIS9*102W </t>
  </si>
  <si>
    <t xml:space="preserve">LATITUDE SPORT 3 106Y </t>
  </si>
  <si>
    <t xml:space="preserve">ROADIAN HP</t>
  </si>
  <si>
    <t xml:space="preserve">PROXES T1SPORT 106Y SUV XL</t>
  </si>
  <si>
    <t xml:space="preserve">RAIN SPOT-3 XL 106Y</t>
  </si>
  <si>
    <t xml:space="preserve">ULTRAC VORTI XL 106Y </t>
  </si>
  <si>
    <t xml:space="preserve">275.45/R20</t>
  </si>
  <si>
    <t xml:space="preserve">DESERT HAWK UHP XL 110V</t>
  </si>
  <si>
    <t xml:space="preserve">PREMIUM CONTACT 6 XL 110Y </t>
  </si>
  <si>
    <t xml:space="preserve">Германия.</t>
  </si>
  <si>
    <t xml:space="preserve">VENTUS AS RH07</t>
  </si>
  <si>
    <t xml:space="preserve">LATITUDE SPORT 3 110Y </t>
  </si>
  <si>
    <t xml:space="preserve">LATITUDE SPORT 110Y NO</t>
  </si>
  <si>
    <t xml:space="preserve">ROADIAN HP XL 110V </t>
  </si>
  <si>
    <t xml:space="preserve">PROXES T-1 SPORT 110Y SUV XL</t>
  </si>
  <si>
    <t xml:space="preserve">TH-201 110Y XL</t>
  </si>
  <si>
    <t xml:space="preserve">ULTRAC VORTI XL 110Y </t>
  </si>
  <si>
    <t xml:space="preserve">Голандия</t>
  </si>
  <si>
    <t xml:space="preserve">RAINSPORT-3 110Y XL </t>
  </si>
  <si>
    <t xml:space="preserve">275.50/R20</t>
  </si>
  <si>
    <t xml:space="preserve">CROSCONTACT UHP 109W </t>
  </si>
  <si>
    <t xml:space="preserve">LAT.SPORT MO 109W </t>
  </si>
  <si>
    <t xml:space="preserve">SCORPION VERDE 109H</t>
  </si>
  <si>
    <t xml:space="preserve">275.55/R20</t>
  </si>
  <si>
    <t xml:space="preserve">DESERT HAWK UHP XL 117V</t>
  </si>
  <si>
    <t xml:space="preserve">SPORTCONTACT 5 SUV 111W </t>
  </si>
  <si>
    <t xml:space="preserve">COURAGIA F/X XL 117V</t>
  </si>
  <si>
    <t xml:space="preserve">GRABER UHP 117V</t>
  </si>
  <si>
    <t xml:space="preserve">RH-08</t>
  </si>
  <si>
    <t xml:space="preserve">ROADIAN HP SUV 117V XL</t>
  </si>
  <si>
    <t xml:space="preserve">ATREZZO 117V XL</t>
  </si>
  <si>
    <t xml:space="preserve">PROXES ST-I</t>
  </si>
  <si>
    <t xml:space="preserve">PROXES ST-III 117V XL</t>
  </si>
  <si>
    <t xml:space="preserve">PROXES ST-II</t>
  </si>
  <si>
    <t xml:space="preserve">275.60/R20</t>
  </si>
  <si>
    <t xml:space="preserve">AVALANCHE X-TREME</t>
  </si>
  <si>
    <t xml:space="preserve">COURAGIA S/U</t>
  </si>
  <si>
    <t xml:space="preserve">RA-33 115H </t>
  </si>
  <si>
    <t xml:space="preserve">KL-51 114T </t>
  </si>
  <si>
    <t xml:space="preserve">LATITUDE TOUR HP 114H </t>
  </si>
  <si>
    <t xml:space="preserve">ROADIAN HTX RH5 115S</t>
  </si>
  <si>
    <t xml:space="preserve">ATREZZO 119S XL</t>
  </si>
  <si>
    <t xml:space="preserve">285.50/R20</t>
  </si>
  <si>
    <t xml:space="preserve">DESERT HAWK UHP 112V</t>
  </si>
  <si>
    <t xml:space="preserve">CONTICROSS UHP 116W</t>
  </si>
  <si>
    <t xml:space="preserve">COURAGIA F/X XL 116V</t>
  </si>
  <si>
    <t xml:space="preserve">RA-33 112V </t>
  </si>
  <si>
    <t xml:space="preserve">KT-616 116V</t>
  </si>
  <si>
    <t xml:space="preserve">LATITUDE TOUR HP 111V </t>
  </si>
  <si>
    <t xml:space="preserve">канада</t>
  </si>
  <si>
    <t xml:space="preserve">ROADIAN HP </t>
  </si>
  <si>
    <t xml:space="preserve">ATREZZO SVR LX 116V</t>
  </si>
  <si>
    <t xml:space="preserve">PROXES S/T III 116V XL </t>
  </si>
  <si>
    <t xml:space="preserve">PROXES S/T II 116V</t>
  </si>
  <si>
    <t xml:space="preserve">G-056 112V </t>
  </si>
  <si>
    <t xml:space="preserve">295.40/R20</t>
  </si>
  <si>
    <t xml:space="preserve">SPORTCONT 6 110Y XL </t>
  </si>
  <si>
    <t xml:space="preserve">315.35/R20</t>
  </si>
  <si>
    <t xml:space="preserve">COURAGIA F/X 106W</t>
  </si>
  <si>
    <t xml:space="preserve">LATITUDE DIAMARIS* 106W </t>
  </si>
  <si>
    <t xml:space="preserve">LATITUDE SPORT 3 110 W XL </t>
  </si>
  <si>
    <t xml:space="preserve">315.35.R20</t>
  </si>
  <si>
    <t xml:space="preserve">PROXES T1SPORT 106W SUV</t>
  </si>
  <si>
    <t xml:space="preserve">R 21</t>
  </si>
  <si>
    <t xml:space="preserve">275.45/R21</t>
  </si>
  <si>
    <t xml:space="preserve">CROSCONTACT SPORT LX 110Y  </t>
  </si>
  <si>
    <t xml:space="preserve">чех</t>
  </si>
  <si>
    <t xml:space="preserve">SPORT CONTACT 5 SUV 107Y </t>
  </si>
  <si>
    <t xml:space="preserve">PERFORMANCE 110V SUV</t>
  </si>
  <si>
    <t xml:space="preserve">285.35/R21</t>
  </si>
  <si>
    <t xml:space="preserve">SPORT MAXX RSC</t>
  </si>
  <si>
    <t xml:space="preserve">295.35/R21</t>
  </si>
  <si>
    <t xml:space="preserve">MP-47 HECTORA 3 SUV XL 107Y</t>
  </si>
  <si>
    <t xml:space="preserve">LATITUDE SPORT 107Y </t>
  </si>
  <si>
    <t xml:space="preserve">295.40/R21</t>
  </si>
  <si>
    <t xml:space="preserve">SPORTCONTACT 5 XL SUV 111Y </t>
  </si>
  <si>
    <t xml:space="preserve">SPORTMAXX</t>
  </si>
  <si>
    <t xml:space="preserve">ZERO 111Y XL MO </t>
  </si>
  <si>
    <t xml:space="preserve">сша</t>
  </si>
  <si>
    <t xml:space="preserve">325.30/R21</t>
  </si>
  <si>
    <t xml:space="preserve">SPORT MAXX</t>
  </si>
  <si>
    <t xml:space="preserve">R 22</t>
  </si>
  <si>
    <t xml:space="preserve">305.45/R22</t>
  </si>
  <si>
    <t xml:space="preserve">165/70/R14C</t>
  </si>
  <si>
    <t xml:space="preserve">CARGO 89/87R</t>
  </si>
  <si>
    <t xml:space="preserve">ER-01 102/100</t>
  </si>
  <si>
    <t xml:space="preserve">CONVEO TOUR </t>
  </si>
  <si>
    <t xml:space="preserve">RA-18 102R</t>
  </si>
  <si>
    <t xml:space="preserve">HERCULES</t>
  </si>
  <si>
    <t xml:space="preserve">POWER CV 102/100Q</t>
  </si>
  <si>
    <t xml:space="preserve">HIFLY</t>
  </si>
  <si>
    <t xml:space="preserve">SUPER 2000</t>
  </si>
  <si>
    <t xml:space="preserve">TRANSWAY 102/100</t>
  </si>
  <si>
    <t xml:space="preserve">R-666 102/100</t>
  </si>
  <si>
    <t xml:space="preserve">MPS-125 102/100</t>
  </si>
  <si>
    <t xml:space="preserve">MPS-330 102/100R </t>
  </si>
  <si>
    <t xml:space="preserve">AGILIS </t>
  </si>
  <si>
    <t xml:space="preserve">MR-100 102/100</t>
  </si>
  <si>
    <t xml:space="preserve">LIGHT TRUCK 101 102/100 M+S</t>
  </si>
  <si>
    <t xml:space="preserve">102/100</t>
  </si>
  <si>
    <t xml:space="preserve">CARGO M+S</t>
  </si>
  <si>
    <t xml:space="preserve">TRENTA 102/100Q</t>
  </si>
  <si>
    <t xml:space="preserve">STRIAL 101 M+S</t>
  </si>
  <si>
    <t xml:space="preserve">TYH08 (H08)</t>
  </si>
  <si>
    <t xml:space="preserve">TR-645 102/100S</t>
  </si>
  <si>
    <t xml:space="preserve">RAIN MAX 2</t>
  </si>
  <si>
    <t xml:space="preserve">LTR-80</t>
  </si>
  <si>
    <t xml:space="preserve">AL-01</t>
  </si>
  <si>
    <t xml:space="preserve">VANIS 2 106/104</t>
  </si>
  <si>
    <t xml:space="preserve">RD-613 </t>
  </si>
  <si>
    <t xml:space="preserve">ER-01 106/104</t>
  </si>
  <si>
    <t xml:space="preserve">VANHAWK  106/104 R</t>
  </si>
  <si>
    <t xml:space="preserve">CONVEO TOUR 106/104P</t>
  </si>
  <si>
    <t xml:space="preserve">VANTRA LT</t>
  </si>
  <si>
    <t xml:space="preserve">POWER CV 106/104Q</t>
  </si>
  <si>
    <t xml:space="preserve">KT-656 106/104</t>
  </si>
  <si>
    <t xml:space="preserve">TRANSWAY 106R</t>
  </si>
  <si>
    <t xml:space="preserve">RADIAL R701</t>
  </si>
  <si>
    <t xml:space="preserve">MPS-330 106/104R</t>
  </si>
  <si>
    <t xml:space="preserve">AGILIS   106/104R </t>
  </si>
  <si>
    <t xml:space="preserve">MR-100 106/104</t>
  </si>
  <si>
    <t xml:space="preserve">LIGHT TRUCK 101 106/104 M+S</t>
  </si>
  <si>
    <t xml:space="preserve">106/104</t>
  </si>
  <si>
    <t xml:space="preserve">PETLAS</t>
  </si>
  <si>
    <t xml:space="preserve">FULL POWER PT-825</t>
  </si>
  <si>
    <t xml:space="preserve">CARGO M+S </t>
  </si>
  <si>
    <t xml:space="preserve">TRENTA </t>
  </si>
  <si>
    <t xml:space="preserve">LIGHT TRUCK 106/104 </t>
  </si>
  <si>
    <t xml:space="preserve">TR-645</t>
  </si>
  <si>
    <t xml:space="preserve">205/R14C</t>
  </si>
  <si>
    <t xml:space="preserve">CSR-35 105/103Q</t>
  </si>
  <si>
    <t xml:space="preserve">NOVA-FORCE 109/107</t>
  </si>
  <si>
    <t xml:space="preserve">205.75/R14C</t>
  </si>
  <si>
    <t xml:space="preserve">TRAVOMATE</t>
  </si>
  <si>
    <t xml:space="preserve">TR-652 109/107Q</t>
  </si>
  <si>
    <t xml:space="preserve">215/R14C</t>
  </si>
  <si>
    <t xml:space="preserve">ER01 112/110</t>
  </si>
  <si>
    <t xml:space="preserve">195.60/R15С</t>
  </si>
  <si>
    <t xml:space="preserve">AGILLIS 51</t>
  </si>
  <si>
    <t xml:space="preserve">MULTIVAN 104/102</t>
  </si>
  <si>
    <t xml:space="preserve">VANIS 2 104/102 </t>
  </si>
  <si>
    <t xml:space="preserve">ACTIVAN</t>
  </si>
  <si>
    <t xml:space="preserve">104/102</t>
  </si>
  <si>
    <t xml:space="preserve">ECOVAN ER01</t>
  </si>
  <si>
    <t xml:space="preserve">VANHAWK-2 104/102 R </t>
  </si>
  <si>
    <t xml:space="preserve">FULLRUN</t>
  </si>
  <si>
    <t xml:space="preserve">LT-355</t>
  </si>
  <si>
    <t xml:space="preserve">GISLAVED</t>
  </si>
  <si>
    <t xml:space="preserve">COM.SPEED 104/102 </t>
  </si>
  <si>
    <t xml:space="preserve">RA-18 101/102</t>
  </si>
  <si>
    <t xml:space="preserve">POWER CV 104/102R 8PR</t>
  </si>
  <si>
    <t xml:space="preserve">TC-595</t>
  </si>
  <si>
    <t xml:space="preserve">TRANSPRO 104R</t>
  </si>
  <si>
    <t xml:space="preserve">Румыния </t>
  </si>
  <si>
    <t xml:space="preserve">TRANSPRO 4S 104/102  M+S</t>
  </si>
  <si>
    <t xml:space="preserve">VANPRO B2 M+S</t>
  </si>
  <si>
    <t xml:space="preserve">PORTRAN KC-53</t>
  </si>
  <si>
    <t xml:space="preserve">LV-01 104-102</t>
  </si>
  <si>
    <t xml:space="preserve">TRANSWAY 104/102R</t>
  </si>
  <si>
    <t xml:space="preserve">TRANSWAY-2</t>
  </si>
  <si>
    <t xml:space="preserve">MPS-125 104/102R</t>
  </si>
  <si>
    <t xml:space="preserve">MP-310 MASTER</t>
  </si>
  <si>
    <t xml:space="preserve">MPS-330 104/102R </t>
  </si>
  <si>
    <t xml:space="preserve">AGILIS +  104/102R </t>
  </si>
  <si>
    <t xml:space="preserve">MR-200 104/102</t>
  </si>
  <si>
    <t xml:space="preserve">LIGHT TRUCK 101 104/102 M+S</t>
  </si>
  <si>
    <t xml:space="preserve">SUMMER VAN 102/104</t>
  </si>
  <si>
    <t xml:space="preserve">COMERCIO VX1 104/102</t>
  </si>
  <si>
    <t xml:space="preserve">TR-645 104/102R</t>
  </si>
  <si>
    <t xml:space="preserve">RAIN MAX 3 104/102 </t>
  </si>
  <si>
    <t xml:space="preserve">205.65/R15C</t>
  </si>
  <si>
    <t xml:space="preserve">VANHAWK</t>
  </si>
  <si>
    <t xml:space="preserve">TRANSWAY</t>
  </si>
  <si>
    <t xml:space="preserve">MP-125</t>
  </si>
  <si>
    <t xml:space="preserve">MP-320</t>
  </si>
  <si>
    <t xml:space="preserve">ACTIVAN 106/104R </t>
  </si>
  <si>
    <t xml:space="preserve">VANCO 2</t>
  </si>
  <si>
    <t xml:space="preserve">VANHAWK-2 106/104 </t>
  </si>
  <si>
    <t xml:space="preserve">TRANSPRO 106/104 </t>
  </si>
  <si>
    <t xml:space="preserve">KC-53 106/104</t>
  </si>
  <si>
    <t xml:space="preserve">2Н</t>
  </si>
  <si>
    <t xml:space="preserve">RADIAL-857 104/102</t>
  </si>
  <si>
    <t xml:space="preserve">MPS-125 106/104 </t>
  </si>
  <si>
    <t xml:space="preserve">MR-200</t>
  </si>
  <si>
    <t xml:space="preserve">TRAVOMATE 106/104R</t>
  </si>
  <si>
    <t xml:space="preserve">TR-652</t>
  </si>
  <si>
    <t xml:space="preserve">VANIS 2</t>
  </si>
  <si>
    <t xml:space="preserve">ACTIVAN 109/107 </t>
  </si>
  <si>
    <t xml:space="preserve">R-660</t>
  </si>
  <si>
    <t xml:space="preserve">VANHAWK 109/107</t>
  </si>
  <si>
    <t xml:space="preserve">TRANSPRO </t>
  </si>
  <si>
    <t xml:space="preserve">MP-330</t>
  </si>
  <si>
    <t xml:space="preserve">CARGO</t>
  </si>
  <si>
    <t xml:space="preserve">VANIS 2 112/110R</t>
  </si>
  <si>
    <t xml:space="preserve">DURAVIS R-660 112/110 R </t>
  </si>
  <si>
    <t xml:space="preserve">ACTIVAN 112/110S</t>
  </si>
  <si>
    <t xml:space="preserve">VAN CONTACT 100</t>
  </si>
  <si>
    <t xml:space="preserve">VANHAWK 2 </t>
  </si>
  <si>
    <t xml:space="preserve">CONVEO TOUR</t>
  </si>
  <si>
    <t xml:space="preserve">FULLWAY</t>
  </si>
  <si>
    <t xml:space="preserve">LT377 112/110S</t>
  </si>
  <si>
    <t xml:space="preserve">RA-08 112/110</t>
  </si>
  <si>
    <t xml:space="preserve">HILLO</t>
  </si>
  <si>
    <t xml:space="preserve">TC-595  </t>
  </si>
  <si>
    <t xml:space="preserve">KC-53 112/110</t>
  </si>
  <si>
    <t xml:space="preserve">TRANSWAY 112/110</t>
  </si>
  <si>
    <t xml:space="preserve">TRANSWAY-2 112/110</t>
  </si>
  <si>
    <t xml:space="preserve">MPS-125 112/110R</t>
  </si>
  <si>
    <t xml:space="preserve">MPS-330 112/110R</t>
  </si>
  <si>
    <t xml:space="preserve">MPS-400 112/110 M+S</t>
  </si>
  <si>
    <t xml:space="preserve">AGILIS+ 112/110S </t>
  </si>
  <si>
    <t xml:space="preserve">MR-200 112/110</t>
  </si>
  <si>
    <t xml:space="preserve">LIGHT TRUCK 101 112/110 M+S</t>
  </si>
  <si>
    <t xml:space="preserve">112/110</t>
  </si>
  <si>
    <t xml:space="preserve">FULL POWER PT-825 8сл.</t>
  </si>
  <si>
    <t xml:space="preserve">CARGO 112/110 M+S </t>
  </si>
  <si>
    <t xml:space="preserve">CP-321 </t>
  </si>
  <si>
    <t xml:space="preserve">SUMMER VAN 112/110</t>
  </si>
  <si>
    <t xml:space="preserve">Slovakia</t>
  </si>
  <si>
    <t xml:space="preserve">COMMERCIO VX-1 112/110</t>
  </si>
  <si>
    <t xml:space="preserve">VANMATE 112/110</t>
  </si>
  <si>
    <t xml:space="preserve">LIGHT TRUCK-101 112/110</t>
  </si>
  <si>
    <t xml:space="preserve">POWERVAN 112R</t>
  </si>
  <si>
    <t xml:space="preserve">MULTITRAC зад</t>
  </si>
  <si>
    <t xml:space="preserve">LT/R пер</t>
  </si>
  <si>
    <t xml:space="preserve">LC/T зад</t>
  </si>
  <si>
    <t xml:space="preserve">TG725     108/107</t>
  </si>
  <si>
    <t xml:space="preserve">AH-11S 121/120</t>
  </si>
  <si>
    <t xml:space="preserve">TR-624 пер</t>
  </si>
  <si>
    <t xml:space="preserve">TR-668 14PR универсал</t>
  </si>
  <si>
    <t xml:space="preserve">A-300 104/102</t>
  </si>
  <si>
    <t xml:space="preserve">AVIRBAC</t>
  </si>
  <si>
    <t xml:space="preserve">VR-20 M+S</t>
  </si>
  <si>
    <t xml:space="preserve">TC-595 M+S</t>
  </si>
  <si>
    <t xml:space="preserve">R-666 104/102</t>
  </si>
  <si>
    <t xml:space="preserve">AGILIS  104/102R</t>
  </si>
  <si>
    <t xml:space="preserve">TRAVOMATE 104/102R</t>
  </si>
  <si>
    <t xml:space="preserve">SUNFULL</t>
  </si>
  <si>
    <t xml:space="preserve">SF-05 102/104</t>
  </si>
  <si>
    <t xml:space="preserve">TR-646 104/102 тяга M+S</t>
  </si>
  <si>
    <t xml:space="preserve">195.60/R16C</t>
  </si>
  <si>
    <t xml:space="preserve">MPS-320</t>
  </si>
  <si>
    <t xml:space="preserve">LIGHT TRUCK 99/97</t>
  </si>
  <si>
    <t xml:space="preserve">195.65/R16C</t>
  </si>
  <si>
    <t xml:space="preserve">ACTIVAN 104/102R</t>
  </si>
  <si>
    <t xml:space="preserve">Power CV 104/102R</t>
  </si>
  <si>
    <t xml:space="preserve">TRANSPRO</t>
  </si>
  <si>
    <t xml:space="preserve">MPS-330 104/102 </t>
  </si>
  <si>
    <t xml:space="preserve">TRUCK-101 104/102</t>
  </si>
  <si>
    <t xml:space="preserve">TR-652 104/102</t>
  </si>
  <si>
    <t xml:space="preserve">VANIS 2 107/105R</t>
  </si>
  <si>
    <t xml:space="preserve">ACTIVAN GO </t>
  </si>
  <si>
    <t xml:space="preserve">DURAVIS R-630 107/105R </t>
  </si>
  <si>
    <t xml:space="preserve">QUARTET 2</t>
  </si>
  <si>
    <t xml:space="preserve">RA-18 107/105</t>
  </si>
  <si>
    <t xml:space="preserve">TRANSPRO 107/105R </t>
  </si>
  <si>
    <t xml:space="preserve">VANPRO B2 </t>
  </si>
  <si>
    <t xml:space="preserve">VANPRO B3</t>
  </si>
  <si>
    <t xml:space="preserve">MPS-125 107/105 All season</t>
  </si>
  <si>
    <t xml:space="preserve">MPS-330 107/105R </t>
  </si>
  <si>
    <t xml:space="preserve">AGILIS + 110/108R </t>
  </si>
  <si>
    <t xml:space="preserve">AGILIS + 107/105R </t>
  </si>
  <si>
    <t xml:space="preserve">Бразилия</t>
  </si>
  <si>
    <t xml:space="preserve">MR-200 107/105</t>
  </si>
  <si>
    <t xml:space="preserve">CP-321 108Q</t>
  </si>
  <si>
    <t xml:space="preserve">SUMMER VAN 107/105 </t>
  </si>
  <si>
    <t xml:space="preserve">STRIAL-101</t>
  </si>
  <si>
    <t xml:space="preserve">LIGHT TRUCK 101 107/105 M+S</t>
  </si>
  <si>
    <t xml:space="preserve">TR-652 </t>
  </si>
  <si>
    <t xml:space="preserve">VANIS</t>
  </si>
  <si>
    <t xml:space="preserve">VANHAWK </t>
  </si>
  <si>
    <t xml:space="preserve">COM.SPEED 107/105 </t>
  </si>
  <si>
    <t xml:space="preserve">TRANSWAY 2</t>
  </si>
  <si>
    <t xml:space="preserve">MPS-125</t>
  </si>
  <si>
    <t xml:space="preserve">MP-330 107/105 </t>
  </si>
  <si>
    <t xml:space="preserve">SUMMER VAN 107/105</t>
  </si>
  <si>
    <t xml:space="preserve">107/105</t>
  </si>
  <si>
    <t xml:space="preserve">CARGO 107/105</t>
  </si>
  <si>
    <t xml:space="preserve">TR-652 106/104</t>
  </si>
  <si>
    <t xml:space="preserve">205.70/R16C</t>
  </si>
  <si>
    <t xml:space="preserve">AGILIS</t>
  </si>
  <si>
    <t xml:space="preserve">AL-01 113/111R</t>
  </si>
  <si>
    <t xml:space="preserve">VANIS 2 110/108</t>
  </si>
  <si>
    <t xml:space="preserve">DURAVIS R-630 110/108R</t>
  </si>
  <si>
    <t xml:space="preserve">VANHAWK 110/108</t>
  </si>
  <si>
    <t xml:space="preserve">VANHAWK-2 110/108</t>
  </si>
  <si>
    <t xml:space="preserve">TRANSPRO 110/108R </t>
  </si>
  <si>
    <t xml:space="preserve">VANPRO B2</t>
  </si>
  <si>
    <t xml:space="preserve">TRANSWAY 110</t>
  </si>
  <si>
    <t xml:space="preserve">TRANSWAY-2 113/111</t>
  </si>
  <si>
    <t xml:space="preserve">MPS-125 110/108R</t>
  </si>
  <si>
    <t xml:space="preserve">MPS-330 110/108M</t>
  </si>
  <si>
    <t xml:space="preserve">AGILIS+110R </t>
  </si>
  <si>
    <t xml:space="preserve">CARGO 110/108 M+S </t>
  </si>
  <si>
    <t xml:space="preserve">SUMMER VAN 110/108</t>
  </si>
  <si>
    <t xml:space="preserve">VANMATE  </t>
  </si>
  <si>
    <t xml:space="preserve">VANIS </t>
  </si>
  <si>
    <t xml:space="preserve">ACTIVAN GO 109/107T </t>
  </si>
  <si>
    <t xml:space="preserve">POWER CV 109/107R</t>
  </si>
  <si>
    <t xml:space="preserve">KT-656 109/107R</t>
  </si>
  <si>
    <t xml:space="preserve">TRANSPRO 109/107Т</t>
  </si>
  <si>
    <t xml:space="preserve">KC-53 109/107</t>
  </si>
  <si>
    <t xml:space="preserve">RADIAL-857 109/107</t>
  </si>
  <si>
    <t xml:space="preserve">MPS-330 109/107M</t>
  </si>
  <si>
    <t xml:space="preserve">AGILIS+  109/107 </t>
  </si>
  <si>
    <t xml:space="preserve">CARGO 109/107</t>
  </si>
  <si>
    <t xml:space="preserve">LIGT TRACK-101 109/107</t>
  </si>
  <si>
    <t xml:space="preserve">ACTIVAN GO 116/114 </t>
  </si>
  <si>
    <t xml:space="preserve">VANHAWK 113/111 </t>
  </si>
  <si>
    <t xml:space="preserve">INFINITI</t>
  </si>
  <si>
    <t xml:space="preserve">INF-100 113/111R L</t>
  </si>
  <si>
    <t xml:space="preserve">TRANSPRO 113/111R</t>
  </si>
  <si>
    <t xml:space="preserve">KC-53 116/114</t>
  </si>
  <si>
    <t xml:space="preserve">TRANSWAY 116/114</t>
  </si>
  <si>
    <t xml:space="preserve">MPS-400 113/111</t>
  </si>
  <si>
    <t xml:space="preserve">MP-330 113/111</t>
  </si>
  <si>
    <t xml:space="preserve">AGILIS   116/114R </t>
  </si>
  <si>
    <t xml:space="preserve">MR-200 116/114</t>
  </si>
  <si>
    <t xml:space="preserve">OVATION</t>
  </si>
  <si>
    <t xml:space="preserve">V02 116/114</t>
  </si>
  <si>
    <t xml:space="preserve">SUMMER VAN 113/111</t>
  </si>
  <si>
    <t xml:space="preserve">CARGO M+S 113/111 </t>
  </si>
  <si>
    <t xml:space="preserve">TR-609</t>
  </si>
  <si>
    <t xml:space="preserve">RY- 818</t>
  </si>
  <si>
    <t xml:space="preserve">ACTIVAN 112/110R </t>
  </si>
  <si>
    <t xml:space="preserve">KT-656 112/110R</t>
  </si>
  <si>
    <t xml:space="preserve">TRANSPRO 112/110R </t>
  </si>
  <si>
    <t xml:space="preserve">TRANSWAY-2 112R</t>
  </si>
  <si>
    <t xml:space="preserve">AGILIS CAMPING</t>
  </si>
  <si>
    <t xml:space="preserve">TR-652 112/110</t>
  </si>
  <si>
    <t xml:space="preserve">M723</t>
  </si>
  <si>
    <t xml:space="preserve">RA-18 121/120Q</t>
  </si>
  <si>
    <t xml:space="preserve">TRANSWAY-2 118/116</t>
  </si>
  <si>
    <t xml:space="preserve">AGILIS + 118/116R</t>
  </si>
  <si>
    <t xml:space="preserve">CARGO 118/116 M+S</t>
  </si>
  <si>
    <t xml:space="preserve">LIGT TRUCK 101 118/116</t>
  </si>
  <si>
    <t xml:space="preserve">RY-818 121/120 </t>
  </si>
  <si>
    <t xml:space="preserve">VANIS 2 115/113 </t>
  </si>
  <si>
    <t xml:space="preserve">DURAVIS 660 115/113 </t>
  </si>
  <si>
    <t xml:space="preserve">121/119</t>
  </si>
  <si>
    <t xml:space="preserve">VANHAWK-2  115/113 </t>
  </si>
  <si>
    <t xml:space="preserve">KT-656 115/113</t>
  </si>
  <si>
    <t xml:space="preserve">TRANSPRO 115/113</t>
  </si>
  <si>
    <t xml:space="preserve">TRANSWAY 115/113</t>
  </si>
  <si>
    <t xml:space="preserve">TRANSWAY-2 115/113</t>
  </si>
  <si>
    <t xml:space="preserve">TRANSWAY-2 121/119</t>
  </si>
  <si>
    <t xml:space="preserve">MP-330   113/115</t>
  </si>
  <si>
    <t xml:space="preserve">AGILIS+ 121/119</t>
  </si>
  <si>
    <t xml:space="preserve">AGILLIS+ 115/113 </t>
  </si>
  <si>
    <t xml:space="preserve">MR-200 115/113</t>
  </si>
  <si>
    <t xml:space="preserve">CARGO 115/113</t>
  </si>
  <si>
    <t xml:space="preserve">LIGHT TRUCK 115/113 </t>
  </si>
  <si>
    <t xml:space="preserve">COMERCIO VX1 115/113</t>
  </si>
  <si>
    <t xml:space="preserve">RY-818  121/119</t>
  </si>
  <si>
    <t xml:space="preserve">205.75/R17.5</t>
  </si>
  <si>
    <t xml:space="preserve">ANNAITE</t>
  </si>
  <si>
    <t xml:space="preserve">366 ПЕР</t>
  </si>
  <si>
    <t xml:space="preserve">LSR1  пер</t>
  </si>
  <si>
    <t xml:space="preserve">SP-344 пер.</t>
  </si>
  <si>
    <t xml:space="preserve">SP-444 зад</t>
  </si>
  <si>
    <t xml:space="preserve">FR 2 MASTER</t>
  </si>
  <si>
    <t xml:space="preserve">DR-2</t>
  </si>
  <si>
    <t xml:space="preserve">SEMPERIT</t>
  </si>
  <si>
    <t xml:space="preserve">M-434 руль 122/124 </t>
  </si>
  <si>
    <t xml:space="preserve">M-470</t>
  </si>
  <si>
    <t xml:space="preserve">TR-685 руль  </t>
  </si>
  <si>
    <t xml:space="preserve">ADVANCE</t>
  </si>
  <si>
    <t xml:space="preserve">GL283A 135/133 руль</t>
  </si>
  <si>
    <t xml:space="preserve">GL265D 135/133 тяга</t>
  </si>
  <si>
    <t xml:space="preserve">ASR-35 руль</t>
  </si>
  <si>
    <t xml:space="preserve">ADR-35 тяга</t>
  </si>
  <si>
    <t xml:space="preserve">366 126/124 п</t>
  </si>
  <si>
    <t xml:space="preserve">APLUS</t>
  </si>
  <si>
    <t xml:space="preserve">руль</t>
  </si>
  <si>
    <t xml:space="preserve">M-788 универсал </t>
  </si>
  <si>
    <t xml:space="preserve">BOTO</t>
  </si>
  <si>
    <t xml:space="preserve">BT-926 руль </t>
  </si>
  <si>
    <t xml:space="preserve">DOUBLESTAR</t>
  </si>
  <si>
    <t xml:space="preserve">DSR-116 135/133 пер</t>
  </si>
  <si>
    <t xml:space="preserve">DSR-08A 135/133 тяга</t>
  </si>
  <si>
    <t xml:space="preserve">FORCE</t>
  </si>
  <si>
    <t xml:space="preserve">TRUCK CONTROL 02 руль</t>
  </si>
  <si>
    <t xml:space="preserve">TD-02 135/133 тяга</t>
  </si>
  <si>
    <t xml:space="preserve">гарантия</t>
  </si>
  <si>
    <t xml:space="preserve">REGIOFORCE 126/124 зад</t>
  </si>
  <si>
    <t xml:space="preserve">REGIOCONTROL руль</t>
  </si>
  <si>
    <t xml:space="preserve">AH-35 126/124 руль</t>
  </si>
  <si>
    <t xml:space="preserve">DH-35 126/124 тяга</t>
  </si>
  <si>
    <t xml:space="preserve">ROADS 2F 126 п </t>
  </si>
  <si>
    <t xml:space="preserve">ROADS 2D 126/124 зад </t>
  </si>
  <si>
    <t xml:space="preserve">126/124M U универс</t>
  </si>
  <si>
    <t xml:space="preserve">LANVIGATOR</t>
  </si>
  <si>
    <t xml:space="preserve">S-201 135/133 руль</t>
  </si>
  <si>
    <t xml:space="preserve">LS/R 3100 126/124 пер</t>
  </si>
  <si>
    <t xml:space="preserve">LS/T 5500 126/124 зад</t>
  </si>
  <si>
    <t xml:space="preserve">MAXIWAYS 100S руль</t>
  </si>
  <si>
    <t xml:space="preserve">FR-3</t>
  </si>
  <si>
    <t xml:space="preserve">DR 3</t>
  </si>
  <si>
    <t xml:space="preserve">FHR-4 126/124 </t>
  </si>
  <si>
    <t xml:space="preserve">DHR-4 126/124 </t>
  </si>
  <si>
    <t xml:space="preserve">ПДВ</t>
  </si>
  <si>
    <t xml:space="preserve">TH 2 TITAN</t>
  </si>
  <si>
    <t xml:space="preserve">XZE2 пер германия</t>
  </si>
  <si>
    <t xml:space="preserve">MULTI D 126/124  зад </t>
  </si>
  <si>
    <t xml:space="preserve">MG-111 135/133 руль</t>
  </si>
  <si>
    <t xml:space="preserve">MG-628 135/133 тяга</t>
  </si>
  <si>
    <t xml:space="preserve">ROADLUX</t>
  </si>
  <si>
    <t xml:space="preserve">R-508 133/131 тяга</t>
  </si>
  <si>
    <t xml:space="preserve">R-216 133/131 руль</t>
  </si>
  <si>
    <t xml:space="preserve">SUNFUL</t>
  </si>
  <si>
    <t xml:space="preserve">628 тяга</t>
  </si>
  <si>
    <t xml:space="preserve">AVANT A4 пер</t>
  </si>
  <si>
    <t xml:space="preserve">ORJAK-4 зад</t>
  </si>
  <si>
    <t xml:space="preserve">TR-685 пер  126/124</t>
  </si>
  <si>
    <t xml:space="preserve">TR-685 пер  135133</t>
  </si>
  <si>
    <t xml:space="preserve">TR-689 135/133 зад</t>
  </si>
  <si>
    <t xml:space="preserve">42M</t>
  </si>
  <si>
    <t xml:space="preserve">TRUCK-24</t>
  </si>
  <si>
    <t xml:space="preserve">ST-01 135/133 пер</t>
  </si>
  <si>
    <t xml:space="preserve">DR-02 135/133 зад</t>
  </si>
  <si>
    <t xml:space="preserve">225.75/R17.5</t>
  </si>
  <si>
    <t xml:space="preserve">366 129/127 п</t>
  </si>
  <si>
    <t xml:space="preserve">785 129/127 з</t>
  </si>
  <si>
    <t xml:space="preserve">DSR-116 пер129/127</t>
  </si>
  <si>
    <t xml:space="preserve">DSR-266 универсал</t>
  </si>
  <si>
    <t xml:space="preserve">SP-444 зад.</t>
  </si>
  <si>
    <t xml:space="preserve">TB-906 руль</t>
  </si>
  <si>
    <t xml:space="preserve">TB-785 тяга</t>
  </si>
  <si>
    <t xml:space="preserve">LS/M 3100 129/127 пер</t>
  </si>
  <si>
    <t xml:space="preserve">LS/T 5500 129/127 зад</t>
  </si>
  <si>
    <t xml:space="preserve">DR-3</t>
  </si>
  <si>
    <t xml:space="preserve">XZE2 пер </t>
  </si>
  <si>
    <t xml:space="preserve">MULTI D 129/127 зад </t>
  </si>
  <si>
    <t xml:space="preserve">AVANT A3 пер</t>
  </si>
  <si>
    <t xml:space="preserve">ORJAK 03 зад</t>
  </si>
  <si>
    <t xml:space="preserve">ORJAK 04 зад</t>
  </si>
  <si>
    <t xml:space="preserve">M434 128/126 пер</t>
  </si>
  <si>
    <t xml:space="preserve">тяга</t>
  </si>
  <si>
    <t xml:space="preserve">235.75/R17.5</t>
  </si>
  <si>
    <t xml:space="preserve">366 132/130 п</t>
  </si>
  <si>
    <t xml:space="preserve">785 132/130 з</t>
  </si>
  <si>
    <t xml:space="preserve">руль прицеп</t>
  </si>
  <si>
    <t xml:space="preserve">LDR1  зад 132-130</t>
  </si>
  <si>
    <t xml:space="preserve">DAEWOO</t>
  </si>
  <si>
    <t xml:space="preserve">DW-322 141/140J зад</t>
  </si>
  <si>
    <t xml:space="preserve">DSR 266 143/141M пер</t>
  </si>
  <si>
    <t xml:space="preserve">165 зад</t>
  </si>
  <si>
    <t xml:space="preserve">SP-344 пер.132-130</t>
  </si>
  <si>
    <t xml:space="preserve">SP-444 зад.132-130</t>
  </si>
  <si>
    <t xml:space="preserve">GREENLANDER</t>
  </si>
  <si>
    <t xml:space="preserve">GR-678 тяга</t>
  </si>
  <si>
    <t xml:space="preserve">АН-35 132/130 руль</t>
  </si>
  <si>
    <t xml:space="preserve">ROADS D TL зад</t>
  </si>
  <si>
    <t xml:space="preserve">LS/M 3100 пер</t>
  </si>
  <si>
    <t xml:space="preserve">LS/T 5500 зад</t>
  </si>
  <si>
    <t xml:space="preserve">S-201 руль</t>
  </si>
  <si>
    <t xml:space="preserve">FR-2 MASTER</t>
  </si>
  <si>
    <t xml:space="preserve">MG-111 143/141 руль</t>
  </si>
  <si>
    <t xml:space="preserve">MG-628 143/141J зад.</t>
  </si>
  <si>
    <t xml:space="preserve">S637 143/141 руль</t>
  </si>
  <si>
    <t xml:space="preserve">AVANT 4 пер</t>
  </si>
  <si>
    <t xml:space="preserve">HF-111 руль</t>
  </si>
  <si>
    <t xml:space="preserve">TK-685 143/141пер</t>
  </si>
  <si>
    <t xml:space="preserve">TK-689 зад</t>
  </si>
  <si>
    <t xml:space="preserve">TORQUE</t>
  </si>
  <si>
    <t xml:space="preserve">TQ-628 143/141 зад </t>
  </si>
  <si>
    <t xml:space="preserve">245.70/R17.5</t>
  </si>
  <si>
    <t xml:space="preserve">366 136/134 п</t>
  </si>
  <si>
    <t xml:space="preserve">785 136/134 з</t>
  </si>
  <si>
    <t xml:space="preserve">SP-344 136/134 руль</t>
  </si>
  <si>
    <t xml:space="preserve">F HR-4 136/134</t>
  </si>
  <si>
    <t xml:space="preserve">D HR-4 136/134</t>
  </si>
  <si>
    <t xml:space="preserve">TR-685 руль</t>
  </si>
  <si>
    <t xml:space="preserve">245.75/R17.5</t>
  </si>
  <si>
    <t xml:space="preserve">MAXIWAYS 100S 134/132 руль</t>
  </si>
  <si>
    <t xml:space="preserve">LS/T 5500 134/132</t>
  </si>
  <si>
    <t xml:space="preserve">R 19.5</t>
  </si>
  <si>
    <t xml:space="preserve">245.70/R19.5</t>
  </si>
  <si>
    <t xml:space="preserve">366 пер</t>
  </si>
  <si>
    <t xml:space="preserve">785 зад</t>
  </si>
  <si>
    <t xml:space="preserve">CONSTANCY</t>
  </si>
  <si>
    <t xml:space="preserve">EcoSmart 78</t>
  </si>
  <si>
    <t xml:space="preserve">FR-3 пер</t>
  </si>
  <si>
    <t xml:space="preserve">DR-1 136/134</t>
  </si>
  <si>
    <t xml:space="preserve">TR-685 руль прицеп 135/133</t>
  </si>
  <si>
    <t xml:space="preserve">TR-689 тяга</t>
  </si>
  <si>
    <t xml:space="preserve">265.70/R19.5</t>
  </si>
  <si>
    <t xml:space="preserve">366 140/138 п</t>
  </si>
  <si>
    <t xml:space="preserve">785 140/138 з</t>
  </si>
  <si>
    <t xml:space="preserve">AT-115 143/141 руль-универсал</t>
  </si>
  <si>
    <t xml:space="preserve">SP-344 140/138 руль</t>
  </si>
  <si>
    <t xml:space="preserve">SP-444 140/138 зад</t>
  </si>
  <si>
    <t xml:space="preserve">TB-735 тяга</t>
  </si>
  <si>
    <t xml:space="preserve">AVANT-A3 140/138 </t>
  </si>
  <si>
    <t xml:space="preserve">люксембург</t>
  </si>
  <si>
    <t xml:space="preserve">ORJAK-03 140/138M </t>
  </si>
  <si>
    <t xml:space="preserve">TRS-02 пер </t>
  </si>
  <si>
    <t xml:space="preserve">TR-657 тяга</t>
  </si>
  <si>
    <t xml:space="preserve">285.70/R19.5</t>
  </si>
  <si>
    <t xml:space="preserve">HN-257 п</t>
  </si>
  <si>
    <t xml:space="preserve">ADR-35</t>
  </si>
  <si>
    <t xml:space="preserve">SP-344 руль</t>
  </si>
  <si>
    <t xml:space="preserve">SP-444 146/144 зад </t>
  </si>
  <si>
    <t xml:space="preserve">REGIOCONTROL 146/144</t>
  </si>
  <si>
    <t xml:space="preserve">D-801 146/144 зад</t>
  </si>
  <si>
    <t xml:space="preserve">DR 1 HECTOR 148/145M</t>
  </si>
  <si>
    <t xml:space="preserve">T HR-4 150/148 руль</t>
  </si>
  <si>
    <t xml:space="preserve">TR-685 пер</t>
  </si>
  <si>
    <t xml:space="preserve">295.80/R19.5</t>
  </si>
  <si>
    <t xml:space="preserve">366 154/151</t>
  </si>
  <si>
    <t xml:space="preserve">755 152/148</t>
  </si>
  <si>
    <t xml:space="preserve">ROAD-2 </t>
  </si>
  <si>
    <t xml:space="preserve">435.50/R19.5</t>
  </si>
  <si>
    <t xml:space="preserve">LONGMARCH</t>
  </si>
  <si>
    <t xml:space="preserve">LM-168 160J</t>
  </si>
  <si>
    <t xml:space="preserve">445.45/R19.5</t>
  </si>
  <si>
    <t xml:space="preserve">DOUBLE COIN</t>
  </si>
  <si>
    <t xml:space="preserve">RR 905 156J</t>
  </si>
  <si>
    <t xml:space="preserve">R 20  </t>
  </si>
  <si>
    <t xml:space="preserve">8.25/R20</t>
  </si>
  <si>
    <t xml:space="preserve">универсал</t>
  </si>
  <si>
    <t xml:space="preserve">ANTYRE</t>
  </si>
  <si>
    <t xml:space="preserve">TB-877 без флипера</t>
  </si>
  <si>
    <t xml:space="preserve">DSR-188</t>
  </si>
  <si>
    <t xml:space="preserve">9.00/R20</t>
  </si>
  <si>
    <t xml:space="preserve">896 144/142 L п+ун</t>
  </si>
  <si>
    <t xml:space="preserve">386 144/142 K з</t>
  </si>
  <si>
    <t xml:space="preserve">FESITE</t>
  </si>
  <si>
    <t xml:space="preserve">HF 702 144/142 универсал</t>
  </si>
  <si>
    <t xml:space="preserve">GREENDRAGON</t>
  </si>
  <si>
    <t xml:space="preserve">HF-313 тяга</t>
  </si>
  <si>
    <t xml:space="preserve">21M</t>
  </si>
  <si>
    <t xml:space="preserve">MG-702 универсал</t>
  </si>
  <si>
    <t xml:space="preserve">ROADWING</t>
  </si>
  <si>
    <t xml:space="preserve">WS-816ведущие 16сл.ромб</t>
  </si>
  <si>
    <t xml:space="preserve">WS-118 универсал</t>
  </si>
  <si>
    <t xml:space="preserve">HF-701 16сл тяга</t>
  </si>
  <si>
    <t xml:space="preserve">10.00/R20</t>
  </si>
  <si>
    <t xml:space="preserve">HR-168 146/143 18сл</t>
  </si>
  <si>
    <t xml:space="preserve">DURUN</t>
  </si>
  <si>
    <t xml:space="preserve">YTH3 146/143K 18сл</t>
  </si>
  <si>
    <t xml:space="preserve">TRUCK ALL POSITION 01 ун.18сл.</t>
  </si>
  <si>
    <t xml:space="preserve">20Н</t>
  </si>
  <si>
    <t xml:space="preserve">Универсальная</t>
  </si>
  <si>
    <t xml:space="preserve">WS-626 ведущие</t>
  </si>
  <si>
    <t xml:space="preserve">КАМА-310</t>
  </si>
  <si>
    <t xml:space="preserve">WS-616 ромб</t>
  </si>
  <si>
    <t xml:space="preserve">4Н</t>
  </si>
  <si>
    <t xml:space="preserve">TUNFUL-XR818</t>
  </si>
  <si>
    <t xml:space="preserve">универсал </t>
  </si>
  <si>
    <t xml:space="preserve">HF-638 тяга</t>
  </si>
  <si>
    <t xml:space="preserve">зад</t>
  </si>
  <si>
    <t xml:space="preserve">11.00/R20</t>
  </si>
  <si>
    <t xml:space="preserve">KINGRUN</t>
  </si>
  <si>
    <t xml:space="preserve">TT-78 универсал</t>
  </si>
  <si>
    <t xml:space="preserve">TAITONG</t>
  </si>
  <si>
    <t xml:space="preserve">12.00/R20</t>
  </si>
  <si>
    <t xml:space="preserve">100 154/151 18сл</t>
  </si>
  <si>
    <t xml:space="preserve">DUPRO</t>
  </si>
  <si>
    <t xml:space="preserve"> универсал</t>
  </si>
  <si>
    <t xml:space="preserve">R 22.5</t>
  </si>
  <si>
    <t xml:space="preserve">275.70/R22.5</t>
  </si>
  <si>
    <t xml:space="preserve">366 148/145 п</t>
  </si>
  <si>
    <t xml:space="preserve">785 148/145 3</t>
  </si>
  <si>
    <t xml:space="preserve">HN-355 тяга</t>
  </si>
  <si>
    <t xml:space="preserve">AUTOGRIP</t>
  </si>
  <si>
    <t xml:space="preserve">980-D тяга</t>
  </si>
  <si>
    <t xml:space="preserve">DR 1 HECTOR</t>
  </si>
  <si>
    <t xml:space="preserve">TR-615 пер</t>
  </si>
  <si>
    <t xml:space="preserve">295.60/R22.5</t>
  </si>
  <si>
    <t xml:space="preserve">FHR-4 152/148 руль 18сл.</t>
  </si>
  <si>
    <t xml:space="preserve">295.80/R22.5</t>
  </si>
  <si>
    <t xml:space="preserve">S-205 руль</t>
  </si>
  <si>
    <t xml:space="preserve">366 152/148 п</t>
  </si>
  <si>
    <t xml:space="preserve">785 152/148 з</t>
  </si>
  <si>
    <t xml:space="preserve">755 152/148 з крупный</t>
  </si>
  <si>
    <t xml:space="preserve">AURORA</t>
  </si>
  <si>
    <t xml:space="preserve">UF-16 152/148M руль</t>
  </si>
  <si>
    <t xml:space="preserve">UZ-05 152/148M зад</t>
  </si>
  <si>
    <t xml:space="preserve">M-729 </t>
  </si>
  <si>
    <t xml:space="preserve">ECOSMART T-78 тяга</t>
  </si>
  <si>
    <t xml:space="preserve">COOPER </t>
  </si>
  <si>
    <t xml:space="preserve">CST-145 руль</t>
  </si>
  <si>
    <t xml:space="preserve">DAEWOC</t>
  </si>
  <si>
    <t xml:space="preserve">DWD-11 152/148</t>
  </si>
  <si>
    <t xml:space="preserve">SP-344 руль  </t>
  </si>
  <si>
    <t xml:space="preserve">SP-444 тяга</t>
  </si>
  <si>
    <t xml:space="preserve">HF-668 152/148 тяга</t>
  </si>
  <si>
    <t xml:space="preserve">CONTROL-01 руль</t>
  </si>
  <si>
    <t xml:space="preserve">ECOCONTROL-2 пер </t>
  </si>
  <si>
    <t xml:space="preserve">GRENLANDER</t>
  </si>
  <si>
    <t xml:space="preserve">662 руль</t>
  </si>
  <si>
    <t xml:space="preserve">GREENFORSE</t>
  </si>
  <si>
    <t xml:space="preserve">AL-10 руль</t>
  </si>
  <si>
    <t xml:space="preserve">DL-10 154/150 тяга</t>
  </si>
  <si>
    <t xml:space="preserve">F рулевые</t>
  </si>
  <si>
    <t xml:space="preserve">ROADS-2 зад. </t>
  </si>
  <si>
    <t xml:space="preserve">S-201 пер</t>
  </si>
  <si>
    <t xml:space="preserve">DH 1 DIAMOND</t>
  </si>
  <si>
    <t xml:space="preserve">DHR-4 152/148</t>
  </si>
  <si>
    <t xml:space="preserve">MG-660 руль</t>
  </si>
  <si>
    <t xml:space="preserve">HH368 152/149 зад</t>
  </si>
  <si>
    <t xml:space="preserve">SATOYA</t>
  </si>
  <si>
    <t xml:space="preserve">SF-042 пер. 152/148</t>
  </si>
  <si>
    <t xml:space="preserve">ST-02 152/149 пер</t>
  </si>
  <si>
    <t xml:space="preserve">TRUCK-25</t>
  </si>
  <si>
    <t xml:space="preserve">DR-01 152/149 зад</t>
  </si>
  <si>
    <t xml:space="preserve">315.60/R22.5</t>
  </si>
  <si>
    <t xml:space="preserve">DSR-116 152/148 руль</t>
  </si>
  <si>
    <t xml:space="preserve">DSR 08A 154/150 тяга</t>
  </si>
  <si>
    <t xml:space="preserve">315.70/R22.5</t>
  </si>
  <si>
    <t xml:space="preserve">GL-282A 154/150 руль</t>
  </si>
  <si>
    <t xml:space="preserve">GL-267D 154/150 тяга</t>
  </si>
  <si>
    <t xml:space="preserve">23H</t>
  </si>
  <si>
    <t xml:space="preserve">HN-257 руль</t>
  </si>
  <si>
    <t xml:space="preserve">785 154/150 з</t>
  </si>
  <si>
    <t xml:space="preserve">TB-762 154M руль</t>
  </si>
  <si>
    <t xml:space="preserve">R-249 EVO руль </t>
  </si>
  <si>
    <t xml:space="preserve">М-297 руль </t>
  </si>
  <si>
    <t xml:space="preserve">M-729 зад </t>
  </si>
  <si>
    <t xml:space="preserve">8Н</t>
  </si>
  <si>
    <t xml:space="preserve">BOTTO</t>
  </si>
  <si>
    <t xml:space="preserve">BT-388 тяга</t>
  </si>
  <si>
    <t xml:space="preserve">78 152/148 тяга 18слоев</t>
  </si>
  <si>
    <t xml:space="preserve">DSR-08 154/150 тяга</t>
  </si>
  <si>
    <t xml:space="preserve">SP-344 154/152  пер</t>
  </si>
  <si>
    <t xml:space="preserve">Люксембург</t>
  </si>
  <si>
    <t xml:space="preserve">SP-346 пер</t>
  </si>
  <si>
    <t xml:space="preserve">SP-444 154/152 </t>
  </si>
  <si>
    <t xml:space="preserve">SP-444 154/152</t>
  </si>
  <si>
    <t xml:space="preserve"> люксембург</t>
  </si>
  <si>
    <t xml:space="preserve">RI-867 152/128 руль</t>
  </si>
  <si>
    <t xml:space="preserve">BI-867 152/148 тяга</t>
  </si>
  <si>
    <t xml:space="preserve">HF-638 154/150 тяга</t>
  </si>
  <si>
    <t xml:space="preserve">BT-688 154/150 руль </t>
  </si>
  <si>
    <t xml:space="preserve">ECOFORCE-2  зад</t>
  </si>
  <si>
    <t xml:space="preserve">RHD II+ тяга </t>
  </si>
  <si>
    <t xml:space="preserve">GOLDCHAELD</t>
  </si>
  <si>
    <t xml:space="preserve">HD-919 тяга 20слоев</t>
  </si>
  <si>
    <t xml:space="preserve">AH-22 154/150 руль </t>
  </si>
  <si>
    <t xml:space="preserve">китай</t>
  </si>
  <si>
    <t xml:space="preserve">AL-10 руль </t>
  </si>
  <si>
    <t xml:space="preserve">DL-10 154/150 тяга </t>
  </si>
  <si>
    <t xml:space="preserve">F 154/150 L рулевые</t>
  </si>
  <si>
    <t xml:space="preserve">D  154/150 зад</t>
  </si>
  <si>
    <t xml:space="preserve">F HR-4 154/150</t>
  </si>
  <si>
    <t xml:space="preserve">D HR-4 154/150</t>
  </si>
  <si>
    <t xml:space="preserve">WS-712 руль</t>
  </si>
  <si>
    <t xml:space="preserve">WS-816 тяга</t>
  </si>
  <si>
    <t xml:space="preserve">ROYAL BLEK</t>
  </si>
  <si>
    <t xml:space="preserve">RBK-81 тяга</t>
  </si>
  <si>
    <t xml:space="preserve">SAMSON</t>
  </si>
  <si>
    <t xml:space="preserve">ORJAK-4 PLUS зад </t>
  </si>
  <si>
    <t xml:space="preserve">ST-01 154/150 пер</t>
  </si>
  <si>
    <t xml:space="preserve">DR-01 154/150 зад</t>
  </si>
  <si>
    <t xml:space="preserve">315.80/R22.5</t>
  </si>
  <si>
    <t xml:space="preserve">AGATE</t>
  </si>
  <si>
    <t xml:space="preserve">HF-660 пер.</t>
  </si>
  <si>
    <t xml:space="preserve">AMBERSTONE</t>
  </si>
  <si>
    <t xml:space="preserve">755 157/154 з</t>
  </si>
  <si>
    <t xml:space="preserve">366 157/154 п</t>
  </si>
  <si>
    <t xml:space="preserve">786 157/154 п</t>
  </si>
  <si>
    <t xml:space="preserve">755 157/154 з крупный</t>
  </si>
  <si>
    <t xml:space="preserve">785 157/154 з</t>
  </si>
  <si>
    <t xml:space="preserve">S-201 154/150M руль</t>
  </si>
  <si>
    <t xml:space="preserve">UZ-05 154/150M зад</t>
  </si>
  <si>
    <t xml:space="preserve">BF-15</t>
  </si>
  <si>
    <t xml:space="preserve">BD22 зад</t>
  </si>
  <si>
    <t xml:space="preserve">M-297 п </t>
  </si>
  <si>
    <t xml:space="preserve">M-730 зад </t>
  </si>
  <si>
    <t xml:space="preserve">DSR-266 154/151 </t>
  </si>
  <si>
    <t xml:space="preserve">DSR-08 154/151 тяга</t>
  </si>
  <si>
    <t xml:space="preserve">SP-344 руль </t>
  </si>
  <si>
    <t xml:space="preserve">2015-16</t>
  </si>
  <si>
    <t xml:space="preserve">SP-444 зад </t>
  </si>
  <si>
    <t xml:space="preserve">SP-446 зад </t>
  </si>
  <si>
    <t xml:space="preserve">HF-638 156/152 тяга</t>
  </si>
  <si>
    <t xml:space="preserve">BT-968 156/150 руль </t>
  </si>
  <si>
    <t xml:space="preserve">ECOCONTROL-2</t>
  </si>
  <si>
    <t xml:space="preserve">HF121 руль</t>
  </si>
  <si>
    <t xml:space="preserve">LHS II+ руль </t>
  </si>
  <si>
    <t xml:space="preserve">AH-22 156/150L 18сл.руль </t>
  </si>
  <si>
    <t xml:space="preserve">HEPPIROAD</t>
  </si>
  <si>
    <t xml:space="preserve">F 154</t>
  </si>
  <si>
    <t xml:space="preserve">D  зад</t>
  </si>
  <si>
    <t xml:space="preserve">ROADS D TL 15</t>
  </si>
  <si>
    <t xml:space="preserve">D ON/OFF карьер</t>
  </si>
  <si>
    <t xml:space="preserve">ROADS F 156/154 п</t>
  </si>
  <si>
    <t xml:space="preserve">F ON/OFF 156/154 универс карьер</t>
  </si>
  <si>
    <t xml:space="preserve">S-201 156/150 руль</t>
  </si>
  <si>
    <t xml:space="preserve">LM-201 универсал</t>
  </si>
  <si>
    <t xml:space="preserve">FM 2 MASTER HECTOR кар.</t>
  </si>
  <si>
    <t xml:space="preserve">2H</t>
  </si>
  <si>
    <t xml:space="preserve">FHR-4 156/150 руль</t>
  </si>
  <si>
    <t xml:space="preserve">D HR4 156/150</t>
  </si>
  <si>
    <t xml:space="preserve">MG-660 156/152 руль</t>
  </si>
  <si>
    <t xml:space="preserve">MG628 156/152 тяга</t>
  </si>
  <si>
    <t xml:space="preserve">ODYKING</t>
  </si>
  <si>
    <t xml:space="preserve">OD176 руль</t>
  </si>
  <si>
    <t xml:space="preserve">OD-626 тяга</t>
  </si>
  <si>
    <t xml:space="preserve">OVATON</t>
  </si>
  <si>
    <t xml:space="preserve">VI-660 руль</t>
  </si>
  <si>
    <t xml:space="preserve">VI-638 тяга</t>
  </si>
  <si>
    <t xml:space="preserve">HF-121 пер.</t>
  </si>
  <si>
    <t xml:space="preserve">HF-638-тяга</t>
  </si>
  <si>
    <t xml:space="preserve">SD-062 зад</t>
  </si>
  <si>
    <t xml:space="preserve">AVANT 4 PLUS пер</t>
  </si>
  <si>
    <t xml:space="preserve">ORJAK 4 PLUS зад</t>
  </si>
  <si>
    <t xml:space="preserve">HS-102 157/153 зад</t>
  </si>
  <si>
    <t xml:space="preserve">WOSEN</t>
  </si>
  <si>
    <t xml:space="preserve">385.55/R22.5</t>
  </si>
  <si>
    <t xml:space="preserve">SQ-201 руль</t>
  </si>
  <si>
    <t xml:space="preserve">DSR-118  прицеп 20PR 160K</t>
  </si>
  <si>
    <t xml:space="preserve">TT-01 </t>
  </si>
  <si>
    <t xml:space="preserve">NEOTERRA</t>
  </si>
  <si>
    <t xml:space="preserve">NT-555 прицеп</t>
  </si>
  <si>
    <t xml:space="preserve">385.65/R22.5</t>
  </si>
  <si>
    <t xml:space="preserve">ST-022 прицеп</t>
  </si>
  <si>
    <t xml:space="preserve">ATR-65</t>
  </si>
  <si>
    <t xml:space="preserve">GL-286T</t>
  </si>
  <si>
    <t xml:space="preserve">ALFAIN</t>
  </si>
  <si>
    <t xml:space="preserve">AF-327</t>
  </si>
  <si>
    <t xml:space="preserve">AEOLUS-7100</t>
  </si>
  <si>
    <t xml:space="preserve">396 4дорожки </t>
  </si>
  <si>
    <t xml:space="preserve">ANTAIR</t>
  </si>
  <si>
    <t xml:space="preserve">TB-882 160K </t>
  </si>
  <si>
    <t xml:space="preserve">TB-926 160K 5 дорожки</t>
  </si>
  <si>
    <t xml:space="preserve">АPLUS</t>
  </si>
  <si>
    <t xml:space="preserve">А+ руль</t>
  </si>
  <si>
    <t xml:space="preserve">AUFINE</t>
  </si>
  <si>
    <t xml:space="preserve">AF-32 </t>
  </si>
  <si>
    <t xml:space="preserve">ВТ-215N 164K руль</t>
  </si>
  <si>
    <t xml:space="preserve">BU-49 карьер</t>
  </si>
  <si>
    <t xml:space="preserve">249-  Руль</t>
  </si>
  <si>
    <t xml:space="preserve">R168+</t>
  </si>
  <si>
    <t xml:space="preserve">CACHLAND</t>
  </si>
  <si>
    <t xml:space="preserve">CH-8220</t>
  </si>
  <si>
    <t xml:space="preserve">Deruibo-</t>
  </si>
  <si>
    <t xml:space="preserve">DRB665</t>
  </si>
  <si>
    <t xml:space="preserve">DOUPRO</t>
  </si>
  <si>
    <t xml:space="preserve">ST-932 прицеп</t>
  </si>
  <si>
    <t xml:space="preserve">DSR-166 прицеп</t>
  </si>
  <si>
    <t xml:space="preserve">DSR-118 руль и прицеп 20PR 160K</t>
  </si>
  <si>
    <t xml:space="preserve">SP-244 </t>
  </si>
  <si>
    <t xml:space="preserve">SP-346 руль </t>
  </si>
  <si>
    <t xml:space="preserve">SP-246 прицеп 22слоя </t>
  </si>
  <si>
    <t xml:space="preserve">RI 128 руль прицеп</t>
  </si>
  <si>
    <t xml:space="preserve">SAFECESS</t>
  </si>
  <si>
    <t xml:space="preserve">SFC-07 прицеп</t>
  </si>
  <si>
    <t xml:space="preserve">FIREMAX</t>
  </si>
  <si>
    <t xml:space="preserve">FM-07 прицеп</t>
  </si>
  <si>
    <t xml:space="preserve">11Н</t>
  </si>
  <si>
    <t xml:space="preserve">KMAX-S  пер</t>
  </si>
  <si>
    <t xml:space="preserve">KMAX-T </t>
  </si>
  <si>
    <t xml:space="preserve">GOODRIDE</t>
  </si>
  <si>
    <t xml:space="preserve">AT-559 руль</t>
  </si>
  <si>
    <t xml:space="preserve">АТ-560 прицеп 4дорожки</t>
  </si>
  <si>
    <t xml:space="preserve">GRINLANDER</t>
  </si>
  <si>
    <t xml:space="preserve">Y-226 руль</t>
  </si>
  <si>
    <t xml:space="preserve">HH-107 прицеп</t>
  </si>
  <si>
    <t xml:space="preserve">TH-22 прицеп </t>
  </si>
  <si>
    <t xml:space="preserve">KAPSEN</t>
  </si>
  <si>
    <t xml:space="preserve">HS-166</t>
  </si>
  <si>
    <t xml:space="preserve">FHR-4 руль</t>
  </si>
  <si>
    <t xml:space="preserve">T HR-4 прицеп</t>
  </si>
  <si>
    <t xml:space="preserve">5H</t>
  </si>
  <si>
    <t xml:space="preserve">MG-022  прицеп</t>
  </si>
  <si>
    <t xml:space="preserve">ONYX</t>
  </si>
  <si>
    <t xml:space="preserve">HO-107 прицеп</t>
  </si>
  <si>
    <t xml:space="preserve">ENERGY  FH01</t>
  </si>
  <si>
    <t xml:space="preserve">POWERTRUC</t>
  </si>
  <si>
    <t xml:space="preserve">CROSS TRUC прицеп</t>
  </si>
  <si>
    <t xml:space="preserve">ST-082 прицеп</t>
  </si>
  <si>
    <t xml:space="preserve">AVANT plus4 руль </t>
  </si>
  <si>
    <t xml:space="preserve">HS-166 прицеп</t>
  </si>
  <si>
    <t xml:space="preserve">SPOTRUC</t>
  </si>
  <si>
    <t xml:space="preserve">Руль 5дорожек</t>
  </si>
  <si>
    <t xml:space="preserve">ST-022</t>
  </si>
  <si>
    <t xml:space="preserve">TQ-022 прицеп</t>
  </si>
  <si>
    <t xml:space="preserve">TRANSKING</t>
  </si>
  <si>
    <t xml:space="preserve">ECOMART 37 руль</t>
  </si>
  <si>
    <t xml:space="preserve">VNETIK</t>
  </si>
  <si>
    <t xml:space="preserve">VK-366 руль</t>
  </si>
  <si>
    <t xml:space="preserve">WINDFORCE</t>
  </si>
  <si>
    <t xml:space="preserve">WT-3000 прицеп</t>
  </si>
  <si>
    <t xml:space="preserve">WONDERLAND</t>
  </si>
  <si>
    <t xml:space="preserve">BYA-685 прицеп 5дорожек</t>
  </si>
  <si>
    <t xml:space="preserve">МОДЕЛЬ</t>
  </si>
  <si>
    <t xml:space="preserve">POLARIS 3</t>
  </si>
  <si>
    <t xml:space="preserve">WINTER G </t>
  </si>
  <si>
    <t xml:space="preserve">FRIGO  </t>
  </si>
  <si>
    <t xml:space="preserve">EURO FROST 5</t>
  </si>
  <si>
    <t xml:space="preserve">WINTER I*PIKE W419 </t>
  </si>
  <si>
    <t xml:space="preserve">I ZEN KW31 п.шип</t>
  </si>
  <si>
    <t xml:space="preserve">п.шип</t>
  </si>
  <si>
    <t xml:space="preserve">SNOWAYS 2 PLUS</t>
  </si>
  <si>
    <t xml:space="preserve">KW31</t>
  </si>
  <si>
    <t xml:space="preserve">MP 52 NORDICCA BASIC</t>
  </si>
  <si>
    <t xml:space="preserve">MP 54 SIBIR SNOW</t>
  </si>
  <si>
    <t xml:space="preserve">NP 3 ARCTIC TREKKER 75T </t>
  </si>
  <si>
    <t xml:space="preserve">MR-W562</t>
  </si>
  <si>
    <t xml:space="preserve">SNOWTIME B2 </t>
  </si>
  <si>
    <t xml:space="preserve">ICE BLAZER WSL2</t>
  </si>
  <si>
    <t xml:space="preserve">ICE BLAZER WST1</t>
  </si>
  <si>
    <t xml:space="preserve">ESKIMO S3 </t>
  </si>
  <si>
    <t xml:space="preserve">TR-777 75T</t>
  </si>
  <si>
    <t xml:space="preserve">POLARIS 3 79T</t>
  </si>
  <si>
    <t xml:space="preserve">FRIGO 2</t>
  </si>
  <si>
    <t xml:space="preserve">MP 58 SILIKA</t>
  </si>
  <si>
    <t xml:space="preserve">NEXEN-ROADSTONE</t>
  </si>
  <si>
    <t xml:space="preserve">EUROWIN</t>
  </si>
  <si>
    <t xml:space="preserve">ESKIMO S3</t>
  </si>
  <si>
    <t xml:space="preserve">A501</t>
  </si>
  <si>
    <t xml:space="preserve">G-FORCE STUD </t>
  </si>
  <si>
    <t xml:space="preserve">шип</t>
  </si>
  <si>
    <t xml:space="preserve">ICE CRUISER 7000 п.шип</t>
  </si>
  <si>
    <t xml:space="preserve">п. шип</t>
  </si>
  <si>
    <t xml:space="preserve">BLIZZAK VRX</t>
  </si>
  <si>
    <t xml:space="preserve">BLIZZAK REVO GZ</t>
  </si>
  <si>
    <t xml:space="preserve">KRISTALL MONTERO 3 </t>
  </si>
  <si>
    <t xml:space="preserve">пол.</t>
  </si>
  <si>
    <t xml:space="preserve">SW608</t>
  </si>
  <si>
    <t xml:space="preserve">WINTER I*PIKE RS2 W429 </t>
  </si>
  <si>
    <t xml:space="preserve">WINTER I*CEPT IZ2 W616 </t>
  </si>
  <si>
    <t xml:space="preserve">JOYROAD</t>
  </si>
  <si>
    <t xml:space="preserve">RX808 </t>
  </si>
  <si>
    <t xml:space="preserve">STUD EXTREME </t>
  </si>
  <si>
    <t xml:space="preserve">SNOWPRO B2 </t>
  </si>
  <si>
    <t xml:space="preserve">I ZEN KW31 82T</t>
  </si>
  <si>
    <t xml:space="preserve">SNOWAYS 3 </t>
  </si>
  <si>
    <t xml:space="preserve">ICEWAYS 2 </t>
  </si>
  <si>
    <t xml:space="preserve">I FIT LW31 </t>
  </si>
  <si>
    <t xml:space="preserve">I FIT ICE LW71 82T </t>
  </si>
  <si>
    <t xml:space="preserve">NP 3 ARCTIC TREKKER </t>
  </si>
  <si>
    <t xml:space="preserve">X-ICE NORTH шип</t>
  </si>
  <si>
    <t xml:space="preserve">ALPIN A3</t>
  </si>
  <si>
    <t xml:space="preserve">WINGUARD WIN-SPIKE </t>
  </si>
  <si>
    <t xml:space="preserve">WR G2</t>
  </si>
  <si>
    <t xml:space="preserve">SNOWTIME B2</t>
  </si>
  <si>
    <t xml:space="preserve">SIGURA STUD TG п.шип </t>
  </si>
  <si>
    <t xml:space="preserve">VARIO V2</t>
  </si>
  <si>
    <t xml:space="preserve">OBSERVE G3-ICE</t>
  </si>
  <si>
    <t xml:space="preserve">OBSERVE GSi5 (OBGS-5)</t>
  </si>
  <si>
    <t xml:space="preserve">IG-35 шип</t>
  </si>
  <si>
    <t xml:space="preserve">IG-55 шип</t>
  </si>
  <si>
    <t xml:space="preserve">TIGER PAW ICE &amp; SNOW</t>
  </si>
  <si>
    <t xml:space="preserve">I ZEN KW15</t>
  </si>
  <si>
    <t xml:space="preserve">KW15</t>
  </si>
  <si>
    <t xml:space="preserve">WINTER I*PIKE W419 79T</t>
  </si>
  <si>
    <t xml:space="preserve">I ZEN KW31</t>
  </si>
  <si>
    <t xml:space="preserve">T M+S</t>
  </si>
  <si>
    <t xml:space="preserve">FIRSTSTOP</t>
  </si>
  <si>
    <t xml:space="preserve">WINTER 2</t>
  </si>
  <si>
    <t xml:space="preserve">WINTER I*CEPT IZ W606 </t>
  </si>
  <si>
    <t xml:space="preserve">ALPIN А4</t>
  </si>
  <si>
    <t xml:space="preserve">X-ICE 3</t>
  </si>
  <si>
    <t xml:space="preserve">SNOWACE AW02</t>
  </si>
  <si>
    <t xml:space="preserve">SNOWACE AW05</t>
  </si>
  <si>
    <t xml:space="preserve">G-FORCE STUD шип</t>
  </si>
  <si>
    <t xml:space="preserve">G-FORCE WINTER</t>
  </si>
  <si>
    <t xml:space="preserve">DAYTON</t>
  </si>
  <si>
    <t xml:space="preserve">DW-510 </t>
  </si>
  <si>
    <t xml:space="preserve">WINTER MS</t>
  </si>
  <si>
    <t xml:space="preserve">HIMALAYA WS2 п.шип</t>
  </si>
  <si>
    <t xml:space="preserve">KRISALP HP2 </t>
  </si>
  <si>
    <t xml:space="preserve">SNOWPRO B2</t>
  </si>
  <si>
    <t xml:space="preserve">SNOWAYS ERA</t>
  </si>
  <si>
    <t xml:space="preserve">SNOWAYS 3</t>
  </si>
  <si>
    <t xml:space="preserve">ICEWAYS</t>
  </si>
  <si>
    <t xml:space="preserve">KW22</t>
  </si>
  <si>
    <t xml:space="preserve">MENTOR</t>
  </si>
  <si>
    <t xml:space="preserve">M200</t>
  </si>
  <si>
    <t xml:space="preserve">WINTER 1 TG</t>
  </si>
  <si>
    <t xml:space="preserve">OBSERVE GARIT GIZ</t>
  </si>
  <si>
    <t xml:space="preserve">Q</t>
  </si>
  <si>
    <t xml:space="preserve">OBSERVE GARIT G3-ICE</t>
  </si>
  <si>
    <t xml:space="preserve">OBSERVE GSI5 </t>
  </si>
  <si>
    <t xml:space="preserve">IG-55шип</t>
  </si>
  <si>
    <t xml:space="preserve">POLARIS 2</t>
  </si>
  <si>
    <t xml:space="preserve">DW-510</t>
  </si>
  <si>
    <t xml:space="preserve">MS</t>
  </si>
  <si>
    <t xml:space="preserve">WINTERHAWK 2</t>
  </si>
  <si>
    <t xml:space="preserve">ULTRA GRIP 8</t>
  </si>
  <si>
    <t xml:space="preserve">T XL</t>
  </si>
  <si>
    <t xml:space="preserve">I FIT LW31 88T</t>
  </si>
  <si>
    <t xml:space="preserve">I FIT ICE LW71 88T </t>
  </si>
  <si>
    <t xml:space="preserve">KW31 </t>
  </si>
  <si>
    <t xml:space="preserve">R</t>
  </si>
  <si>
    <t xml:space="preserve">MR-W562 88T XL</t>
  </si>
  <si>
    <t xml:space="preserve">WINGUARD WIN-SPIKE</t>
  </si>
  <si>
    <t xml:space="preserve">VARIO V2 </t>
  </si>
  <si>
    <t xml:space="preserve">OBSERVE GARIT G3-ICE </t>
  </si>
  <si>
    <t xml:space="preserve">OBSERVE GARIT GIZ </t>
  </si>
  <si>
    <t xml:space="preserve">G-FORCE WINTER</t>
  </si>
  <si>
    <t xml:space="preserve">BLIZZAK LM30</t>
  </si>
  <si>
    <t xml:space="preserve">BLIZZAK REVO2</t>
  </si>
  <si>
    <t xml:space="preserve">HIMALAYA WS2 </t>
  </si>
  <si>
    <t xml:space="preserve">WINTER I*PIKE W409</t>
  </si>
  <si>
    <t xml:space="preserve">WINTER I*CEPT IZ2 W616</t>
  </si>
  <si>
    <t xml:space="preserve">I ZEN XW KW17</t>
  </si>
  <si>
    <t xml:space="preserve">I ZEN KW22</t>
  </si>
  <si>
    <t xml:space="preserve">I FIT ICE LW71 </t>
  </si>
  <si>
    <t xml:space="preserve">MP 54 SIBIR SNOW </t>
  </si>
  <si>
    <t xml:space="preserve">ALPIN A4</t>
  </si>
  <si>
    <t xml:space="preserve">X-ICE XI2</t>
  </si>
  <si>
    <t xml:space="preserve">MR-W562 82T</t>
  </si>
  <si>
    <t xml:space="preserve">T  </t>
  </si>
  <si>
    <t xml:space="preserve">W+</t>
  </si>
  <si>
    <t xml:space="preserve">SNOW</t>
  </si>
  <si>
    <t xml:space="preserve">A501 86T</t>
  </si>
  <si>
    <t xml:space="preserve">BLIZZAK REVO 2       86Q</t>
  </si>
  <si>
    <t xml:space="preserve">ALTIMAX WINTER</t>
  </si>
  <si>
    <t xml:space="preserve">WINTER I*PIKE RS2 W429</t>
  </si>
  <si>
    <t xml:space="preserve">WINTER I*CEPT RS2 W452 86T</t>
  </si>
  <si>
    <t xml:space="preserve">WINTERCRAFT ICE WI-31</t>
  </si>
  <si>
    <t xml:space="preserve">ICEWAYS п.шип</t>
  </si>
  <si>
    <t xml:space="preserve">ICEWAYS 2</t>
  </si>
  <si>
    <t xml:space="preserve">I FIT ICE LW71</t>
  </si>
  <si>
    <t xml:space="preserve">I FIT LW31</t>
  </si>
  <si>
    <t xml:space="preserve">4 WINTER</t>
  </si>
  <si>
    <t xml:space="preserve">X-ICE NORTH 2 шип</t>
  </si>
  <si>
    <t xml:space="preserve">NITTO</t>
  </si>
  <si>
    <t xml:space="preserve">WINGUARD WIN-SPIKE п.шип</t>
  </si>
  <si>
    <t xml:space="preserve">ICE BLAZER WST1 </t>
  </si>
  <si>
    <t xml:space="preserve">SNOWPROX S942</t>
  </si>
  <si>
    <t xml:space="preserve">SNOWPROX S943</t>
  </si>
  <si>
    <t xml:space="preserve">OBSERVE GSI5</t>
  </si>
  <si>
    <t xml:space="preserve">WINTER G</t>
  </si>
  <si>
    <t xml:space="preserve">WINTER </t>
  </si>
  <si>
    <t xml:space="preserve">WINTER I*CEPT RS2 W452 88T</t>
  </si>
  <si>
    <t xml:space="preserve">KRISALP HP</t>
  </si>
  <si>
    <t xml:space="preserve">WINTERCRAFT ICE WI-31 п.шип</t>
  </si>
  <si>
    <t xml:space="preserve">ICE WAYS 2 п.шип</t>
  </si>
  <si>
    <t xml:space="preserve">россия</t>
  </si>
  <si>
    <t xml:space="preserve">SIGURA STUD TG </t>
  </si>
  <si>
    <t xml:space="preserve">S942</t>
  </si>
  <si>
    <t xml:space="preserve">OBSERVE GSI-5</t>
  </si>
  <si>
    <t xml:space="preserve">NORDIC</t>
  </si>
  <si>
    <t xml:space="preserve">HAKKAPELIITTA R</t>
  </si>
  <si>
    <t xml:space="preserve">KRISTALL MONTERO</t>
  </si>
  <si>
    <t xml:space="preserve">WINTER i*CEPT W442 91T</t>
  </si>
  <si>
    <t xml:space="preserve">WINGUARD WINSPIKE WH62 п.шип</t>
  </si>
  <si>
    <t xml:space="preserve">SNOVPROX S-942</t>
  </si>
  <si>
    <t xml:space="preserve">WINTERFORCE</t>
  </si>
  <si>
    <t xml:space="preserve">165.65/R15</t>
  </si>
  <si>
    <t xml:space="preserve">175.65/R15</t>
  </si>
  <si>
    <t xml:space="preserve">WINTERCRAFT WP51 91T</t>
  </si>
  <si>
    <t xml:space="preserve">G-FORSE WINTER</t>
  </si>
  <si>
    <t xml:space="preserve">WINTERCRAFT WI61</t>
  </si>
  <si>
    <t xml:space="preserve">MP 59 NORDICCA</t>
  </si>
  <si>
    <t xml:space="preserve">SNOWACE AW05 </t>
  </si>
  <si>
    <t xml:space="preserve">WINTER I*PIKE W419 XL</t>
  </si>
  <si>
    <t xml:space="preserve">STUD 2 </t>
  </si>
  <si>
    <t xml:space="preserve">XL</t>
  </si>
  <si>
    <t xml:space="preserve">WINTER DEFENDER HP</t>
  </si>
  <si>
    <t xml:space="preserve">X-ICE NORTH 2 </t>
  </si>
  <si>
    <t xml:space="preserve">ALPIN A4 </t>
  </si>
  <si>
    <t xml:space="preserve">англия</t>
  </si>
  <si>
    <t xml:space="preserve">SNOW VIVA SV2</t>
  </si>
  <si>
    <t xml:space="preserve">SNOWTIME</t>
  </si>
  <si>
    <t xml:space="preserve">SNOWIDE </t>
  </si>
  <si>
    <t xml:space="preserve">OBGS-5</t>
  </si>
  <si>
    <t xml:space="preserve">WINTER APOLLO</t>
  </si>
  <si>
    <t xml:space="preserve">2015/2017</t>
  </si>
  <si>
    <t xml:space="preserve">WEATHER-MASTER S/T3 88T</t>
  </si>
  <si>
    <t xml:space="preserve">2017сербия</t>
  </si>
  <si>
    <t xml:space="preserve">HIMALAYA ICEO</t>
  </si>
  <si>
    <t xml:space="preserve">WINTER 2 </t>
  </si>
  <si>
    <t xml:space="preserve">WINTER I*CEPT RS2 W452 </t>
  </si>
  <si>
    <t xml:space="preserve">KRISALP HP3 </t>
  </si>
  <si>
    <t xml:space="preserve">MP 92 SIBIR SNOW </t>
  </si>
  <si>
    <t xml:space="preserve">X-ICE 3 92Т XL </t>
  </si>
  <si>
    <t xml:space="preserve">MR-W662</t>
  </si>
  <si>
    <t xml:space="preserve">ICE BLAZER WST3</t>
  </si>
  <si>
    <t xml:space="preserve">SNOWIDE</t>
  </si>
  <si>
    <t xml:space="preserve">TR777</t>
  </si>
  <si>
    <t xml:space="preserve">WINTER I*PIKE W419</t>
  </si>
  <si>
    <t xml:space="preserve">WINTER I*CEPT IZ2 W616 89Т</t>
  </si>
  <si>
    <t xml:space="preserve">KINGSTAR</t>
  </si>
  <si>
    <t xml:space="preserve">SW41</t>
  </si>
  <si>
    <t xml:space="preserve">MP 92 SIBIR SNOW SUV</t>
  </si>
  <si>
    <t xml:space="preserve">MR-562</t>
  </si>
  <si>
    <t xml:space="preserve">WR D3</t>
  </si>
  <si>
    <t xml:space="preserve">SNOWACE AW05 под шип</t>
  </si>
  <si>
    <t xml:space="preserve">под шип</t>
  </si>
  <si>
    <t xml:space="preserve">POLARIS </t>
  </si>
  <si>
    <t xml:space="preserve">BLIZZAK REVO 2</t>
  </si>
  <si>
    <t xml:space="preserve">GRASPIC DS3</t>
  </si>
  <si>
    <t xml:space="preserve">EUROWINTER HS439</t>
  </si>
  <si>
    <t xml:space="preserve">KRISTALL MONTERO 3</t>
  </si>
  <si>
    <t xml:space="preserve">WINTER I*CEPT RS W442 </t>
  </si>
  <si>
    <t xml:space="preserve">X-ICE 3 </t>
  </si>
  <si>
    <t xml:space="preserve">X-ICE NORTH </t>
  </si>
  <si>
    <t xml:space="preserve">X-ICE NORTH 3 </t>
  </si>
  <si>
    <t xml:space="preserve">MR-W562 88H</t>
  </si>
  <si>
    <t xml:space="preserve">WINGUARD SPIKE </t>
  </si>
  <si>
    <t xml:space="preserve">ICE GUARD IG35 </t>
  </si>
  <si>
    <t xml:space="preserve">A502</t>
  </si>
  <si>
    <t xml:space="preserve">BLIZZAK REVO GZ </t>
  </si>
  <si>
    <t xml:space="preserve">BLIZZAK VRX 91S</t>
  </si>
  <si>
    <t xml:space="preserve">ContiWinterContact TS 860</t>
  </si>
  <si>
    <t xml:space="preserve">HIMALAYA WS2 XL 95T п шип</t>
  </si>
  <si>
    <t xml:space="preserve">ALTIMAX WINTER PLUS</t>
  </si>
  <si>
    <t xml:space="preserve">ULTRA GRIP 9 </t>
  </si>
  <si>
    <t xml:space="preserve">WINTER I*CEPT RS2 W452</t>
  </si>
  <si>
    <t xml:space="preserve">SNOW </t>
  </si>
  <si>
    <t xml:space="preserve">4 ICE E+ </t>
  </si>
  <si>
    <t xml:space="preserve">MP 92 SIBIR SNOW</t>
  </si>
  <si>
    <t xml:space="preserve">NP 3 ARCTIC TREKKER 95T XL </t>
  </si>
  <si>
    <t xml:space="preserve">ALPIN A5 </t>
  </si>
  <si>
    <t xml:space="preserve">ALPIN A5 91T </t>
  </si>
  <si>
    <t xml:space="preserve">ALPIN A6 </t>
  </si>
  <si>
    <t xml:space="preserve">WINTER 91T </t>
  </si>
  <si>
    <t xml:space="preserve">SAETA</t>
  </si>
  <si>
    <t xml:space="preserve">ICE BLAZER WST3 </t>
  </si>
  <si>
    <t xml:space="preserve">TR-777</t>
  </si>
  <si>
    <t xml:space="preserve">IG-55 шип </t>
  </si>
  <si>
    <t xml:space="preserve">W.DRIVE V905</t>
  </si>
  <si>
    <t xml:space="preserve">ZETA</t>
  </si>
  <si>
    <t xml:space="preserve">ANTARCTICA</t>
  </si>
  <si>
    <t xml:space="preserve">SNOVANIS 2      RF чехия</t>
  </si>
  <si>
    <t xml:space="preserve">RF</t>
  </si>
  <si>
    <t xml:space="preserve">VANCOWINTER 2 RF</t>
  </si>
  <si>
    <t xml:space="preserve">WINTER i*CEPT W442 97T XL</t>
  </si>
  <si>
    <t xml:space="preserve">EUROWIN RF</t>
  </si>
  <si>
    <t xml:space="preserve">IG-50</t>
  </si>
  <si>
    <t xml:space="preserve">ULTRA GRIP 7</t>
  </si>
  <si>
    <t xml:space="preserve">WINGUARD</t>
  </si>
  <si>
    <t xml:space="preserve">BLIZZAK REVO GZ      94S</t>
  </si>
  <si>
    <t xml:space="preserve">HIMALAYA WS2 XL 99T п.шип</t>
  </si>
  <si>
    <t xml:space="preserve">WINTER I*CEPT RS2 W452 94H</t>
  </si>
  <si>
    <t xml:space="preserve">SNOWAYS 2 94T</t>
  </si>
  <si>
    <t xml:space="preserve">ICEWAYS 2 94T</t>
  </si>
  <si>
    <t xml:space="preserve">I FIT ICE LW71 94T</t>
  </si>
  <si>
    <t xml:space="preserve">WINTERCRAFT ICE WI31 </t>
  </si>
  <si>
    <t xml:space="preserve">2013 тайланд</t>
  </si>
  <si>
    <t xml:space="preserve">WINGUARD WINSPIKE WH62 </t>
  </si>
  <si>
    <t xml:space="preserve">WINSPIKE 2 99T</t>
  </si>
  <si>
    <t xml:space="preserve">NORDMAN RS</t>
  </si>
  <si>
    <t xml:space="preserve">W+ </t>
  </si>
  <si>
    <t xml:space="preserve">ESKIMO HP</t>
  </si>
  <si>
    <t xml:space="preserve">WINTER 601</t>
  </si>
  <si>
    <t xml:space="preserve">BLIZZAK DM V2 96S</t>
  </si>
  <si>
    <t xml:space="preserve">GRANDTREK SJ6</t>
  </si>
  <si>
    <t xml:space="preserve">SNOW GRABER 96T шип </t>
  </si>
  <si>
    <t xml:space="preserve">герман</t>
  </si>
  <si>
    <t xml:space="preserve">WINTER I*PIKE RW11 97T</t>
  </si>
  <si>
    <t xml:space="preserve">WINTERCRAFT ICE WI-31 </t>
  </si>
  <si>
    <t xml:space="preserve">COMPETUS WINTER 2 </t>
  </si>
  <si>
    <t xml:space="preserve">WINGUARD SUV</t>
  </si>
  <si>
    <t xml:space="preserve">Q TL</t>
  </si>
  <si>
    <t xml:space="preserve">TIGER PAW SNOW 2</t>
  </si>
  <si>
    <t xml:space="preserve">IG-50 </t>
  </si>
  <si>
    <t xml:space="preserve">WINTER I*PIKE RW11 </t>
  </si>
  <si>
    <t xml:space="preserve">WEATHER-MASTER S/T2</t>
  </si>
  <si>
    <t xml:space="preserve">WINTER I*PIKE W419 98T</t>
  </si>
  <si>
    <t xml:space="preserve">WINGUARD ICE   </t>
  </si>
  <si>
    <t xml:space="preserve">WP-1000 XL</t>
  </si>
  <si>
    <t xml:space="preserve">WINTER SLALOM K51</t>
  </si>
  <si>
    <t xml:space="preserve">DYNAPRO I*CEPT RW08 98T</t>
  </si>
  <si>
    <t xml:space="preserve">WINTER I*PIKE W419 97T</t>
  </si>
  <si>
    <t xml:space="preserve">MS PLUS 66 </t>
  </si>
  <si>
    <t xml:space="preserve">WEATHER MASTER S/T2  п.шип</t>
  </si>
  <si>
    <t xml:space="preserve">HUNSTMAN LT M+S</t>
  </si>
  <si>
    <t xml:space="preserve">255.70/R15</t>
  </si>
  <si>
    <t xml:space="preserve">WINGUARD SUV 108T</t>
  </si>
  <si>
    <t xml:space="preserve">BLIZZAK DM V2 </t>
  </si>
  <si>
    <t xml:space="preserve">DYNAPRO I*CEPT RW08 112Q</t>
  </si>
  <si>
    <t xml:space="preserve">WINTER I*CEPT IZ2 W616 91T XL</t>
  </si>
  <si>
    <t xml:space="preserve">I ZEN KW31 </t>
  </si>
  <si>
    <t xml:space="preserve">POLARIS 3 </t>
  </si>
  <si>
    <t xml:space="preserve">NORANZA 2 EVO шип</t>
  </si>
  <si>
    <t xml:space="preserve">ICE CRUISER 7000</t>
  </si>
  <si>
    <t xml:space="preserve">ContiWinterContact TS 830</t>
  </si>
  <si>
    <t xml:space="preserve">румын</t>
  </si>
  <si>
    <t xml:space="preserve">SP WINTER SPORT 4D</t>
  </si>
  <si>
    <t xml:space="preserve">FORTUNE</t>
  </si>
  <si>
    <t xml:space="preserve">FSR901</t>
  </si>
  <si>
    <t xml:space="preserve">ALTIMAX WINTER </t>
  </si>
  <si>
    <t xml:space="preserve">NORD FROST 5</t>
  </si>
  <si>
    <t xml:space="preserve">NORD FROST 3</t>
  </si>
  <si>
    <t xml:space="preserve">GOFORM</t>
  </si>
  <si>
    <t xml:space="preserve">W705</t>
  </si>
  <si>
    <t xml:space="preserve">ULTRA GRIP 8 </t>
  </si>
  <si>
    <t xml:space="preserve">WINTER I*PIKE W409 </t>
  </si>
  <si>
    <t xml:space="preserve">TC575</t>
  </si>
  <si>
    <t xml:space="preserve">W-419</t>
  </si>
  <si>
    <t xml:space="preserve">KRISALP HP2</t>
  </si>
  <si>
    <t xml:space="preserve">KRISALP HP3</t>
  </si>
  <si>
    <t xml:space="preserve">WINTERCRAFT WP51 </t>
  </si>
  <si>
    <t xml:space="preserve">I FIT ICE LW71 94T XL</t>
  </si>
  <si>
    <t xml:space="preserve">PILOT ALPIN</t>
  </si>
  <si>
    <t xml:space="preserve">ALPIN A6         </t>
  </si>
  <si>
    <t xml:space="preserve">X-ICE 3 94Н </t>
  </si>
  <si>
    <t xml:space="preserve">X-ICE NORTH 3</t>
  </si>
  <si>
    <t xml:space="preserve">ALPIN A5</t>
  </si>
  <si>
    <t xml:space="preserve">ALPIN A5 91Н         </t>
  </si>
  <si>
    <t xml:space="preserve">MR-W562  </t>
  </si>
  <si>
    <t xml:space="preserve">ICE BLAZER WST1 91T</t>
  </si>
  <si>
    <t xml:space="preserve">SUNNY</t>
  </si>
  <si>
    <t xml:space="preserve">SN3860</t>
  </si>
  <si>
    <t xml:space="preserve">ICE 501</t>
  </si>
  <si>
    <t xml:space="preserve">SIGURA STUD</t>
  </si>
  <si>
    <t xml:space="preserve">SNOWPROX S954</t>
  </si>
  <si>
    <t xml:space="preserve">Q XL</t>
  </si>
  <si>
    <t xml:space="preserve">TR777 </t>
  </si>
  <si>
    <t xml:space="preserve">BLIZZAK SPIKE 01 шип</t>
  </si>
  <si>
    <t xml:space="preserve">BLIZZAK VRX 92S</t>
  </si>
  <si>
    <t xml:space="preserve">HIMALAYA WS2 под шип</t>
  </si>
  <si>
    <t xml:space="preserve">KRISTALL CONTROL HP</t>
  </si>
  <si>
    <t xml:space="preserve">ALTIMAX ARCTIC п.шип</t>
  </si>
  <si>
    <t xml:space="preserve">ULTRA GRIP ICE 2 XL </t>
  </si>
  <si>
    <t xml:space="preserve">WINTER I*CEPT EVO2 W320 96H</t>
  </si>
  <si>
    <t xml:space="preserve">EVO-2</t>
  </si>
  <si>
    <t xml:space="preserve">NP 3 ARCTIC TREKKER</t>
  </si>
  <si>
    <t xml:space="preserve">ALPIN A4             </t>
  </si>
  <si>
    <t xml:space="preserve">ALPIN A5       </t>
  </si>
  <si>
    <t xml:space="preserve">WINTER</t>
  </si>
  <si>
    <t xml:space="preserve">ICE BLAZER WSL2 92H</t>
  </si>
  <si>
    <t xml:space="preserve">SIGURA п. шип</t>
  </si>
  <si>
    <t xml:space="preserve">SNOWPOWER</t>
  </si>
  <si>
    <t xml:space="preserve">ICE BLAZER WST1 п.шип</t>
  </si>
  <si>
    <t xml:space="preserve">OPEN COUNTRY W/T</t>
  </si>
  <si>
    <t xml:space="preserve">ContiWinterContact TS 850</t>
  </si>
  <si>
    <t xml:space="preserve">INF-049</t>
  </si>
  <si>
    <t xml:space="preserve">NORD FROST 5 </t>
  </si>
  <si>
    <t xml:space="preserve">WINTER I*CEPT EVO2 W320 </t>
  </si>
  <si>
    <t xml:space="preserve">SNOWAYS 3 93H</t>
  </si>
  <si>
    <t xml:space="preserve">R XL</t>
  </si>
  <si>
    <t xml:space="preserve">WINGUARD WINSPIKE WH62</t>
  </si>
  <si>
    <t xml:space="preserve">SUNWIDE 97V XL</t>
  </si>
  <si>
    <t xml:space="preserve">S200</t>
  </si>
  <si>
    <t xml:space="preserve">BLIZZAK VRX           95S</t>
  </si>
  <si>
    <t xml:space="preserve">ESPIA EPZ</t>
  </si>
  <si>
    <t xml:space="preserve">EUROWINTER HS415</t>
  </si>
  <si>
    <t xml:space="preserve">HIMALAYA WS2</t>
  </si>
  <si>
    <t xml:space="preserve">NORD FROST 5 п.шип</t>
  </si>
  <si>
    <t xml:space="preserve">WINTER I*CEPT EVO2 W320 99H XL</t>
  </si>
  <si>
    <t xml:space="preserve">I ZEN KW31 XL</t>
  </si>
  <si>
    <t xml:space="preserve">I FIT LW31 99H</t>
  </si>
  <si>
    <t xml:space="preserve">ALPIN A5 99T </t>
  </si>
  <si>
    <t xml:space="preserve">X-ICE XI2                     95T</t>
  </si>
  <si>
    <t xml:space="preserve">ALPIN A6</t>
  </si>
  <si>
    <t xml:space="preserve">X-ICE NORTH 3 шип</t>
  </si>
  <si>
    <t xml:space="preserve">X-ICЕ 3</t>
  </si>
  <si>
    <t xml:space="preserve">WINGUARD </t>
  </si>
  <si>
    <t xml:space="preserve">OBSERVE G3-ICE 95T</t>
  </si>
  <si>
    <t xml:space="preserve">POLARIS 3 4X4</t>
  </si>
  <si>
    <t xml:space="preserve">BLIZZAK DM V1</t>
  </si>
  <si>
    <t xml:space="preserve">BLIZZAK DM V2</t>
  </si>
  <si>
    <t xml:space="preserve">BLIZZAK REVO GZ 98S</t>
  </si>
  <si>
    <t xml:space="preserve">FIREMAX </t>
  </si>
  <si>
    <t xml:space="preserve">FM806</t>
  </si>
  <si>
    <t xml:space="preserve">ULTRA GRIP ICE+</t>
  </si>
  <si>
    <t xml:space="preserve">NORDIC ULTRA GRIP 500 USA</t>
  </si>
  <si>
    <t xml:space="preserve">WINTER I*CEPT RS2 W452 98H</t>
  </si>
  <si>
    <t xml:space="preserve">KRISALP HP3 SUV </t>
  </si>
  <si>
    <t xml:space="preserve">I FIT ICE LW71 98T п.шип</t>
  </si>
  <si>
    <t xml:space="preserve">KW31 102R</t>
  </si>
  <si>
    <t xml:space="preserve">Испания  </t>
  </si>
  <si>
    <t xml:space="preserve">WINGUARD WINSPIKE WS62</t>
  </si>
  <si>
    <t xml:space="preserve">GWH-2</t>
  </si>
  <si>
    <t xml:space="preserve">SUV STUD</t>
  </si>
  <si>
    <t xml:space="preserve">POINT</t>
  </si>
  <si>
    <t xml:space="preserve">WINTERSTAR 3</t>
  </si>
  <si>
    <t xml:space="preserve">WINGURD 102T XL п.шип</t>
  </si>
  <si>
    <t xml:space="preserve">ESKIMO HP </t>
  </si>
  <si>
    <t xml:space="preserve">SUNWIN</t>
  </si>
  <si>
    <t xml:space="preserve">TQ023</t>
  </si>
  <si>
    <t xml:space="preserve">п.шип </t>
  </si>
  <si>
    <t xml:space="preserve">OBSERVE GS-3</t>
  </si>
  <si>
    <t xml:space="preserve">MS PLUS 66</t>
  </si>
  <si>
    <t xml:space="preserve">ICE GUARD IG51V </t>
  </si>
  <si>
    <t xml:space="preserve">ICE GUARD IG55 </t>
  </si>
  <si>
    <t xml:space="preserve">BLIZZAK LM80 </t>
  </si>
  <si>
    <t xml:space="preserve">TC ICEHOLDER</t>
  </si>
  <si>
    <t xml:space="preserve">SNOW GRABBER </t>
  </si>
  <si>
    <t xml:space="preserve">DYNAPRO I*CEPT RW08 100Q</t>
  </si>
  <si>
    <t xml:space="preserve">EVO-2 SUV W-320</t>
  </si>
  <si>
    <t xml:space="preserve">ECOSNOW SUV</t>
  </si>
  <si>
    <t xml:space="preserve">I FIT LW31 100T</t>
  </si>
  <si>
    <t xml:space="preserve">I FIT ICE LW71 100T</t>
  </si>
  <si>
    <t xml:space="preserve">COMPETUS WINTER</t>
  </si>
  <si>
    <t xml:space="preserve">COMPETUS WINTER 2</t>
  </si>
  <si>
    <t xml:space="preserve">LATITUDE ALPIN 2  104H                  </t>
  </si>
  <si>
    <t xml:space="preserve">LATITUDE X-ICE 2 100T                  </t>
  </si>
  <si>
    <t xml:space="preserve">WINGUARD SNOW G WH2</t>
  </si>
  <si>
    <t xml:space="preserve">G3-ICE 100T</t>
  </si>
  <si>
    <t xml:space="preserve">OBGS-5 100Q</t>
  </si>
  <si>
    <t xml:space="preserve">GEOLANDER I/T-S G073 </t>
  </si>
  <si>
    <t xml:space="preserve">GRASPIC DS2</t>
  </si>
  <si>
    <t xml:space="preserve">ULTRA GRIP 500</t>
  </si>
  <si>
    <t xml:space="preserve">WINTER I*PIKE W419 шип</t>
  </si>
  <si>
    <t xml:space="preserve">X-ICE XI3 </t>
  </si>
  <si>
    <t xml:space="preserve">SUNWIDE XL 99H</t>
  </si>
  <si>
    <t xml:space="preserve">PL-01 99R</t>
  </si>
  <si>
    <t xml:space="preserve">WR A3</t>
  </si>
  <si>
    <t xml:space="preserve">GSI-5</t>
  </si>
  <si>
    <t xml:space="preserve">225.65/R16</t>
  </si>
  <si>
    <t xml:space="preserve">ICE GUARD IG20</t>
  </si>
  <si>
    <t xml:space="preserve">DYNAPRO I*CEPT RW08 103Q</t>
  </si>
  <si>
    <t xml:space="preserve">LATITUDE X-ICE 2 </t>
  </si>
  <si>
    <t xml:space="preserve">ICE BLAZER WST2 </t>
  </si>
  <si>
    <t xml:space="preserve">112/115</t>
  </si>
  <si>
    <t xml:space="preserve">ContiWinterContact TS 810</t>
  </si>
  <si>
    <t xml:space="preserve">I ZEN KW22 п.шип</t>
  </si>
  <si>
    <t xml:space="preserve">WINSPIKE SUV </t>
  </si>
  <si>
    <t xml:space="preserve">PL01 </t>
  </si>
  <si>
    <t xml:space="preserve">DYNAPRO I*CEPT RW08 106Q</t>
  </si>
  <si>
    <t xml:space="preserve">I FIT ICE LW71 109T XL</t>
  </si>
  <si>
    <t xml:space="preserve">G-073 106Q</t>
  </si>
  <si>
    <t xml:space="preserve">HIMALAYA SUV</t>
  </si>
  <si>
    <t xml:space="preserve">DYNAPRO I*CEPT RW08</t>
  </si>
  <si>
    <t xml:space="preserve">LATITUDE X-ICE</t>
  </si>
  <si>
    <t xml:space="preserve">TR-797 111T</t>
  </si>
  <si>
    <t xml:space="preserve">OPEN COUNTRY I/T п.шип</t>
  </si>
  <si>
    <t xml:space="preserve">WINTER I*PIKE RW11</t>
  </si>
  <si>
    <t xml:space="preserve">I FIT ICE LW71 112T п.шип</t>
  </si>
  <si>
    <t xml:space="preserve">OBSERVE BG3S 112T</t>
  </si>
  <si>
    <t xml:space="preserve">WINTER I*PIKE RW11 114T</t>
  </si>
  <si>
    <t xml:space="preserve">WINTERCRAFT ICE WI31</t>
  </si>
  <si>
    <t xml:space="preserve">HAKKAPELIITTA 5 </t>
  </si>
  <si>
    <t xml:space="preserve">RF2007</t>
  </si>
  <si>
    <t xml:space="preserve">PL-01 93R</t>
  </si>
  <si>
    <t xml:space="preserve">WH-1000 XL</t>
  </si>
  <si>
    <t xml:space="preserve">215.45/R17</t>
  </si>
  <si>
    <t xml:space="preserve">ICE POWER KW21</t>
  </si>
  <si>
    <t xml:space="preserve">HAKKAPELIITTA 4 </t>
  </si>
  <si>
    <t xml:space="preserve">WINTER I*CEPT IZ2 W616 95Т XL </t>
  </si>
  <si>
    <t xml:space="preserve">PL-01 95R</t>
  </si>
  <si>
    <t xml:space="preserve">SNOWPOWER 2</t>
  </si>
  <si>
    <t xml:space="preserve">BLIZZAK VRX 94S</t>
  </si>
  <si>
    <t xml:space="preserve">FM805 </t>
  </si>
  <si>
    <t xml:space="preserve">ALTIMAX WINTER 3 </t>
  </si>
  <si>
    <t xml:space="preserve">ULTRA GRIP 500 шип</t>
  </si>
  <si>
    <t xml:space="preserve">WINTER I*CEPT EVO2 W320 98V</t>
  </si>
  <si>
    <t xml:space="preserve">WINTERCRAFT ICE WI31 п.шип</t>
  </si>
  <si>
    <t xml:space="preserve">I FIT ICE LW71 98T XL</t>
  </si>
  <si>
    <t xml:space="preserve">ALPIN A5 98V</t>
  </si>
  <si>
    <t xml:space="preserve">GS-3 XL</t>
  </si>
  <si>
    <t xml:space="preserve">GSI-5 XL</t>
  </si>
  <si>
    <t xml:space="preserve">TR-777 94Q</t>
  </si>
  <si>
    <t xml:space="preserve">ICE GUARD IG55</t>
  </si>
  <si>
    <t xml:space="preserve">Филипины</t>
  </si>
  <si>
    <t xml:space="preserve">WINTRAC XTREME</t>
  </si>
  <si>
    <t xml:space="preserve">WH1000 </t>
  </si>
  <si>
    <t xml:space="preserve">WINTER I*CEPT IZ2 W616 96Т </t>
  </si>
  <si>
    <t xml:space="preserve">WINTERCRAFT SUV WS31 п.шип</t>
  </si>
  <si>
    <t xml:space="preserve">COMPENTUS WINTER 2 XL</t>
  </si>
  <si>
    <t xml:space="preserve">PREMIORRI</t>
  </si>
  <si>
    <t xml:space="preserve">VIAMAGGIORE </t>
  </si>
  <si>
    <t xml:space="preserve">TR-777 96T</t>
  </si>
  <si>
    <t xml:space="preserve">IG-20</t>
  </si>
  <si>
    <t xml:space="preserve">ALPIN A5  </t>
  </si>
  <si>
    <t xml:space="preserve">NORD FROST 5 шип</t>
  </si>
  <si>
    <t xml:space="preserve">WINTER I*CEPT IZ2 W616 94Т </t>
  </si>
  <si>
    <t xml:space="preserve">X-ICE</t>
  </si>
  <si>
    <t xml:space="preserve">PL-01 94R</t>
  </si>
  <si>
    <t xml:space="preserve">SNOWPROX S952</t>
  </si>
  <si>
    <t xml:space="preserve">OBSERVE GARIT G4</t>
  </si>
  <si>
    <t xml:space="preserve">WINTER I*CEPT IZ W606 94T </t>
  </si>
  <si>
    <t xml:space="preserve">I ZEN KW27</t>
  </si>
  <si>
    <t xml:space="preserve">I FIT LW31 98V XL</t>
  </si>
  <si>
    <t xml:space="preserve">NT SN2</t>
  </si>
  <si>
    <t xml:space="preserve">WINGUARD SPIKE</t>
  </si>
  <si>
    <t xml:space="preserve">ICE BLAZER WSL2 </t>
  </si>
  <si>
    <t xml:space="preserve">SNOWPROX S953</t>
  </si>
  <si>
    <t xml:space="preserve">PL01</t>
  </si>
  <si>
    <t xml:space="preserve">AVON</t>
  </si>
  <si>
    <t xml:space="preserve">ICE TOURING</t>
  </si>
  <si>
    <t xml:space="preserve">G-FORCE WINTER </t>
  </si>
  <si>
    <t xml:space="preserve">BLIZZAK DM V2 97T</t>
  </si>
  <si>
    <t xml:space="preserve">BLIZZAK LM001 97V </t>
  </si>
  <si>
    <t xml:space="preserve">ECOZEN</t>
  </si>
  <si>
    <t xml:space="preserve">KRISTALL SUPREMO</t>
  </si>
  <si>
    <t xml:space="preserve">ALTIMAX WINTER 3</t>
  </si>
  <si>
    <t xml:space="preserve">I FIT ICE LW71 101T</t>
  </si>
  <si>
    <t xml:space="preserve">MP 92 SIBIR SNOW XL</t>
  </si>
  <si>
    <t xml:space="preserve">ALPIN A4 97H</t>
  </si>
  <si>
    <t xml:space="preserve">X-ICE 3 101H</t>
  </si>
  <si>
    <t xml:space="preserve">WINGUARD SPORT </t>
  </si>
  <si>
    <t xml:space="preserve">WR 4 RF</t>
  </si>
  <si>
    <t xml:space="preserve">SUNWIDE XL 101V</t>
  </si>
  <si>
    <t xml:space="preserve">W.DRIVE V902</t>
  </si>
  <si>
    <t xml:space="preserve">ContiIceContact </t>
  </si>
  <si>
    <t xml:space="preserve">ESPIA EPZ 99Q</t>
  </si>
  <si>
    <t xml:space="preserve">FORTUNA </t>
  </si>
  <si>
    <t xml:space="preserve">WINTER 99S</t>
  </si>
  <si>
    <t xml:space="preserve">ULTRA GRIP ICE SUV </t>
  </si>
  <si>
    <t xml:space="preserve">WINTER I*PIKE RW11 99T</t>
  </si>
  <si>
    <t xml:space="preserve">WINTER I*CEPT EVO2 W320 XL</t>
  </si>
  <si>
    <t xml:space="preserve">I FIT ICE LW71 99T</t>
  </si>
  <si>
    <t xml:space="preserve">WINGUARD WINSPIKE WS62 </t>
  </si>
  <si>
    <t xml:space="preserve">SUNWIN </t>
  </si>
  <si>
    <t xml:space="preserve">SUV WINTER </t>
  </si>
  <si>
    <t xml:space="preserve">ULTRA GRIP PERFORMANCE SUV G1 </t>
  </si>
  <si>
    <t xml:space="preserve">WINTERCRAFT SUV WS31 </t>
  </si>
  <si>
    <t xml:space="preserve">I FIT ICE LW71 102T</t>
  </si>
  <si>
    <t xml:space="preserve">WINTERCRAFT SUV ICE WS-31 </t>
  </si>
  <si>
    <t xml:space="preserve">LATITUDE ALPIN 2 </t>
  </si>
  <si>
    <t xml:space="preserve">MR-W662 </t>
  </si>
  <si>
    <t xml:space="preserve">WINGUARD WINSPIKE WS62 SUV </t>
  </si>
  <si>
    <t xml:space="preserve">NT90W </t>
  </si>
  <si>
    <t xml:space="preserve">HAKKAPELIITTA SUV 5 </t>
  </si>
  <si>
    <t xml:space="preserve">SCORPION ICE&amp;SNOW</t>
  </si>
  <si>
    <t xml:space="preserve">SUNWIDE 102T</t>
  </si>
  <si>
    <t xml:space="preserve">DMV-1 2017</t>
  </si>
  <si>
    <t xml:space="preserve">OBGSI-5 102Q</t>
  </si>
  <si>
    <t xml:space="preserve">G-55 шип</t>
  </si>
  <si>
    <t xml:space="preserve">G-075 102Q</t>
  </si>
  <si>
    <t xml:space="preserve">WEATHER-MASTER SA2</t>
  </si>
  <si>
    <t xml:space="preserve">SP WINTER SPORT 3D</t>
  </si>
  <si>
    <t xml:space="preserve">WINTER I*CEPT IZ2 W616 97T</t>
  </si>
  <si>
    <t xml:space="preserve">WINGUARD SPORT</t>
  </si>
  <si>
    <t xml:space="preserve">OBGK 93Q</t>
  </si>
  <si>
    <t xml:space="preserve">ALPIN A2</t>
  </si>
  <si>
    <t xml:space="preserve">ALPIN A5 98H XL </t>
  </si>
  <si>
    <t xml:space="preserve">BLIZAK VRX</t>
  </si>
  <si>
    <t xml:space="preserve">ALTIMAX ARCTIC </t>
  </si>
  <si>
    <t xml:space="preserve">HAIDA</t>
  </si>
  <si>
    <t xml:space="preserve">WINTER HD617</t>
  </si>
  <si>
    <t xml:space="preserve">KW-31</t>
  </si>
  <si>
    <t xml:space="preserve">COMPETUS WINTER 2 XL</t>
  </si>
  <si>
    <t xml:space="preserve">PILOT ALPIN PA-4 </t>
  </si>
  <si>
    <t xml:space="preserve">OBGSI-5 99H</t>
  </si>
  <si>
    <t xml:space="preserve">DYNAPRO I*CEPT RW08 102T</t>
  </si>
  <si>
    <t xml:space="preserve">LATITUDE X-ICE 2</t>
  </si>
  <si>
    <t xml:space="preserve">OBGSi-5</t>
  </si>
  <si>
    <t xml:space="preserve">HIMALAYA SUV 4X4 п.шип</t>
  </si>
  <si>
    <t xml:space="preserve">ULTRA GRIP PERFORMANCE</t>
  </si>
  <si>
    <t xml:space="preserve">DYNAPRO I*CEPT RW08 104Q</t>
  </si>
  <si>
    <t xml:space="preserve">I ZEN RV KC15</t>
  </si>
  <si>
    <t xml:space="preserve">KW31 108R </t>
  </si>
  <si>
    <t xml:space="preserve">LATITUDE ALPIN LA2 </t>
  </si>
  <si>
    <t xml:space="preserve">MO</t>
  </si>
  <si>
    <t xml:space="preserve">WINGUARD WINSPIKE WS62 SUV</t>
  </si>
  <si>
    <t xml:space="preserve">WINSPIKE SUV XL под.шип</t>
  </si>
  <si>
    <t xml:space="preserve">SUNWIDE 100T</t>
  </si>
  <si>
    <t xml:space="preserve">OBG3-ICE 108T</t>
  </si>
  <si>
    <t xml:space="preserve">G-075 108Q</t>
  </si>
  <si>
    <t xml:space="preserve">SP WINTER SPORT 5</t>
  </si>
  <si>
    <t xml:space="preserve">WINTER I*CEPT IZ2 W616 99T</t>
  </si>
  <si>
    <t xml:space="preserve">PILOT ALPIN 4 99V </t>
  </si>
  <si>
    <t xml:space="preserve">PL-01 100R</t>
  </si>
  <si>
    <t xml:space="preserve">245.55/R17</t>
  </si>
  <si>
    <t xml:space="preserve">SP WINTER SPORT M3</t>
  </si>
  <si>
    <t xml:space="preserve">ExtremeWinterContact</t>
  </si>
  <si>
    <t xml:space="preserve">DYNAPRO I*CEPT RW08 107T</t>
  </si>
  <si>
    <t xml:space="preserve">COMPETUS WINTER 2 XL 111H</t>
  </si>
  <si>
    <t xml:space="preserve">MR-W662 107T</t>
  </si>
  <si>
    <t xml:space="preserve">255.40/R17</t>
  </si>
  <si>
    <t xml:space="preserve">WINTER I*CEPT EVO2 W320 98V XL</t>
  </si>
  <si>
    <t xml:space="preserve">255.55/R17</t>
  </si>
  <si>
    <t xml:space="preserve">HAKKAPELIITTA SUV</t>
  </si>
  <si>
    <t xml:space="preserve">HAKKAPELIITTA 5 п.шип</t>
  </si>
  <si>
    <t xml:space="preserve">WINTER I*CEPT EVO W310 </t>
  </si>
  <si>
    <t xml:space="preserve">ALTIMAX ARCTIC</t>
  </si>
  <si>
    <t xml:space="preserve">WINTER I*PIKE RW11 112T</t>
  </si>
  <si>
    <t xml:space="preserve">HORIZON</t>
  </si>
  <si>
    <t xml:space="preserve">HW-507 112Q</t>
  </si>
  <si>
    <t xml:space="preserve">RW07</t>
  </si>
  <si>
    <t xml:space="preserve">KW31 116R </t>
  </si>
  <si>
    <t xml:space="preserve">WS31 116T  </t>
  </si>
  <si>
    <t xml:space="preserve">LATITUDE ALPIN 2 116H </t>
  </si>
  <si>
    <t xml:space="preserve">SW7 </t>
  </si>
  <si>
    <t xml:space="preserve">WR G3 SUV</t>
  </si>
  <si>
    <t xml:space="preserve">OBSERVE G3-ICE 116T</t>
  </si>
  <si>
    <t xml:space="preserve">TR-797 112T</t>
  </si>
  <si>
    <t xml:space="preserve">WINTRAC 4 XTREME</t>
  </si>
  <si>
    <t xml:space="preserve">G-073 112Q</t>
  </si>
  <si>
    <t xml:space="preserve">MR-WT172</t>
  </si>
  <si>
    <t xml:space="preserve">G-075 115Q</t>
  </si>
  <si>
    <t xml:space="preserve">275.55/R17</t>
  </si>
  <si>
    <t xml:space="preserve">HAKKAPELIITTA SUV 5 шип</t>
  </si>
  <si>
    <t xml:space="preserve">WINTER ICEBEAR W300 109Н</t>
  </si>
  <si>
    <t xml:space="preserve">HIMALAYA SUV XL 119T</t>
  </si>
  <si>
    <t xml:space="preserve">I ZEN RV KC15 </t>
  </si>
  <si>
    <t xml:space="preserve">LATITUDE X-ICE XI2 </t>
  </si>
  <si>
    <t xml:space="preserve">Канада</t>
  </si>
  <si>
    <t xml:space="preserve">ICE GUARD G075 </t>
  </si>
  <si>
    <t xml:space="preserve">285.65/R17</t>
  </si>
  <si>
    <t xml:space="preserve">HIMALAYA SUV XL 116T</t>
  </si>
  <si>
    <t xml:space="preserve">DYNAPRO I*CEPT RW08 </t>
  </si>
  <si>
    <t xml:space="preserve">WINGUARD SPORT 95V XL</t>
  </si>
  <si>
    <t xml:space="preserve">TR-777 91H</t>
  </si>
  <si>
    <t xml:space="preserve">IG-20 91T </t>
  </si>
  <si>
    <t xml:space="preserve">225.50/R18</t>
  </si>
  <si>
    <t xml:space="preserve">WINTER I*PIKE W409 95T</t>
  </si>
  <si>
    <t xml:space="preserve">ULTRA GRIP ICE SUV GEN-1 </t>
  </si>
  <si>
    <t xml:space="preserve">I FIT ICE LW71 102T XL</t>
  </si>
  <si>
    <t xml:space="preserve">WINTERCRAFT SUV ICE WS-31</t>
  </si>
  <si>
    <t xml:space="preserve">LATITUDE ALPIN</t>
  </si>
  <si>
    <t xml:space="preserve">ICE SUV </t>
  </si>
  <si>
    <t xml:space="preserve">SUNWIDE 98T</t>
  </si>
  <si>
    <t xml:space="preserve">OBSERVE GSI5 98Q</t>
  </si>
  <si>
    <t xml:space="preserve">ContiWinterViking 2 п.шип</t>
  </si>
  <si>
    <t xml:space="preserve">WINTER I*PIKE RW11 100T</t>
  </si>
  <si>
    <t xml:space="preserve">WINGUARD WIN-SPIKE SUV XL 114T п.шип</t>
  </si>
  <si>
    <t xml:space="preserve">PL-01 104R</t>
  </si>
  <si>
    <t xml:space="preserve">OBG-5S 100T</t>
  </si>
  <si>
    <t xml:space="preserve">ContiWinterContact TS 810 XL</t>
  </si>
  <si>
    <t xml:space="preserve">WINTER SPORT 5</t>
  </si>
  <si>
    <t xml:space="preserve">PILOT ALPIN 4</t>
  </si>
  <si>
    <t xml:space="preserve">TAURAS</t>
  </si>
  <si>
    <t xml:space="preserve">WINTER 601 XL 98V</t>
  </si>
  <si>
    <t xml:space="preserve">PL-01 98R</t>
  </si>
  <si>
    <t xml:space="preserve">BLIZZAK VRX 97S</t>
  </si>
  <si>
    <t xml:space="preserve">SP-01 A/S 97H </t>
  </si>
  <si>
    <t xml:space="preserve">PILOT ALPIN 3 EXTRA LOAD</t>
  </si>
  <si>
    <t xml:space="preserve">PILOT ALPIN 4 </t>
  </si>
  <si>
    <t xml:space="preserve">PL-01</t>
  </si>
  <si>
    <t xml:space="preserve">HIMALAYA SUV </t>
  </si>
  <si>
    <t xml:space="preserve">SS01 PRESA ICE SUV</t>
  </si>
  <si>
    <t xml:space="preserve">LATITUDE ALPIN 2</t>
  </si>
  <si>
    <t xml:space="preserve">MR-W562 XL</t>
  </si>
  <si>
    <t xml:space="preserve">WINGUARD WINSPIKE WS62 SUV под.шип</t>
  </si>
  <si>
    <t xml:space="preserve">HAKKAPELIITTA 7 </t>
  </si>
  <si>
    <t xml:space="preserve">SN-3830 104V</t>
  </si>
  <si>
    <t xml:space="preserve">TR-797 104Q</t>
  </si>
  <si>
    <t xml:space="preserve">POLARIS 3 4X4 </t>
  </si>
  <si>
    <t xml:space="preserve">BLIZZAK LM80 109H XL</t>
  </si>
  <si>
    <t xml:space="preserve">FM806 </t>
  </si>
  <si>
    <t xml:space="preserve">ULTRA GRIP PERFORMANCE SUV</t>
  </si>
  <si>
    <t xml:space="preserve">2017герм.</t>
  </si>
  <si>
    <t xml:space="preserve">WINTER I*CEPT EVO2 W320 107H XL</t>
  </si>
  <si>
    <t xml:space="preserve">DYNAPRO I*CEPT RW08 103T</t>
  </si>
  <si>
    <t xml:space="preserve">LATITUDE X-ICE NORTH </t>
  </si>
  <si>
    <t xml:space="preserve">HAKKAPELIITTA 7</t>
  </si>
  <si>
    <t xml:space="preserve">WINGUARD ICE SUV </t>
  </si>
  <si>
    <t xml:space="preserve">ICE BLAZER WST2</t>
  </si>
  <si>
    <t xml:space="preserve">SUNWIDE 107T XL</t>
  </si>
  <si>
    <t xml:space="preserve">TR757 </t>
  </si>
  <si>
    <t xml:space="preserve">OPEN COUNTRY W/T </t>
  </si>
  <si>
    <t xml:space="preserve">OBG-3S XL 107T</t>
  </si>
  <si>
    <t xml:space="preserve">G-073 107Q</t>
  </si>
  <si>
    <t xml:space="preserve">G-075 107Q</t>
  </si>
  <si>
    <t xml:space="preserve">OPEN COUNTRI I/T п.шип</t>
  </si>
  <si>
    <t xml:space="preserve">BLIZZAK VRX 93S</t>
  </si>
  <si>
    <t xml:space="preserve">GRASPIC DS1</t>
  </si>
  <si>
    <t xml:space="preserve">MP 92 SIBIR SNOW 97V XL</t>
  </si>
  <si>
    <t xml:space="preserve">WINTER 601 XL 97V</t>
  </si>
  <si>
    <t xml:space="preserve">OBSERVE G3-ICE п.шип</t>
  </si>
  <si>
    <t xml:space="preserve">V-905 97W XL</t>
  </si>
  <si>
    <t xml:space="preserve">WINTER I*CEPT IZ2 W616 100T</t>
  </si>
  <si>
    <t xml:space="preserve">X-ICE 3 100H XL </t>
  </si>
  <si>
    <t xml:space="preserve">WINTER I*CEPT IZ2 W616 104T</t>
  </si>
  <si>
    <t xml:space="preserve">WINTERCRAFT WP71 </t>
  </si>
  <si>
    <t xml:space="preserve">OBSERVE G3-ICE 100T</t>
  </si>
  <si>
    <t xml:space="preserve">IG-50 104Q </t>
  </si>
  <si>
    <t xml:space="preserve">V-905 104V</t>
  </si>
  <si>
    <t xml:space="preserve">ICE BLAZER WST2 п.шип</t>
  </si>
  <si>
    <t xml:space="preserve">IG-073</t>
  </si>
  <si>
    <t xml:space="preserve">WINGUARD SPORT 103V XL</t>
  </si>
  <si>
    <t xml:space="preserve">ICE GUARD IG-50</t>
  </si>
  <si>
    <t xml:space="preserve">шип 4x4</t>
  </si>
  <si>
    <t xml:space="preserve">2014/2015</t>
  </si>
  <si>
    <t xml:space="preserve">LATITUDE ALPIN </t>
  </si>
  <si>
    <t xml:space="preserve">LATITUDE ALPIN 2 109Н </t>
  </si>
  <si>
    <t xml:space="preserve">H  </t>
  </si>
  <si>
    <t xml:space="preserve">LATITUDE ALPIN 2 109V </t>
  </si>
  <si>
    <t xml:space="preserve">LATITUDE ALPIN 1 </t>
  </si>
  <si>
    <t xml:space="preserve">WR G2 SUV</t>
  </si>
  <si>
    <t xml:space="preserve">OBG-3S XL 109T</t>
  </si>
  <si>
    <t xml:space="preserve">TR-777 109H</t>
  </si>
  <si>
    <t xml:space="preserve">G-3 склад</t>
  </si>
  <si>
    <t xml:space="preserve">160$</t>
  </si>
  <si>
    <t xml:space="preserve">ALPIN  </t>
  </si>
  <si>
    <t xml:space="preserve">WINGUARD WIN-SPIKE SUV</t>
  </si>
  <si>
    <t xml:space="preserve">HAKKAPELIITTA 5 SUV</t>
  </si>
  <si>
    <t xml:space="preserve">ICE GUARD G075</t>
  </si>
  <si>
    <t xml:space="preserve">265.40/R18</t>
  </si>
  <si>
    <t xml:space="preserve">BLIZZAK DM V2 110R</t>
  </si>
  <si>
    <t xml:space="preserve">DYNAPRO I*CEPT RW08 110Q</t>
  </si>
  <si>
    <t xml:space="preserve">I FIT ICE LW71 110T</t>
  </si>
  <si>
    <t xml:space="preserve">WINTERCRAFT SUV ICE WS-31 114T</t>
  </si>
  <si>
    <t xml:space="preserve">X-ICE 2 </t>
  </si>
  <si>
    <t xml:space="preserve">NT90W</t>
  </si>
  <si>
    <t xml:space="preserve">Вадим</t>
  </si>
  <si>
    <t xml:space="preserve">PL02 </t>
  </si>
  <si>
    <t xml:space="preserve">OBSERVE G-3ICE 114T </t>
  </si>
  <si>
    <t xml:space="preserve">275.45/R18</t>
  </si>
  <si>
    <t xml:space="preserve">SPORT CONTACT-5</t>
  </si>
  <si>
    <t xml:space="preserve">ULTRA GRIP ICE SUV</t>
  </si>
  <si>
    <t xml:space="preserve">T TL</t>
  </si>
  <si>
    <t xml:space="preserve">KC16</t>
  </si>
  <si>
    <t xml:space="preserve">X-ICE NORTH-2 </t>
  </si>
  <si>
    <t xml:space="preserve">OBSERVE GSI-5 120Q</t>
  </si>
  <si>
    <t xml:space="preserve">ICE GUARD IG51</t>
  </si>
  <si>
    <t xml:space="preserve">G-073 116Q</t>
  </si>
  <si>
    <t xml:space="preserve">OBSERVE G3-ICE 99T</t>
  </si>
  <si>
    <t xml:space="preserve">V-902</t>
  </si>
  <si>
    <t xml:space="preserve">WINTER I*PIKE RW11 101T</t>
  </si>
  <si>
    <t xml:space="preserve">DYNAPRO I*CEPT RW08 101Q</t>
  </si>
  <si>
    <t xml:space="preserve">WINGUARD SPORT 105V</t>
  </si>
  <si>
    <t xml:space="preserve">WINTER SUV </t>
  </si>
  <si>
    <t xml:space="preserve">PL-01 105R</t>
  </si>
  <si>
    <t xml:space="preserve">IG-51 101T </t>
  </si>
  <si>
    <t xml:space="preserve">ULTRA GRIP ICE NAVI ZEA</t>
  </si>
  <si>
    <t xml:space="preserve">WINTER I*CEPT EVO2 W320 102V XL</t>
  </si>
  <si>
    <t xml:space="preserve">WINTER I*CEPT IZ2 W616 102T XL</t>
  </si>
  <si>
    <t xml:space="preserve">IG-50 98Q </t>
  </si>
  <si>
    <t xml:space="preserve">WEATHER-MASTER WSC</t>
  </si>
  <si>
    <t xml:space="preserve">GRANDTREK SJ6 </t>
  </si>
  <si>
    <t xml:space="preserve">WINTER I*PIKE RW11 XL</t>
  </si>
  <si>
    <t xml:space="preserve">OPEN COUNTRY G-02 PLUS</t>
  </si>
  <si>
    <t xml:space="preserve">TR-777 103H</t>
  </si>
  <si>
    <t xml:space="preserve">BLIZZAK VRX 96S</t>
  </si>
  <si>
    <t xml:space="preserve">WR G2 XL 100V</t>
  </si>
  <si>
    <t xml:space="preserve">BLIZZAK VRX 104S</t>
  </si>
  <si>
    <t xml:space="preserve">IG-30</t>
  </si>
  <si>
    <t xml:space="preserve">255.50.R19</t>
  </si>
  <si>
    <t xml:space="preserve">Conti4x4WinterContact</t>
  </si>
  <si>
    <t xml:space="preserve">HIMALAYA SUV XL</t>
  </si>
  <si>
    <t xml:space="preserve">WINTER I*PIKE RW11 XL 103T</t>
  </si>
  <si>
    <t xml:space="preserve">LATITUDE X-ICE 2 107H </t>
  </si>
  <si>
    <t xml:space="preserve">WR</t>
  </si>
  <si>
    <t xml:space="preserve">SN3830 </t>
  </si>
  <si>
    <t xml:space="preserve">W.DRIVE W-902 107V XL</t>
  </si>
  <si>
    <t xml:space="preserve">WINTRAC XTREME S </t>
  </si>
  <si>
    <t xml:space="preserve">LATITUDE ALPIN 2 109V</t>
  </si>
  <si>
    <t xml:space="preserve">V  </t>
  </si>
  <si>
    <t xml:space="preserve">PL-01 111R</t>
  </si>
  <si>
    <t xml:space="preserve">G-075</t>
  </si>
  <si>
    <t xml:space="preserve">OBSERVE GARIT  </t>
  </si>
  <si>
    <t xml:space="preserve">V-902 111V XL</t>
  </si>
  <si>
    <t xml:space="preserve">TR797 </t>
  </si>
  <si>
    <t xml:space="preserve">245.45/R20</t>
  </si>
  <si>
    <t xml:space="preserve">LATITUDE ALPIN LA-2 XL</t>
  </si>
  <si>
    <t xml:space="preserve">HIMALAYA INFERNO 102Q</t>
  </si>
  <si>
    <t xml:space="preserve">G-073 109Q</t>
  </si>
  <si>
    <t xml:space="preserve">BLIZZAK DM V1 </t>
  </si>
  <si>
    <t xml:space="preserve">2-16/2-15</t>
  </si>
  <si>
    <t xml:space="preserve">I ZEN RV STUD KC16</t>
  </si>
  <si>
    <t xml:space="preserve">OBSERVE G3-ICE 111T п.шип</t>
  </si>
  <si>
    <t xml:space="preserve">W.DRIVE V905 </t>
  </si>
  <si>
    <t xml:space="preserve">BLIZZAK DM V2 110T</t>
  </si>
  <si>
    <t xml:space="preserve">SNOW GRABER </t>
  </si>
  <si>
    <t xml:space="preserve">TR-797 110H</t>
  </si>
  <si>
    <t xml:space="preserve">HIMALAYA INFERNO 117Q п/шип</t>
  </si>
  <si>
    <t xml:space="preserve">X-ICE 2 XL 113T  </t>
  </si>
  <si>
    <t xml:space="preserve">TR-797 117T</t>
  </si>
  <si>
    <t xml:space="preserve">ICE GUARD IG35</t>
  </si>
  <si>
    <t xml:space="preserve">3=10500</t>
  </si>
  <si>
    <t xml:space="preserve">LATITUDE ALPIN LA2 110V XL</t>
  </si>
  <si>
    <t xml:space="preserve">275.50/R21</t>
  </si>
  <si>
    <t xml:space="preserve">WINTER MAXX SJ8 </t>
  </si>
  <si>
    <t xml:space="preserve">SCORPION WINTER 111V</t>
  </si>
  <si>
    <t xml:space="preserve">V-905 111V</t>
  </si>
  <si>
    <t xml:space="preserve">285.45/R22</t>
  </si>
  <si>
    <t xml:space="preserve">GEOLANDAR G-073</t>
  </si>
  <si>
    <t xml:space="preserve">155/R13C</t>
  </si>
  <si>
    <t xml:space="preserve">RA-18</t>
  </si>
  <si>
    <t xml:space="preserve">165.70/R14C</t>
  </si>
  <si>
    <t xml:space="preserve">MP 58 VAN</t>
  </si>
  <si>
    <t xml:space="preserve">скл верх</t>
  </si>
  <si>
    <t xml:space="preserve">SNOVANIS-2</t>
  </si>
  <si>
    <t xml:space="preserve">185.80/R14С</t>
  </si>
  <si>
    <t xml:space="preserve">VANHAWK WINTER</t>
  </si>
  <si>
    <t xml:space="preserve">185/75/R14C</t>
  </si>
  <si>
    <t xml:space="preserve">RW06 </t>
  </si>
  <si>
    <t xml:space="preserve">TRANSALP 2</t>
  </si>
  <si>
    <t xml:space="preserve">WINTUS</t>
  </si>
  <si>
    <t xml:space="preserve">WINTUS 2</t>
  </si>
  <si>
    <t xml:space="preserve">I FIT VAN LY31</t>
  </si>
  <si>
    <t xml:space="preserve">MPS 530 SIBIR SNOW</t>
  </si>
  <si>
    <t xml:space="preserve">MR-W600</t>
  </si>
  <si>
    <t xml:space="preserve">WINGUARD 231 102/100</t>
  </si>
  <si>
    <t xml:space="preserve">CARGO WINTER</t>
  </si>
  <si>
    <t xml:space="preserve">TR-737  </t>
  </si>
  <si>
    <t xml:space="preserve">185.80/R14C</t>
  </si>
  <si>
    <t xml:space="preserve">TRENTA M+S</t>
  </si>
  <si>
    <t xml:space="preserve">SNOVANIS</t>
  </si>
  <si>
    <t xml:space="preserve">CONVEO TRAC </t>
  </si>
  <si>
    <t xml:space="preserve">195.R14C</t>
  </si>
  <si>
    <t xml:space="preserve">WINTER I*PIKE RW09</t>
  </si>
  <si>
    <t xml:space="preserve">WINTER I*PIKE RW09 </t>
  </si>
  <si>
    <t xml:space="preserve">WINTUS 106/104</t>
  </si>
  <si>
    <t xml:space="preserve">WINTUS 2 </t>
  </si>
  <si>
    <t xml:space="preserve">WINGUARD WT1</t>
  </si>
  <si>
    <t xml:space="preserve">H-09</t>
  </si>
  <si>
    <t xml:space="preserve">WY-01 </t>
  </si>
  <si>
    <t xml:space="preserve">ZOVAC HP W401 шип</t>
  </si>
  <si>
    <t xml:space="preserve">SNOVANIS 2</t>
  </si>
  <si>
    <t xml:space="preserve">SNOVANIS шип</t>
  </si>
  <si>
    <t xml:space="preserve">ACTIVIAN WINTER </t>
  </si>
  <si>
    <t xml:space="preserve">BLIZZAK W800</t>
  </si>
  <si>
    <t xml:space="preserve">VANCOWINTER 2</t>
  </si>
  <si>
    <t xml:space="preserve">VANHAWK WINTER </t>
  </si>
  <si>
    <t xml:space="preserve">FORTUNA</t>
  </si>
  <si>
    <t xml:space="preserve">WINTER CHALLENGER M+A</t>
  </si>
  <si>
    <t xml:space="preserve">CONVEO TRAC п.шип </t>
  </si>
  <si>
    <t xml:space="preserve">NORD FROST VAN</t>
  </si>
  <si>
    <t xml:space="preserve">W410</t>
  </si>
  <si>
    <t xml:space="preserve">TRANSALP 2 </t>
  </si>
  <si>
    <t xml:space="preserve">POWER GRIP KC11</t>
  </si>
  <si>
    <t xml:space="preserve">MPS 400 </t>
  </si>
  <si>
    <t xml:space="preserve">PRESA SPIKE</t>
  </si>
  <si>
    <t xml:space="preserve">AGILIS ALPIN </t>
  </si>
  <si>
    <t xml:space="preserve">MR-W300</t>
  </si>
  <si>
    <t xml:space="preserve">WINGUARD 231</t>
  </si>
  <si>
    <t xml:space="preserve">WR C VAN</t>
  </si>
  <si>
    <t xml:space="preserve">VAN WINTER</t>
  </si>
  <si>
    <t xml:space="preserve">CHRONO WINTER</t>
  </si>
  <si>
    <t xml:space="preserve">TR-737 104/102</t>
  </si>
  <si>
    <t xml:space="preserve">LL-01</t>
  </si>
  <si>
    <t xml:space="preserve">W.DRIVE WY01</t>
  </si>
  <si>
    <t xml:space="preserve">RW09</t>
  </si>
  <si>
    <t xml:space="preserve">WR C CARGO</t>
  </si>
  <si>
    <t xml:space="preserve">WV1000</t>
  </si>
  <si>
    <t xml:space="preserve">ACTIVIAN WINTER 112/110R</t>
  </si>
  <si>
    <t xml:space="preserve">MPS 530</t>
  </si>
  <si>
    <t xml:space="preserve">факт3</t>
  </si>
  <si>
    <t xml:space="preserve">109/107</t>
  </si>
  <si>
    <t xml:space="preserve">ACTIVAN WINTER </t>
  </si>
  <si>
    <t xml:space="preserve">BLIZZAK W810</t>
  </si>
  <si>
    <t xml:space="preserve">CONVEO TRAC M+S </t>
  </si>
  <si>
    <t xml:space="preserve">NORD FROST VAN п.шип</t>
  </si>
  <si>
    <t xml:space="preserve">RW06 112/110</t>
  </si>
  <si>
    <t xml:space="preserve">22H</t>
  </si>
  <si>
    <t xml:space="preserve">VANPRO WINTER 112R</t>
  </si>
  <si>
    <t xml:space="preserve">112/110 </t>
  </si>
  <si>
    <t xml:space="preserve">VAN WINTER 112/110</t>
  </si>
  <si>
    <t xml:space="preserve">CARGO WINTER шип.</t>
  </si>
  <si>
    <t xml:space="preserve">TRENTA M+S п.шип </t>
  </si>
  <si>
    <t xml:space="preserve">STRIAFL-201</t>
  </si>
  <si>
    <t xml:space="preserve">WINTER LT 201</t>
  </si>
  <si>
    <t xml:space="preserve">8H</t>
  </si>
  <si>
    <t xml:space="preserve">WV-1000</t>
  </si>
  <si>
    <t xml:space="preserve">MA W2 </t>
  </si>
  <si>
    <t xml:space="preserve">AGILIS ALPIN</t>
  </si>
  <si>
    <t xml:space="preserve">TR737</t>
  </si>
  <si>
    <t xml:space="preserve">MPS 530 NORDICCA VAN</t>
  </si>
  <si>
    <t xml:space="preserve">WINTER 201</t>
  </si>
  <si>
    <t xml:space="preserve">SNOVANIS 2 </t>
  </si>
  <si>
    <t xml:space="preserve">CONVEO TRAC</t>
  </si>
  <si>
    <t xml:space="preserve">NORD FROST VAN </t>
  </si>
  <si>
    <t xml:space="preserve">2018/2016</t>
  </si>
  <si>
    <t xml:space="preserve">MAW 2 107/105</t>
  </si>
  <si>
    <t xml:space="preserve">CITYNET WINTER PLUS</t>
  </si>
  <si>
    <t xml:space="preserve">SNOWAYS 2C</t>
  </si>
  <si>
    <t xml:space="preserve">MAXMILER</t>
  </si>
  <si>
    <t xml:space="preserve">GT RADIAL </t>
  </si>
  <si>
    <t xml:space="preserve">110/108</t>
  </si>
  <si>
    <t xml:space="preserve">VANPRO WINTER </t>
  </si>
  <si>
    <t xml:space="preserve">113/111</t>
  </si>
  <si>
    <t xml:space="preserve">MAW 2 110/108</t>
  </si>
  <si>
    <t xml:space="preserve">2016/17</t>
  </si>
  <si>
    <t xml:space="preserve">PRESA SPIKE </t>
  </si>
  <si>
    <t xml:space="preserve">LL01</t>
  </si>
  <si>
    <t xml:space="preserve">116/114</t>
  </si>
  <si>
    <t xml:space="preserve">AGILIS ALPIN 116/114R </t>
  </si>
  <si>
    <t xml:space="preserve">WINTER 201 </t>
  </si>
  <si>
    <t xml:space="preserve">WINTUS </t>
  </si>
  <si>
    <t xml:space="preserve">115/113</t>
  </si>
  <si>
    <t xml:space="preserve">WINTUS 2 115/113</t>
  </si>
  <si>
    <t xml:space="preserve">MPS 530 </t>
  </si>
  <si>
    <t xml:space="preserve">WINTER LT-201</t>
  </si>
  <si>
    <t xml:space="preserve">БРЕНД</t>
  </si>
  <si>
    <t xml:space="preserve">ШИРИНА</t>
  </si>
  <si>
    <t xml:space="preserve">ET</t>
  </si>
  <si>
    <t xml:space="preserve">DIA</t>
  </si>
  <si>
    <t xml:space="preserve">PCL</t>
  </si>
  <si>
    <t xml:space="preserve">ЦВЕТ</t>
  </si>
  <si>
    <t xml:space="preserve"> Кол-во на 31</t>
  </si>
  <si>
    <t xml:space="preserve">ЦЕНА</t>
  </si>
  <si>
    <t xml:space="preserve">R13/5,0</t>
  </si>
  <si>
    <t xml:space="preserve">69,1</t>
  </si>
  <si>
    <t xml:space="preserve">4х114</t>
  </si>
  <si>
    <t xml:space="preserve">В</t>
  </si>
  <si>
    <t xml:space="preserve">R14/5,0</t>
  </si>
  <si>
    <t xml:space="preserve">57,1</t>
  </si>
  <si>
    <t xml:space="preserve">5X100</t>
  </si>
  <si>
    <t xml:space="preserve">Черный</t>
  </si>
  <si>
    <t xml:space="preserve">R14/5.5</t>
  </si>
  <si>
    <t xml:space="preserve">60,1</t>
  </si>
  <si>
    <t xml:space="preserve">4X100</t>
  </si>
  <si>
    <t xml:space="preserve">56,6-57,1</t>
  </si>
  <si>
    <t xml:space="preserve">65,1</t>
  </si>
  <si>
    <t xml:space="preserve">4X108</t>
  </si>
  <si>
    <t xml:space="preserve">FORD</t>
  </si>
  <si>
    <t xml:space="preserve">63,3</t>
  </si>
  <si>
    <t xml:space="preserve">67,1</t>
  </si>
  <si>
    <t xml:space="preserve">4X114,3</t>
  </si>
  <si>
    <t xml:space="preserve">STORM</t>
  </si>
  <si>
    <t xml:space="preserve">54,1</t>
  </si>
  <si>
    <t xml:space="preserve">65</t>
  </si>
  <si>
    <t xml:space="preserve">56,5</t>
  </si>
  <si>
    <t xml:space="preserve">4X114</t>
  </si>
  <si>
    <t xml:space="preserve">R14/6,0</t>
  </si>
  <si>
    <t xml:space="preserve">R15/6.0</t>
  </si>
  <si>
    <t xml:space="preserve">4х100</t>
  </si>
  <si>
    <t xml:space="preserve">4x100</t>
  </si>
  <si>
    <t xml:space="preserve">58,1</t>
  </si>
  <si>
    <t xml:space="preserve">4X98</t>
  </si>
  <si>
    <t xml:space="preserve">VW/SKODA</t>
  </si>
  <si>
    <t xml:space="preserve">5X108</t>
  </si>
  <si>
    <t xml:space="preserve">OPEL</t>
  </si>
  <si>
    <t xml:space="preserve">R15/6.5</t>
  </si>
  <si>
    <t xml:space="preserve">5х110</t>
  </si>
  <si>
    <t xml:space="preserve">5X112</t>
  </si>
  <si>
    <t xml:space="preserve">5х114,3</t>
  </si>
  <si>
    <t xml:space="preserve">5X98</t>
  </si>
  <si>
    <t xml:space="preserve">LOGAN</t>
  </si>
  <si>
    <t xml:space="preserve">5X110</t>
  </si>
  <si>
    <t xml:space="preserve">66,6</t>
  </si>
  <si>
    <t xml:space="preserve">R16/6.0</t>
  </si>
  <si>
    <t xml:space="preserve">50</t>
  </si>
  <si>
    <t xml:space="preserve">71,1</t>
  </si>
  <si>
    <t xml:space="preserve">5Х118</t>
  </si>
  <si>
    <t xml:space="preserve">R16/6.5</t>
  </si>
  <si>
    <t xml:space="preserve">32</t>
  </si>
  <si>
    <t xml:space="preserve">4Х108</t>
  </si>
  <si>
    <t xml:space="preserve">40</t>
  </si>
  <si>
    <t xml:space="preserve">5X105</t>
  </si>
  <si>
    <t xml:space="preserve">5Х108</t>
  </si>
  <si>
    <t xml:space="preserve">CITROEN PEUGEOT</t>
  </si>
  <si>
    <t xml:space="preserve">R16/6,5</t>
  </si>
  <si>
    <t xml:space="preserve">37</t>
  </si>
  <si>
    <t xml:space="preserve">65.1</t>
  </si>
  <si>
    <t xml:space="preserve">5Х110</t>
  </si>
  <si>
    <t xml:space="preserve">5Х112</t>
  </si>
  <si>
    <t xml:space="preserve">45</t>
  </si>
  <si>
    <t xml:space="preserve">64,1</t>
  </si>
  <si>
    <t xml:space="preserve">5Х114,3</t>
  </si>
  <si>
    <t xml:space="preserve">46</t>
  </si>
  <si>
    <t xml:space="preserve">66.1</t>
  </si>
  <si>
    <t xml:space="preserve">GEELY</t>
  </si>
  <si>
    <t xml:space="preserve">VW</t>
  </si>
  <si>
    <t xml:space="preserve">5X120</t>
  </si>
  <si>
    <t xml:space="preserve">66,1</t>
  </si>
  <si>
    <t xml:space="preserve">5X114,3</t>
  </si>
  <si>
    <t xml:space="preserve">R17/6,5</t>
  </si>
  <si>
    <t xml:space="preserve">R17/7,0</t>
  </si>
  <si>
    <t xml:space="preserve">5x108</t>
  </si>
  <si>
    <t xml:space="preserve">106,1</t>
  </si>
  <si>
    <t xml:space="preserve">6x139,7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</si>
</sst>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DD/MMM"/>
    <numFmt numFmtId="167" formatCode="DD/MM/YYYY"/>
    <numFmt numFmtId="168" formatCode="MM/YY"/>
    <numFmt numFmtId="169" formatCode="0.00"/>
    <numFmt numFmtId="170" formatCode="@"/>
    <numFmt numFmtId="171" formatCode="0.0"/>
  </numFmts>
  <fonts count="32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00"/>
      <name val="Arial"/>
      <family val="2"/>
      <charset val="204"/>
    </font>
    <font>
      <sz val="10"/>
      <name val="Arial Cyr"/>
      <family val="0"/>
      <charset val="204"/>
    </font>
    <font>
      <b val="true"/>
      <sz val="10"/>
      <color rgb="FF000000"/>
      <name val="Arial Cyr"/>
      <family val="0"/>
      <charset val="204"/>
    </font>
    <font>
      <sz val="8"/>
      <color rgb="FF000000"/>
      <name val="Arial"/>
      <family val="2"/>
      <charset val="1"/>
    </font>
    <font>
      <b val="true"/>
      <sz val="10"/>
      <name val="Arial"/>
      <family val="2"/>
      <charset val="204"/>
    </font>
    <font>
      <b val="true"/>
      <sz val="8"/>
      <name val="Arial"/>
      <family val="2"/>
      <charset val="1"/>
    </font>
    <font>
      <sz val="8"/>
      <name val="Arial"/>
      <family val="0"/>
    </font>
    <font>
      <b val="true"/>
      <sz val="11"/>
      <color rgb="FF000000"/>
      <name val="Arial"/>
      <family val="2"/>
      <charset val="1"/>
    </font>
    <font>
      <sz val="8"/>
      <color rgb="FFFF0000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0"/>
      <color rgb="FFFF0000"/>
      <name val="Arial Cyr"/>
      <family val="0"/>
      <charset val="1"/>
    </font>
    <font>
      <sz val="8"/>
      <color rgb="FF000000"/>
      <name val="Arial Cyr"/>
      <family val="0"/>
      <charset val="1"/>
    </font>
    <font>
      <b val="true"/>
      <sz val="12"/>
      <color rgb="FFFF0000"/>
      <name val="Arial"/>
      <family val="2"/>
      <charset val="1"/>
    </font>
    <font>
      <b val="true"/>
      <sz val="10"/>
      <name val="Arial Cyr"/>
      <family val="0"/>
      <charset val="204"/>
    </font>
    <font>
      <b val="true"/>
      <sz val="12"/>
      <color rgb="FF000000"/>
      <name val="Arial Cyr"/>
      <family val="0"/>
      <charset val="204"/>
    </font>
    <font>
      <b val="true"/>
      <sz val="10"/>
      <color rgb="FFFF0000"/>
      <name val="Arial Cyr"/>
      <family val="0"/>
      <charset val="204"/>
    </font>
    <font>
      <b val="true"/>
      <sz val="12"/>
      <name val="Arial"/>
      <family val="2"/>
      <charset val="204"/>
    </font>
    <font>
      <b val="true"/>
      <sz val="10"/>
      <color rgb="FF000000"/>
      <name val="Arial Black"/>
      <family val="2"/>
      <charset val="204"/>
    </font>
    <font>
      <b val="true"/>
      <sz val="14"/>
      <color rgb="FF000000"/>
      <name val="Arial"/>
      <family val="2"/>
      <charset val="204"/>
    </font>
    <font>
      <b val="true"/>
      <sz val="14"/>
      <color rgb="FF000000"/>
      <name val="Arial Cyr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</fills>
  <borders count="28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4C4C4C"/>
      </bottom>
      <diagonal/>
    </border>
    <border diagonalUp="false" diagonalDown="false">
      <left/>
      <right style="thin">
        <color rgb="FF4C4C4C"/>
      </right>
      <top/>
      <bottom style="medium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/>
      <bottom style="medium">
        <color rgb="FF4C4C4C"/>
      </bottom>
      <diagonal/>
    </border>
    <border diagonalUp="false" diagonalDown="false">
      <left style="thin">
        <color rgb="FF4C4C4C"/>
      </left>
      <right style="medium">
        <color rgb="FF4C4C4C"/>
      </right>
      <top/>
      <bottom style="medium">
        <color rgb="FF4C4C4C"/>
      </bottom>
      <diagonal/>
    </border>
    <border diagonalUp="false" diagonalDown="false">
      <left/>
      <right/>
      <top style="thin">
        <color rgb="FF4C4C4C"/>
      </top>
      <bottom style="thin">
        <color rgb="FF4C4C4C"/>
      </bottom>
      <diagonal/>
    </border>
    <border diagonalUp="false" diagonalDown="false">
      <left/>
      <right/>
      <top style="medium">
        <color rgb="FF4C4C4C"/>
      </top>
      <bottom style="thin">
        <color rgb="FF4C4C4C"/>
      </bottom>
      <diagonal/>
    </border>
    <border diagonalUp="false" diagonalDown="false">
      <left/>
      <right style="thin">
        <color rgb="FF4C4C4C"/>
      </right>
      <top style="medium">
        <color rgb="FF4C4C4C"/>
      </top>
      <bottom style="thin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thin">
        <color rgb="FF4C4C4C"/>
      </left>
      <right style="medium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/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/>
      <bottom style="thin">
        <color rgb="FF4C4C4C"/>
      </bottom>
      <diagonal/>
    </border>
    <border diagonalUp="false" diagonalDown="false">
      <left/>
      <right style="thin">
        <color rgb="FF4C4C4C"/>
      </right>
      <top/>
      <bottom style="thin">
        <color rgb="FF4C4C4C"/>
      </bottom>
      <diagonal/>
    </border>
    <border diagonalUp="false" diagonalDown="false">
      <left/>
      <right style="thin">
        <color rgb="FF4C4C4C"/>
      </right>
      <top style="thin">
        <color rgb="FF4C4C4C"/>
      </top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/>
      <diagonal/>
    </border>
    <border diagonalUp="false" diagonalDown="false">
      <left style="thin">
        <color rgb="FF4C4C4C"/>
      </left>
      <right style="thin">
        <color rgb="FF4C4C4C"/>
      </right>
      <top/>
      <bottom/>
      <diagonal/>
    </border>
    <border diagonalUp="false" diagonalDown="false">
      <left/>
      <right/>
      <top/>
      <bottom style="thin">
        <color rgb="FF4C4C4C"/>
      </bottom>
      <diagonal/>
    </border>
    <border diagonalUp="false" diagonalDown="false">
      <left style="thin">
        <color rgb="FF4C4C4C"/>
      </left>
      <right style="medium">
        <color rgb="FF4C4C4C"/>
      </right>
      <top/>
      <bottom style="thin">
        <color rgb="FF4C4C4C"/>
      </bottom>
      <diagonal/>
    </border>
    <border diagonalUp="false" diagonalDown="false">
      <left/>
      <right style="thin">
        <color rgb="FF4C4C4C"/>
      </right>
      <top/>
      <bottom/>
      <diagonal/>
    </border>
    <border diagonalUp="false" diagonalDown="false">
      <left/>
      <right/>
      <top style="thin">
        <color rgb="FF4C4C4C"/>
      </top>
      <bottom/>
      <diagonal/>
    </border>
    <border diagonalUp="false" diagonalDown="false">
      <left/>
      <right/>
      <top style="thin">
        <color rgb="FF4C4C4C"/>
      </top>
      <bottom style="medium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 style="medium">
        <color rgb="FF4C4C4C"/>
      </top>
      <bottom style="medium">
        <color rgb="FF4C4C4C"/>
      </bottom>
      <diagonal/>
    </border>
    <border diagonalUp="false" diagonalDown="false">
      <left style="thin">
        <color rgb="FF4C4C4C"/>
      </left>
      <right/>
      <top style="thin">
        <color rgb="FF4C4C4C"/>
      </top>
      <bottom style="thin">
        <color rgb="FF4C4C4C"/>
      </bottom>
      <diagonal/>
    </border>
    <border diagonalUp="false" diagonalDown="false">
      <left style="thin">
        <color rgb="FF4C4C4C"/>
      </left>
      <right style="medium">
        <color rgb="FF4C4C4C"/>
      </right>
      <top style="medium">
        <color rgb="FF4C4C4C"/>
      </top>
      <bottom style="medium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 style="medium">
        <color rgb="FF4C4C4C"/>
      </top>
      <bottom style="thin">
        <color rgb="FF4C4C4C"/>
      </bottom>
      <diagonal/>
    </border>
    <border diagonalUp="false" diagonalDown="false">
      <left/>
      <right style="medium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medium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medium">
        <color rgb="FF4C4C4C"/>
      </left>
      <right style="thin">
        <color rgb="FF4C4C4C"/>
      </right>
      <top/>
      <bottom style="thin">
        <color rgb="FF4C4C4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3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3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4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3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4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6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7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3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8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8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9" fillId="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9" fillId="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3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3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4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4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1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C4C4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608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D591" activeCellId="0" sqref="D591"/>
    </sheetView>
  </sheetViews>
  <sheetFormatPr defaultRowHeight="15" zeroHeight="false" outlineLevelRow="0" outlineLevelCol="0"/>
  <cols>
    <col collapsed="false" customWidth="true" hidden="false" outlineLevel="0" max="1" min="1" style="1" width="17.85"/>
    <col collapsed="false" customWidth="true" hidden="false" outlineLevel="0" max="2" min="2" style="2" width="27.56"/>
    <col collapsed="false" customWidth="true" hidden="false" outlineLevel="0" max="3" min="3" style="2" width="27.13"/>
    <col collapsed="false" customWidth="true" hidden="false" outlineLevel="0" max="4" min="4" style="3" width="5.55"/>
    <col collapsed="false" customWidth="true" hidden="false" outlineLevel="0" max="5" min="5" style="3" width="5.7"/>
    <col collapsed="false" customWidth="true" hidden="false" outlineLevel="0" max="1025" min="6" style="0" width="8.96"/>
  </cols>
  <sheetData>
    <row r="2" customFormat="false" ht="15.75" hidden="false" customHeight="false" outlineLevel="0" collapsed="false">
      <c r="A2" s="4"/>
      <c r="B2" s="5"/>
      <c r="C2" s="6" t="s">
        <v>0</v>
      </c>
      <c r="D2" s="7"/>
      <c r="E2" s="7"/>
    </row>
    <row r="3" customFormat="false" ht="51.75" hidden="false" customHeight="false" outlineLevel="0" collapsed="false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</row>
    <row r="4" customFormat="false" ht="15" hidden="false" customHeight="false" outlineLevel="0" collapsed="false">
      <c r="A4" s="12" t="s">
        <v>6</v>
      </c>
      <c r="B4" s="13"/>
      <c r="C4" s="14"/>
      <c r="D4" s="15"/>
      <c r="E4" s="16"/>
    </row>
    <row r="5" customFormat="false" ht="15" hidden="false" customHeight="false" outlineLevel="0" collapsed="false">
      <c r="A5" s="17" t="s">
        <v>7</v>
      </c>
      <c r="B5" s="18" t="s">
        <v>8</v>
      </c>
      <c r="C5" s="17" t="s">
        <v>9</v>
      </c>
      <c r="D5" s="15" t="n">
        <f aca="false">[2]грн!f5-[2]грн!aq5-[2]грн!ap5-[2]грн!ao5-[2]грн!an5-[2]грн!am5-[2]грн!al5-[2]грн!aj5-[2]грн!ai5-[2]грн!ah5-[2]грн!ag5-[2]грн!af5-[2]грн!ad5-[2]грн!ac5-[2]грн!ab5-[2]грн!aa5-[2]грн!z5-[2]грн!x5-[2]грн!w5-[2]грн!v5-[2]грн!u5-[2]грн!t5-[2]грн!r5-[2]грн!q5-[2]грн!p5-[2]грн!o5-[2]грн!n5-[2]грн!l5-[2]грн!k5-[2]грн!j5-[2]грн!i5-[2]грн!h5+[2]грн!g5+[2]грн!m5+[2]грн!s5+[2]грн!y5+[2]грн!ae5+[2]грн!ak5</f>
        <v>42</v>
      </c>
      <c r="E5" s="19" t="n">
        <f aca="false">[2]грн!as5*1.07</f>
        <v>588.5</v>
      </c>
    </row>
    <row r="6" customFormat="false" ht="15" hidden="false" customHeight="false" outlineLevel="0" collapsed="false">
      <c r="A6" s="17" t="s">
        <v>7</v>
      </c>
      <c r="B6" s="18" t="s">
        <v>10</v>
      </c>
      <c r="C6" s="17" t="s">
        <v>11</v>
      </c>
      <c r="D6" s="15" t="n">
        <f aca="false">[2]грн!f6-[2]грн!aq6-[2]грн!ap6-[2]грн!ao6-[2]грн!an6-[2]грн!am6-[2]грн!al6-[2]грн!aj6-[2]грн!ai6-[2]грн!ah6-[2]грн!ag6-[2]грн!af6-[2]грн!ad6-[2]грн!ac6-[2]грн!ab6-[2]грн!aa6-[2]грн!z6-[2]грн!x6-[2]грн!w6-[2]грн!v6-[2]грн!u6-[2]грн!t6-[2]грн!r6-[2]грн!q6-[2]грн!p6-[2]грн!o6-[2]грн!n6-[2]грн!l6-[2]грн!k6-[2]грн!j6-[2]грн!i6-[2]грн!h6+[2]грн!g6+[2]грн!m6+[2]грн!s6+[2]грн!y6+[2]грн!ae6+[2]грн!ak6</f>
        <v>1</v>
      </c>
      <c r="E6" s="19" t="n">
        <f aca="false">[2]грн!as6*1.07</f>
        <v>620.6</v>
      </c>
    </row>
    <row r="7" customFormat="false" ht="15" hidden="false" customHeight="false" outlineLevel="0" collapsed="false">
      <c r="A7" s="12" t="s">
        <v>12</v>
      </c>
      <c r="B7" s="20"/>
      <c r="C7" s="21"/>
      <c r="D7" s="15"/>
      <c r="E7" s="22" t="n">
        <f aca="false">[2]грн!as7*1.07</f>
        <v>0</v>
      </c>
    </row>
    <row r="8" customFormat="false" ht="15" hidden="false" customHeight="false" outlineLevel="0" collapsed="false">
      <c r="A8" s="17" t="s">
        <v>13</v>
      </c>
      <c r="B8" s="18" t="s">
        <v>14</v>
      </c>
      <c r="C8" s="18" t="n">
        <v>204</v>
      </c>
      <c r="D8" s="15" t="n">
        <f aca="false">[2]грн!f8-[2]грн!aq8-[2]грн!ap8-[2]грн!ao8-[2]грн!an8-[2]грн!am8-[2]грн!al8-[2]грн!aj8-[2]грн!ai8-[2]грн!ah8-[2]грн!ag8-[2]грн!af8-[2]грн!ad8-[2]грн!ac8-[2]грн!ab8-[2]грн!aa8-[2]грн!z8-[2]грн!x8-[2]грн!w8-[2]грн!v8-[2]грн!u8-[2]грн!t8-[2]грн!r8-[2]грн!q8-[2]грн!p8-[2]грн!o8-[2]грн!n8-[2]грн!l8-[2]грн!k8-[2]грн!j8-[2]грн!i8-[2]грн!h8+[2]грн!g8+[2]грн!m8+[2]грн!s8+[2]грн!y8+[2]грн!ae8+[2]грн!ak8</f>
        <v>4</v>
      </c>
      <c r="E8" s="19" t="n">
        <f aca="false">[2]грн!as8*1.07</f>
        <v>652.7</v>
      </c>
    </row>
    <row r="9" customFormat="false" ht="15" hidden="true" customHeight="false" outlineLevel="0" collapsed="false">
      <c r="A9" s="23" t="s">
        <v>13</v>
      </c>
      <c r="B9" s="24" t="s">
        <v>14</v>
      </c>
      <c r="C9" s="24" t="n">
        <v>503</v>
      </c>
      <c r="D9" s="15" t="n">
        <f aca="false">[2]грн!f9-[2]грн!aq9-[2]грн!ap9-[2]грн!ao9-[2]грн!an9-[2]грн!am9-[2]грн!al9-[2]грн!aj9-[2]грн!ai9-[2]грн!ah9-[2]грн!ag9-[2]грн!af9-[2]грн!ad9-[2]грн!ac9-[2]грн!ab9-[2]грн!aa9-[2]грн!z9-[2]грн!x9-[2]грн!w9-[2]грн!v9-[2]грн!u9-[2]грн!t9-[2]грн!r9-[2]грн!q9-[2]грн!p9-[2]грн!o9-[2]грн!n9-[2]грн!l9-[2]грн!k9-[2]грн!j9-[2]грн!i9-[2]грн!h9+[2]грн!g9+[2]грн!m9+[2]грн!s9+[2]грн!y9+[2]грн!ae9+[2]грн!ak9</f>
        <v>0</v>
      </c>
      <c r="E9" s="19" t="n">
        <f aca="false">[2]грн!as9*1.07</f>
        <v>749</v>
      </c>
    </row>
    <row r="10" customFormat="false" ht="15" hidden="false" customHeight="false" outlineLevel="0" collapsed="false">
      <c r="A10" s="12" t="s">
        <v>15</v>
      </c>
      <c r="B10" s="20"/>
      <c r="C10" s="21"/>
      <c r="D10" s="15"/>
      <c r="E10" s="22" t="n">
        <f aca="false">[2]грн!as10*1.07</f>
        <v>0</v>
      </c>
    </row>
    <row r="11" customFormat="false" ht="15" hidden="true" customHeight="false" outlineLevel="0" collapsed="false">
      <c r="A11" s="23" t="s">
        <v>16</v>
      </c>
      <c r="B11" s="24" t="s">
        <v>17</v>
      </c>
      <c r="C11" s="23" t="s">
        <v>18</v>
      </c>
      <c r="D11" s="15" t="n">
        <f aca="false">[2]грн!f11-[2]грн!aq11-[2]грн!ap11-[2]грн!ao11-[2]грн!an11-[2]грн!am11-[2]грн!al11-[2]грн!aj11-[2]грн!ai11-[2]грн!ah11-[2]грн!ag11-[2]грн!af11-[2]грн!ad11-[2]грн!ac11-[2]грн!ab11-[2]грн!aa11-[2]грн!z11-[2]грн!x11-[2]грн!w11-[2]грн!v11-[2]грн!u11-[2]грн!t11-[2]грн!r11-[2]грн!q11-[2]грн!p11-[2]грн!o11-[2]грн!n11-[2]грн!l11-[2]грн!k11-[2]грн!j11-[2]грн!i11-[2]грн!h11+[2]грн!g11+[2]грн!m11+[2]грн!s11+[2]грн!y11+[2]грн!ae11+[2]грн!ak11</f>
        <v>0</v>
      </c>
      <c r="E11" s="19" t="n">
        <f aca="false">[2]грн!as11*1.07</f>
        <v>567.1</v>
      </c>
    </row>
    <row r="12" customFormat="false" ht="15" hidden="true" customHeight="false" outlineLevel="0" collapsed="false">
      <c r="A12" s="17" t="s">
        <v>19</v>
      </c>
      <c r="B12" s="25" t="s">
        <v>20</v>
      </c>
      <c r="C12" s="18" t="s">
        <v>21</v>
      </c>
      <c r="D12" s="15" t="n">
        <f aca="false">[2]грн!f12-[2]грн!aq12-[2]грн!ap12-[2]грн!ao12-[2]грн!an12-[2]грн!am12-[2]грн!al12-[2]грн!aj12-[2]грн!ai12-[2]грн!ah12-[2]грн!ag12-[2]грн!af12-[2]грн!ad12-[2]грн!ac12-[2]грн!ab12-[2]грн!aa12-[2]грн!z12-[2]грн!x12-[2]грн!w12-[2]грн!v12-[2]грн!u12-[2]грн!t12-[2]грн!r12-[2]грн!q12-[2]грн!p12-[2]грн!o12-[2]грн!n12-[2]грн!l12-[2]грн!k12-[2]грн!j12-[2]грн!i12-[2]грн!h12+[2]грн!g12+[2]грн!m12+[2]грн!s12+[2]грн!y12+[2]грн!ae12+[2]грн!ak12</f>
        <v>0</v>
      </c>
      <c r="E12" s="19" t="n">
        <f aca="false">[2]грн!as12*1.07</f>
        <v>556.4</v>
      </c>
    </row>
    <row r="13" customFormat="false" ht="15" hidden="true" customHeight="false" outlineLevel="0" collapsed="false">
      <c r="A13" s="17" t="s">
        <v>19</v>
      </c>
      <c r="B13" s="26" t="s">
        <v>17</v>
      </c>
      <c r="C13" s="27" t="s">
        <v>22</v>
      </c>
      <c r="D13" s="15" t="n">
        <f aca="false">[2]грн!f13-[2]грн!aq13-[2]грн!ap13-[2]грн!ao13-[2]грн!an13-[2]грн!am13-[2]грн!al13-[2]грн!aj13-[2]грн!ai13-[2]грн!ah13-[2]грн!ag13-[2]грн!af13-[2]грн!ad13-[2]грн!ac13-[2]грн!ab13-[2]грн!aa13-[2]грн!z13-[2]грн!x13-[2]грн!w13-[2]грн!v13-[2]грн!u13-[2]грн!t13-[2]грн!r13-[2]грн!q13-[2]грн!p13-[2]грн!o13-[2]грн!n13-[2]грн!l13-[2]грн!k13-[2]грн!j13-[2]грн!i13-[2]грн!h13+[2]грн!g13+[2]грн!m13+[2]грн!s13+[2]грн!y13+[2]грн!ae13+[2]грн!ak13</f>
        <v>0</v>
      </c>
      <c r="E13" s="19" t="n">
        <f aca="false">[2]грн!as13*1.07</f>
        <v>556.4</v>
      </c>
    </row>
    <row r="14" customFormat="false" ht="15" hidden="false" customHeight="false" outlineLevel="0" collapsed="false">
      <c r="A14" s="23" t="s">
        <v>19</v>
      </c>
      <c r="B14" s="24" t="s">
        <v>17</v>
      </c>
      <c r="C14" s="24" t="s">
        <v>23</v>
      </c>
      <c r="D14" s="15" t="n">
        <f aca="false">[2]грн!f14-[2]грн!aq14-[2]грн!ap14-[2]грн!ao14-[2]грн!an14-[2]грн!am14-[2]грн!al14-[2]грн!aj14-[2]грн!ai14-[2]грн!ah14-[2]грн!ag14-[2]грн!af14-[2]грн!ad14-[2]грн!ac14-[2]грн!ab14-[2]грн!aa14-[2]грн!z14-[2]грн!x14-[2]грн!w14-[2]грн!v14-[2]грн!u14-[2]грн!t14-[2]грн!r14-[2]грн!q14-[2]грн!p14-[2]грн!o14-[2]грн!n14-[2]грн!l14-[2]грн!k14-[2]грн!j14-[2]грн!i14-[2]грн!h14+[2]грн!g14+[2]грн!m14+[2]грн!s14+[2]грн!y14+[2]грн!ae14+[2]грн!ak14</f>
        <v>18</v>
      </c>
      <c r="E14" s="19" t="n">
        <f aca="false">[2]грн!as14*1.07</f>
        <v>813.2</v>
      </c>
    </row>
    <row r="15" customFormat="false" ht="15" hidden="false" customHeight="false" outlineLevel="0" collapsed="false">
      <c r="A15" s="23" t="s">
        <v>19</v>
      </c>
      <c r="B15" s="24" t="s">
        <v>17</v>
      </c>
      <c r="C15" s="24" t="s">
        <v>24</v>
      </c>
      <c r="D15" s="15" t="n">
        <f aca="false">[2]грн!f15-[2]грн!aq15-[2]грн!ap15-[2]грн!ao15-[2]грн!an15-[2]грн!am15-[2]грн!al15-[2]грн!aj15-[2]грн!ai15-[2]грн!ah15-[2]грн!ag15-[2]грн!af15-[2]грн!ad15-[2]грн!ac15-[2]грн!ab15-[2]грн!aa15-[2]грн!z15-[2]грн!x15-[2]грн!w15-[2]грн!v15-[2]грн!u15-[2]грн!t15-[2]грн!r15-[2]грн!q15-[2]грн!p15-[2]грн!o15-[2]грн!n15-[2]грн!l15-[2]грн!k15-[2]грн!j15-[2]грн!i15-[2]грн!h15+[2]грн!g15+[2]грн!m15+[2]грн!s15+[2]грн!y15+[2]грн!ae15+[2]грн!ak15</f>
        <v>4</v>
      </c>
      <c r="E15" s="19" t="n">
        <f aca="false">[2]грн!as15*1.07</f>
        <v>963</v>
      </c>
    </row>
    <row r="16" customFormat="false" ht="15" hidden="false" customHeight="false" outlineLevel="0" collapsed="false">
      <c r="A16" s="17" t="s">
        <v>19</v>
      </c>
      <c r="B16" s="18" t="s">
        <v>10</v>
      </c>
      <c r="C16" s="18" t="s">
        <v>25</v>
      </c>
      <c r="D16" s="15" t="n">
        <f aca="false">[2]грн!f16-[2]грн!aq16-[2]грн!ap16-[2]грн!ao16-[2]грн!an16-[2]грн!am16-[2]грн!al16-[2]грн!aj16-[2]грн!ai16-[2]грн!ah16-[2]грн!ag16-[2]грн!af16-[2]грн!ad16-[2]грн!ac16-[2]грн!ab16-[2]грн!aa16-[2]грн!z16-[2]грн!x16-[2]грн!w16-[2]грн!v16-[2]грн!u16-[2]грн!t16-[2]грн!r16-[2]грн!q16-[2]грн!p16-[2]грн!o16-[2]грн!n16-[2]грн!l16-[2]грн!k16-[2]грн!j16-[2]грн!i16-[2]грн!h16+[2]грн!g16+[2]грн!m16+[2]грн!s16+[2]грн!y16+[2]грн!ae16+[2]грн!ak16</f>
        <v>2</v>
      </c>
      <c r="E16" s="19" t="n">
        <f aca="false">[2]грн!as16*1.07</f>
        <v>556.4</v>
      </c>
    </row>
    <row r="17" customFormat="false" ht="15" hidden="false" customHeight="false" outlineLevel="0" collapsed="false">
      <c r="A17" s="17" t="s">
        <v>19</v>
      </c>
      <c r="B17" s="18" t="s">
        <v>10</v>
      </c>
      <c r="C17" s="18" t="s">
        <v>26</v>
      </c>
      <c r="D17" s="15" t="n">
        <f aca="false">[2]грн!f17-[2]грн!aq17-[2]грн!ap17-[2]грн!ao17-[2]грн!an17-[2]грн!am17-[2]грн!al17-[2]грн!aj17-[2]грн!ai17-[2]грн!ah17-[2]грн!ag17-[2]грн!af17-[2]грн!ad17-[2]грн!ac17-[2]грн!ab17-[2]грн!aa17-[2]грн!z17-[2]грн!x17-[2]грн!w17-[2]грн!v17-[2]грн!u17-[2]грн!t17-[2]грн!r17-[2]грн!q17-[2]грн!p17-[2]грн!o17-[2]грн!n17-[2]грн!l17-[2]грн!k17-[2]грн!j17-[2]грн!i17-[2]грн!h17+[2]грн!g17+[2]грн!m17+[2]грн!s17+[2]грн!y17+[2]грн!ae17+[2]грн!ak17</f>
        <v>6</v>
      </c>
      <c r="E17" s="19" t="n">
        <f aca="false">[2]грн!as17*1.07</f>
        <v>535</v>
      </c>
    </row>
    <row r="18" customFormat="false" ht="15" hidden="false" customHeight="false" outlineLevel="0" collapsed="false">
      <c r="A18" s="23" t="s">
        <v>19</v>
      </c>
      <c r="B18" s="24" t="s">
        <v>10</v>
      </c>
      <c r="C18" s="24" t="s">
        <v>27</v>
      </c>
      <c r="D18" s="15" t="n">
        <f aca="false">[2]грн!f18-[2]грн!aq18-[2]грн!ap18-[2]грн!ao18-[2]грн!an18-[2]грн!am18-[2]грн!al18-[2]грн!aj18-[2]грн!ai18-[2]грн!ah18-[2]грн!ag18-[2]грн!af18-[2]грн!ad18-[2]грн!ac18-[2]грн!ab18-[2]грн!aa18-[2]грн!z18-[2]грн!x18-[2]грн!w18-[2]грн!v18-[2]грн!u18-[2]грн!t18-[2]грн!r18-[2]грн!q18-[2]грн!p18-[2]грн!o18-[2]грн!n18-[2]грн!l18-[2]грн!k18-[2]грн!j18-[2]грн!i18-[2]грн!h18+[2]грн!g18+[2]грн!m18+[2]грн!s18+[2]грн!y18+[2]грн!ae18+[2]грн!ak18</f>
        <v>14</v>
      </c>
      <c r="E18" s="19" t="n">
        <f aca="false">[2]грн!as18*1.07</f>
        <v>599.2</v>
      </c>
    </row>
    <row r="19" customFormat="false" ht="15" hidden="false" customHeight="false" outlineLevel="0" collapsed="false">
      <c r="A19" s="23" t="s">
        <v>19</v>
      </c>
      <c r="B19" s="24" t="s">
        <v>10</v>
      </c>
      <c r="C19" s="24" t="s">
        <v>28</v>
      </c>
      <c r="D19" s="15" t="n">
        <f aca="false">[2]грн!f19-[2]грн!aq19-[2]грн!ap19-[2]грн!ao19-[2]грн!an19-[2]грн!am19-[2]грн!al19-[2]грн!aj19-[2]грн!ai19-[2]грн!ah19-[2]грн!ag19-[2]грн!af19-[2]грн!ad19-[2]грн!ac19-[2]грн!ab19-[2]грн!aa19-[2]грн!z19-[2]грн!x19-[2]грн!w19-[2]грн!v19-[2]грн!u19-[2]грн!t19-[2]грн!r19-[2]грн!q19-[2]грн!p19-[2]грн!o19-[2]грн!n19-[2]грн!l19-[2]грн!k19-[2]грн!j19-[2]грн!i19-[2]грн!h19+[2]грн!g19+[2]грн!m19+[2]грн!s19+[2]грн!y19+[2]грн!ae19+[2]грн!ak19</f>
        <v>14</v>
      </c>
      <c r="E19" s="19" t="n">
        <f aca="false">[2]грн!as19*1.07</f>
        <v>567.1</v>
      </c>
    </row>
    <row r="20" customFormat="false" ht="15" hidden="false" customHeight="false" outlineLevel="0" collapsed="false">
      <c r="A20" s="23" t="s">
        <v>19</v>
      </c>
      <c r="B20" s="24" t="s">
        <v>10</v>
      </c>
      <c r="C20" s="24" t="s">
        <v>29</v>
      </c>
      <c r="D20" s="15" t="n">
        <f aca="false">[2]грн!f20-[2]грн!aq20-[2]грн!ap20-[2]грн!ao20-[2]грн!an20-[2]грн!am20-[2]грн!al20-[2]грн!aj20-[2]грн!ai20-[2]грн!ah20-[2]грн!ag20-[2]грн!af20-[2]грн!ad20-[2]грн!ac20-[2]грн!ab20-[2]грн!aa20-[2]грн!z20-[2]грн!x20-[2]грн!w20-[2]грн!v20-[2]грн!u20-[2]грн!t20-[2]грн!r20-[2]грн!q20-[2]грн!p20-[2]грн!o20-[2]грн!n20-[2]грн!l20-[2]грн!k20-[2]грн!j20-[2]грн!i20-[2]грн!h20+[2]грн!g20+[2]грн!m20+[2]грн!s20+[2]грн!y20+[2]грн!ae20+[2]грн!ak20</f>
        <v>108</v>
      </c>
      <c r="E20" s="19" t="n">
        <f aca="false">[2]грн!as20*1.07</f>
        <v>642</v>
      </c>
    </row>
    <row r="21" customFormat="false" ht="15" hidden="false" customHeight="false" outlineLevel="0" collapsed="false">
      <c r="A21" s="23" t="s">
        <v>19</v>
      </c>
      <c r="B21" s="24" t="s">
        <v>10</v>
      </c>
      <c r="C21" s="24" t="s">
        <v>30</v>
      </c>
      <c r="D21" s="15" t="n">
        <f aca="false">[2]грн!f21-[2]грн!aq21-[2]грн!ap21-[2]грн!ao21-[2]грн!an21-[2]грн!am21-[2]грн!al21-[2]грн!aj21-[2]грн!ai21-[2]грн!ah21-[2]грн!ag21-[2]грн!af21-[2]грн!ad21-[2]грн!ac21-[2]грн!ab21-[2]грн!aa21-[2]грн!z21-[2]грн!x21-[2]грн!w21-[2]грн!v21-[2]грн!u21-[2]грн!t21-[2]грн!r21-[2]грн!q21-[2]грн!p21-[2]грн!o21-[2]грн!n21-[2]грн!l21-[2]грн!k21-[2]грн!j21-[2]грн!i21-[2]грн!h21+[2]грн!g21+[2]грн!m21+[2]грн!s21+[2]грн!y21+[2]грн!ae21+[2]грн!ak21</f>
        <v>26</v>
      </c>
      <c r="E21" s="19" t="n">
        <f aca="false">[2]грн!as21*1.07</f>
        <v>567.1</v>
      </c>
    </row>
    <row r="22" customFormat="false" ht="15" hidden="true" customHeight="false" outlineLevel="0" collapsed="false">
      <c r="A22" s="17" t="s">
        <v>31</v>
      </c>
      <c r="B22" s="18" t="s">
        <v>32</v>
      </c>
      <c r="C22" s="28" t="s">
        <v>33</v>
      </c>
      <c r="D22" s="15" t="n">
        <f aca="false">[2]грн!f22-[2]грн!aq22-[2]грн!ap22-[2]грн!ao22-[2]грн!an22-[2]грн!am22-[2]грн!al22-[2]грн!aj22-[2]грн!ai22-[2]грн!ah22-[2]грн!ag22-[2]грн!af22-[2]грн!ad22-[2]грн!ac22-[2]грн!ab22-[2]грн!aa22-[2]грн!z22-[2]грн!x22-[2]грн!w22-[2]грн!v22-[2]грн!u22-[2]грн!t22-[2]грн!r22-[2]грн!q22-[2]грн!p22-[2]грн!o22-[2]грн!n22-[2]грн!l22-[2]грн!k22-[2]грн!j22-[2]грн!i22-[2]грн!h22+[2]грн!g22+[2]грн!m22+[2]грн!s22+[2]грн!y22+[2]грн!ae22+[2]грн!ak22</f>
        <v>0</v>
      </c>
      <c r="E22" s="19" t="n">
        <f aca="false">[2]грн!as22*1.07</f>
        <v>609.9</v>
      </c>
    </row>
    <row r="23" customFormat="false" ht="15" hidden="true" customHeight="false" outlineLevel="0" collapsed="false">
      <c r="A23" s="29" t="s">
        <v>34</v>
      </c>
      <c r="B23" s="30" t="s">
        <v>20</v>
      </c>
      <c r="C23" s="28" t="s">
        <v>35</v>
      </c>
      <c r="D23" s="15" t="n">
        <f aca="false">[2]грн!f23-[2]грн!aq23-[2]грн!ap23-[2]грн!ao23-[2]грн!an23-[2]грн!am23-[2]грн!al23-[2]грн!aj23-[2]грн!ai23-[2]грн!ah23-[2]грн!ag23-[2]грн!af23-[2]грн!ad23-[2]грн!ac23-[2]грн!ab23-[2]грн!aa23-[2]грн!z23-[2]грн!x23-[2]грн!w23-[2]грн!v23-[2]грн!u23-[2]грн!t23-[2]грн!r23-[2]грн!q23-[2]грн!p23-[2]грн!o23-[2]грн!n23-[2]грн!l23-[2]грн!k23-[2]грн!j23-[2]грн!i23-[2]грн!h23+[2]грн!g23+[2]грн!m23+[2]грн!s23+[2]грн!y23+[2]грн!ae23+[2]грн!ak23</f>
        <v>0</v>
      </c>
      <c r="E23" s="19" t="n">
        <f aca="false">[2]грн!as23*1.07</f>
        <v>556.4</v>
      </c>
    </row>
    <row r="24" customFormat="false" ht="15" hidden="false" customHeight="false" outlineLevel="0" collapsed="false">
      <c r="A24" s="17" t="s">
        <v>34</v>
      </c>
      <c r="B24" s="18" t="s">
        <v>10</v>
      </c>
      <c r="C24" s="18" t="s">
        <v>25</v>
      </c>
      <c r="D24" s="15" t="n">
        <f aca="false">[2]грн!f24-[2]грн!aq24-[2]грн!ap24-[2]грн!ao24-[2]грн!an24-[2]грн!am24-[2]грн!al24-[2]грн!aj24-[2]грн!ai24-[2]грн!ah24-[2]грн!ag24-[2]грн!af24-[2]грн!ad24-[2]грн!ac24-[2]грн!ab24-[2]грн!aa24-[2]грн!z24-[2]грн!x24-[2]грн!w24-[2]грн!v24-[2]грн!u24-[2]грн!t24-[2]грн!r24-[2]грн!q24-[2]грн!p24-[2]грн!o24-[2]грн!n24-[2]грн!l24-[2]грн!k24-[2]грн!j24-[2]грн!i24-[2]грн!h24+[2]грн!g24+[2]грн!m24+[2]грн!s24+[2]грн!y24+[2]грн!ae24+[2]грн!ak24</f>
        <v>6</v>
      </c>
      <c r="E24" s="19" t="n">
        <f aca="false">[2]грн!as24*1.07</f>
        <v>652.7</v>
      </c>
    </row>
    <row r="25" customFormat="false" ht="15" hidden="true" customHeight="false" outlineLevel="0" collapsed="false">
      <c r="A25" s="17" t="s">
        <v>34</v>
      </c>
      <c r="B25" s="18" t="s">
        <v>10</v>
      </c>
      <c r="C25" s="18" t="s">
        <v>36</v>
      </c>
      <c r="D25" s="15" t="n">
        <f aca="false">[2]грн!f25-[2]грн!aq25-[2]грн!ap25-[2]грн!ao25-[2]грн!an25-[2]грн!am25-[2]грн!al25-[2]грн!aj25-[2]грн!ai25-[2]грн!ah25-[2]грн!ag25-[2]грн!af25-[2]грн!ad25-[2]грн!ac25-[2]грн!ab25-[2]грн!aa25-[2]грн!z25-[2]грн!x25-[2]грн!w25-[2]грн!v25-[2]грн!u25-[2]грн!t25-[2]грн!r25-[2]грн!q25-[2]грн!p25-[2]грн!o25-[2]грн!n25-[2]грн!l25-[2]грн!k25-[2]грн!j25-[2]грн!i25-[2]грн!h25+[2]грн!g25+[2]грн!m25+[2]грн!s25+[2]грн!y25+[2]грн!ae25+[2]грн!ak25</f>
        <v>0</v>
      </c>
      <c r="E25" s="19" t="n">
        <f aca="false">[2]грн!as25*1.07</f>
        <v>642</v>
      </c>
    </row>
    <row r="26" customFormat="false" ht="15" hidden="true" customHeight="false" outlineLevel="0" collapsed="false">
      <c r="A26" s="17" t="s">
        <v>34</v>
      </c>
      <c r="B26" s="18" t="s">
        <v>10</v>
      </c>
      <c r="C26" s="18" t="s">
        <v>37</v>
      </c>
      <c r="D26" s="15" t="n">
        <f aca="false">[2]грн!f26-[2]грн!aq26-[2]грн!ap26-[2]грн!ao26-[2]грн!an26-[2]грн!am26-[2]грн!al26-[2]грн!aj26-[2]грн!ai26-[2]грн!ah26-[2]грн!ag26-[2]грн!af26-[2]грн!ad26-[2]грн!ac26-[2]грн!ab26-[2]грн!aa26-[2]грн!z26-[2]грн!x26-[2]грн!w26-[2]грн!v26-[2]грн!u26-[2]грн!t26-[2]грн!r26-[2]грн!q26-[2]грн!p26-[2]грн!o26-[2]грн!n26-[2]грн!l26-[2]грн!k26-[2]грн!j26-[2]грн!i26-[2]грн!h26+[2]грн!g26+[2]грн!m26+[2]грн!s26+[2]грн!y26+[2]грн!ae26+[2]грн!ak26</f>
        <v>0</v>
      </c>
      <c r="E26" s="19" t="n">
        <f aca="false">[2]грн!as26*1.07</f>
        <v>620.6</v>
      </c>
    </row>
    <row r="27" customFormat="false" ht="15" hidden="true" customHeight="false" outlineLevel="0" collapsed="false">
      <c r="A27" s="17" t="s">
        <v>34</v>
      </c>
      <c r="B27" s="18" t="s">
        <v>10</v>
      </c>
      <c r="C27" s="18" t="s">
        <v>26</v>
      </c>
      <c r="D27" s="15" t="n">
        <f aca="false">[2]грн!f27-[2]грн!aq27-[2]грн!ap27-[2]грн!ao27-[2]грн!an27-[2]грн!am27-[2]грн!al27-[2]грн!aj27-[2]грн!ai27-[2]грн!ah27-[2]грн!ag27-[2]грн!af27-[2]грн!ad27-[2]грн!ac27-[2]грн!ab27-[2]грн!aa27-[2]грн!z27-[2]грн!x27-[2]грн!w27-[2]грн!v27-[2]грн!u27-[2]грн!t27-[2]грн!r27-[2]грн!q27-[2]грн!p27-[2]грн!o27-[2]грн!n27-[2]грн!l27-[2]грн!k27-[2]грн!j27-[2]грн!i27-[2]грн!h27+[2]грн!g27+[2]грн!m27+[2]грн!s27+[2]грн!y27+[2]грн!ae27+[2]грн!ak27</f>
        <v>0</v>
      </c>
      <c r="E27" s="19" t="n">
        <f aca="false">[2]грн!as27*1.07</f>
        <v>524.3</v>
      </c>
    </row>
    <row r="28" customFormat="false" ht="15" hidden="true" customHeight="false" outlineLevel="0" collapsed="false">
      <c r="A28" s="17" t="s">
        <v>38</v>
      </c>
      <c r="B28" s="18" t="s">
        <v>8</v>
      </c>
      <c r="C28" s="18" t="s">
        <v>39</v>
      </c>
      <c r="D28" s="15" t="n">
        <f aca="false">[2]грн!f28-[2]грн!aq28-[2]грн!ap28-[2]грн!ao28-[2]грн!an28-[2]грн!am28-[2]грн!al28-[2]грн!aj28-[2]грн!ai28-[2]грн!ah28-[2]грн!ag28-[2]грн!af28-[2]грн!ad28-[2]грн!ac28-[2]грн!ab28-[2]грн!aa28-[2]грн!z28-[2]грн!x28-[2]грн!w28-[2]грн!v28-[2]грн!u28-[2]грн!t28-[2]грн!r28-[2]грн!q28-[2]грн!p28-[2]грн!o28-[2]грн!n28-[2]грн!l28-[2]грн!k28-[2]грн!j28-[2]грн!i28-[2]грн!h28+[2]грн!g28+[2]грн!m28+[2]грн!s28+[2]грн!y28+[2]грн!ae28+[2]грн!ak28</f>
        <v>0</v>
      </c>
      <c r="E28" s="19" t="n">
        <f aca="false">[2]грн!as28*1.07</f>
        <v>1070</v>
      </c>
    </row>
    <row r="29" customFormat="false" ht="15" hidden="false" customHeight="false" outlineLevel="0" collapsed="false">
      <c r="A29" s="17" t="s">
        <v>40</v>
      </c>
      <c r="B29" s="18" t="s">
        <v>32</v>
      </c>
      <c r="C29" s="28" t="s">
        <v>41</v>
      </c>
      <c r="D29" s="15" t="n">
        <f aca="false">[2]грн!f29-[2]грн!aq29-[2]грн!ap29-[2]грн!ao29-[2]грн!an29-[2]грн!am29-[2]грн!al29-[2]грн!aj29-[2]грн!ai29-[2]грн!ah29-[2]грн!ag29-[2]грн!af29-[2]грн!ad29-[2]грн!ac29-[2]грн!ab29-[2]грн!aa29-[2]грн!z29-[2]грн!x29-[2]грн!w29-[2]грн!v29-[2]грн!u29-[2]грн!t29-[2]грн!r29-[2]грн!q29-[2]грн!p29-[2]грн!o29-[2]грн!n29-[2]грн!l29-[2]грн!k29-[2]грн!j29-[2]грн!i29-[2]грн!h29+[2]грн!g29+[2]грн!m29+[2]грн!s29+[2]грн!y29+[2]грн!ae29+[2]грн!ak29</f>
        <v>10</v>
      </c>
      <c r="E29" s="19" t="n">
        <f aca="false">[2]грн!as29*1.07</f>
        <v>834.6</v>
      </c>
    </row>
    <row r="30" customFormat="false" ht="15" hidden="false" customHeight="false" outlineLevel="0" collapsed="false">
      <c r="A30" s="17" t="s">
        <v>40</v>
      </c>
      <c r="B30" s="18" t="s">
        <v>10</v>
      </c>
      <c r="C30" s="28" t="s">
        <v>42</v>
      </c>
      <c r="D30" s="15" t="n">
        <f aca="false">[2]грн!f30-[2]грн!aq30-[2]грн!ap30-[2]грн!ao30-[2]грн!an30-[2]грн!am30-[2]грн!al30-[2]грн!aj30-[2]грн!ai30-[2]грн!ah30-[2]грн!ag30-[2]грн!af30-[2]грн!ad30-[2]грн!ac30-[2]грн!ab30-[2]грн!aa30-[2]грн!z30-[2]грн!x30-[2]грн!w30-[2]грн!v30-[2]грн!u30-[2]грн!t30-[2]грн!r30-[2]грн!q30-[2]грн!p30-[2]грн!o30-[2]грн!n30-[2]грн!l30-[2]грн!k30-[2]грн!j30-[2]грн!i30-[2]грн!h30+[2]грн!g30+[2]грн!m30+[2]грн!s30+[2]грн!y30+[2]грн!ae30+[2]грн!ak30</f>
        <v>6</v>
      </c>
      <c r="E30" s="19" t="n">
        <f aca="false">[2]грн!as30*1.07</f>
        <v>845.3</v>
      </c>
    </row>
    <row r="31" customFormat="false" ht="15" hidden="false" customHeight="false" outlineLevel="0" collapsed="false">
      <c r="A31" s="17" t="s">
        <v>40</v>
      </c>
      <c r="B31" s="18" t="s">
        <v>10</v>
      </c>
      <c r="C31" s="28" t="s">
        <v>43</v>
      </c>
      <c r="D31" s="15" t="n">
        <f aca="false">[2]грн!f31-[2]грн!aq31-[2]грн!ap31-[2]грн!ao31-[2]грн!an31-[2]грн!am31-[2]грн!al31-[2]грн!aj31-[2]грн!ai31-[2]грн!ah31-[2]грн!ag31-[2]грн!af31-[2]грн!ad31-[2]грн!ac31-[2]грн!ab31-[2]грн!aa31-[2]грн!z31-[2]грн!x31-[2]грн!w31-[2]грн!v31-[2]грн!u31-[2]грн!t31-[2]грн!r31-[2]грн!q31-[2]грн!p31-[2]грн!o31-[2]грн!n31-[2]грн!l31-[2]грн!k31-[2]грн!j31-[2]грн!i31-[2]грн!h31+[2]грн!g31+[2]грн!m31+[2]грн!s31+[2]грн!y31+[2]грн!ae31+[2]грн!ak31</f>
        <v>7</v>
      </c>
      <c r="E31" s="19" t="n">
        <f aca="false">[2]грн!as31*1.07</f>
        <v>818.55</v>
      </c>
    </row>
    <row r="32" customFormat="false" ht="15" hidden="false" customHeight="false" outlineLevel="0" collapsed="false">
      <c r="A32" s="29" t="s">
        <v>44</v>
      </c>
      <c r="B32" s="25" t="s">
        <v>20</v>
      </c>
      <c r="C32" s="31" t="s">
        <v>45</v>
      </c>
      <c r="D32" s="15" t="n">
        <f aca="false">[2]грн!f32-[2]грн!aq32-[2]грн!ap32-[2]грн!ao32-[2]грн!an32-[2]грн!am32-[2]грн!al32-[2]грн!aj32-[2]грн!ai32-[2]грн!ah32-[2]грн!ag32-[2]грн!af32-[2]грн!ad32-[2]грн!ac32-[2]грн!ab32-[2]грн!aa32-[2]грн!z32-[2]грн!x32-[2]грн!w32-[2]грн!v32-[2]грн!u32-[2]грн!t32-[2]грн!r32-[2]грн!q32-[2]грн!p32-[2]грн!o32-[2]грн!n32-[2]грн!l32-[2]грн!k32-[2]грн!j32-[2]грн!i32-[2]грн!h32+[2]грн!g32+[2]грн!m32+[2]грн!s32+[2]грн!y32+[2]грн!ae32+[2]грн!ak32</f>
        <v>1</v>
      </c>
      <c r="E32" s="19" t="n">
        <f aca="false">[2]грн!as32*1.07</f>
        <v>674.1</v>
      </c>
    </row>
    <row r="33" customFormat="false" ht="15" hidden="false" customHeight="false" outlineLevel="0" collapsed="false">
      <c r="A33" s="17" t="s">
        <v>44</v>
      </c>
      <c r="B33" s="25" t="s">
        <v>20</v>
      </c>
      <c r="C33" s="32" t="s">
        <v>46</v>
      </c>
      <c r="D33" s="15" t="n">
        <f aca="false">[2]грн!f33-[2]грн!aq33-[2]грн!ap33-[2]грн!ao33-[2]грн!an33-[2]грн!am33-[2]грн!al33-[2]грн!aj33-[2]грн!ai33-[2]грн!ah33-[2]грн!ag33-[2]грн!af33-[2]грн!ad33-[2]грн!ac33-[2]грн!ab33-[2]грн!aa33-[2]грн!z33-[2]грн!x33-[2]грн!w33-[2]грн!v33-[2]грн!u33-[2]грн!t33-[2]грн!r33-[2]грн!q33-[2]грн!p33-[2]грн!o33-[2]грн!n33-[2]грн!l33-[2]грн!k33-[2]грн!j33-[2]грн!i33-[2]грн!h33+[2]грн!g33+[2]грн!m33+[2]грн!s33+[2]грн!y33+[2]грн!ae33+[2]грн!ak33</f>
        <v>38</v>
      </c>
      <c r="E33" s="19" t="n">
        <f aca="false">[2]грн!as33*1.07</f>
        <v>684.8</v>
      </c>
    </row>
    <row r="34" customFormat="false" ht="15" hidden="false" customHeight="false" outlineLevel="0" collapsed="false">
      <c r="A34" s="17" t="s">
        <v>44</v>
      </c>
      <c r="B34" s="25" t="s">
        <v>20</v>
      </c>
      <c r="C34" s="32" t="s">
        <v>47</v>
      </c>
      <c r="D34" s="15" t="n">
        <f aca="false">[2]грн!f34-[2]грн!aq34-[2]грн!ap34-[2]грн!ao34-[2]грн!an34-[2]грн!am34-[2]грн!al34-[2]грн!aj34-[2]грн!ai34-[2]грн!ah34-[2]грн!ag34-[2]грн!af34-[2]грн!ad34-[2]грн!ac34-[2]грн!ab34-[2]грн!aa34-[2]грн!z34-[2]грн!x34-[2]грн!w34-[2]грн!v34-[2]грн!u34-[2]грн!t34-[2]грн!r34-[2]грн!q34-[2]грн!p34-[2]грн!o34-[2]грн!n34-[2]грн!l34-[2]грн!k34-[2]грн!j34-[2]грн!i34-[2]грн!h34+[2]грн!g34+[2]грн!m34+[2]грн!s34+[2]грн!y34+[2]грн!ae34+[2]грн!ak34</f>
        <v>15</v>
      </c>
      <c r="E34" s="19" t="n">
        <f aca="false">[2]грн!as34*1.07</f>
        <v>706.2</v>
      </c>
    </row>
    <row r="35" customFormat="false" ht="15" hidden="false" customHeight="false" outlineLevel="0" collapsed="false">
      <c r="A35" s="23" t="s">
        <v>44</v>
      </c>
      <c r="B35" s="33" t="s">
        <v>20</v>
      </c>
      <c r="C35" s="34" t="s">
        <v>48</v>
      </c>
      <c r="D35" s="15" t="n">
        <f aca="false">[2]грн!f35-[2]грн!aq35-[2]грн!ap35-[2]грн!ao35-[2]грн!an35-[2]грн!am35-[2]грн!al35-[2]грн!aj35-[2]грн!ai35-[2]грн!ah35-[2]грн!ag35-[2]грн!af35-[2]грн!ad35-[2]грн!ac35-[2]грн!ab35-[2]грн!aa35-[2]грн!z35-[2]грн!x35-[2]грн!w35-[2]грн!v35-[2]грн!u35-[2]грн!t35-[2]грн!r35-[2]грн!q35-[2]грн!p35-[2]грн!o35-[2]грн!n35-[2]грн!l35-[2]грн!k35-[2]грн!j35-[2]грн!i35-[2]грн!h35+[2]грн!g35+[2]грн!m35+[2]грн!s35+[2]грн!y35+[2]грн!ae35+[2]грн!ak35</f>
        <v>109</v>
      </c>
      <c r="E35" s="19" t="n">
        <f aca="false">[2]грн!as35*1.07</f>
        <v>823.9</v>
      </c>
    </row>
    <row r="36" customFormat="false" ht="15" hidden="false" customHeight="false" outlineLevel="0" collapsed="false">
      <c r="A36" s="23" t="s">
        <v>44</v>
      </c>
      <c r="B36" s="33" t="s">
        <v>20</v>
      </c>
      <c r="C36" s="34" t="s">
        <v>49</v>
      </c>
      <c r="D36" s="15" t="n">
        <f aca="false">[2]грн!f36-[2]грн!aq36-[2]грн!ap36-[2]грн!ao36-[2]грн!an36-[2]грн!am36-[2]грн!al36-[2]грн!aj36-[2]грн!ai36-[2]грн!ah36-[2]грн!ag36-[2]грн!af36-[2]грн!ad36-[2]грн!ac36-[2]грн!ab36-[2]грн!aa36-[2]грн!z36-[2]грн!x36-[2]грн!w36-[2]грн!v36-[2]грн!u36-[2]грн!t36-[2]грн!r36-[2]грн!q36-[2]грн!p36-[2]грн!o36-[2]грн!n36-[2]грн!l36-[2]грн!k36-[2]грн!j36-[2]грн!i36-[2]грн!h36+[2]грн!g36+[2]грн!m36+[2]грн!s36+[2]грн!y36+[2]грн!ae36+[2]грн!ak36</f>
        <v>140</v>
      </c>
      <c r="E36" s="19" t="n">
        <f aca="false">[2]грн!as36*1.07</f>
        <v>823.9</v>
      </c>
    </row>
    <row r="37" customFormat="false" ht="15" hidden="true" customHeight="false" outlineLevel="0" collapsed="false">
      <c r="A37" s="23" t="s">
        <v>44</v>
      </c>
      <c r="B37" s="33" t="s">
        <v>20</v>
      </c>
      <c r="C37" s="34" t="s">
        <v>50</v>
      </c>
      <c r="D37" s="15" t="n">
        <f aca="false">[2]грн!f37-[2]грн!aq37-[2]грн!ap37-[2]грн!ao37-[2]грн!an37-[2]грн!am37-[2]грн!al37-[2]грн!aj37-[2]грн!ai37-[2]грн!ah37-[2]грн!ag37-[2]грн!af37-[2]грн!ad37-[2]грн!ac37-[2]грн!ab37-[2]грн!aa37-[2]грн!z37-[2]грн!x37-[2]грн!w37-[2]грн!v37-[2]грн!u37-[2]грн!t37-[2]грн!r37-[2]грн!q37-[2]грн!p37-[2]грн!o37-[2]грн!n37-[2]грн!l37-[2]грн!k37-[2]грн!j37-[2]грн!i37-[2]грн!h37+[2]грн!g37+[2]грн!m37+[2]грн!s37+[2]грн!y37+[2]грн!ae37+[2]грн!ak37</f>
        <v>0</v>
      </c>
      <c r="E37" s="19" t="n">
        <f aca="false">[2]грн!as37*1.07</f>
        <v>524.3</v>
      </c>
    </row>
    <row r="38" customFormat="false" ht="15" hidden="false" customHeight="false" outlineLevel="0" collapsed="false">
      <c r="A38" s="35" t="s">
        <v>44</v>
      </c>
      <c r="B38" s="36" t="s">
        <v>17</v>
      </c>
      <c r="C38" s="18" t="s">
        <v>22</v>
      </c>
      <c r="D38" s="15" t="n">
        <f aca="false">[2]грн!f38-[2]грн!aq38-[2]грн!ap38-[2]грн!ao38-[2]грн!an38-[2]грн!am38-[2]грн!al38-[2]грн!aj38-[2]грн!ai38-[2]грн!ah38-[2]грн!ag38-[2]грн!af38-[2]грн!ad38-[2]грн!ac38-[2]грн!ab38-[2]грн!aa38-[2]грн!z38-[2]грн!x38-[2]грн!w38-[2]грн!v38-[2]грн!u38-[2]грн!t38-[2]грн!r38-[2]грн!q38-[2]грн!p38-[2]грн!o38-[2]грн!n38-[2]грн!l38-[2]грн!k38-[2]грн!j38-[2]грн!i38-[2]грн!h38+[2]грн!g38+[2]грн!m38+[2]грн!s38+[2]грн!y38+[2]грн!ae38+[2]грн!ak38</f>
        <v>2</v>
      </c>
      <c r="E38" s="19" t="n">
        <f aca="false">[2]грн!as38*1.07</f>
        <v>759.7</v>
      </c>
    </row>
    <row r="39" customFormat="false" ht="15" hidden="true" customHeight="false" outlineLevel="0" collapsed="false">
      <c r="A39" s="35" t="s">
        <v>44</v>
      </c>
      <c r="B39" s="36" t="s">
        <v>17</v>
      </c>
      <c r="C39" s="18" t="s">
        <v>51</v>
      </c>
      <c r="D39" s="15" t="n">
        <f aca="false">[2]грн!f39-[2]грн!aq39-[2]грн!ap39-[2]грн!ao39-[2]грн!an39-[2]грн!am39-[2]грн!al39-[2]грн!aj39-[2]грн!ai39-[2]грн!ah39-[2]грн!ag39-[2]грн!af39-[2]грн!ad39-[2]грн!ac39-[2]грн!ab39-[2]грн!aa39-[2]грн!z39-[2]грн!x39-[2]грн!w39-[2]грн!v39-[2]грн!u39-[2]грн!t39-[2]грн!r39-[2]грн!q39-[2]грн!p39-[2]грн!o39-[2]грн!n39-[2]грн!l39-[2]грн!k39-[2]грн!j39-[2]грн!i39-[2]грн!h39+[2]грн!g39+[2]грн!m39+[2]грн!s39+[2]грн!y39+[2]грн!ae39+[2]грн!ak39</f>
        <v>0</v>
      </c>
      <c r="E39" s="19" t="n">
        <f aca="false">[2]грн!as39*1.07</f>
        <v>668.75</v>
      </c>
    </row>
    <row r="40" customFormat="false" ht="15" hidden="false" customHeight="false" outlineLevel="0" collapsed="false">
      <c r="A40" s="37" t="s">
        <v>44</v>
      </c>
      <c r="B40" s="38" t="s">
        <v>17</v>
      </c>
      <c r="C40" s="24" t="s">
        <v>52</v>
      </c>
      <c r="D40" s="15" t="n">
        <f aca="false">[2]грн!f40-[2]грн!aq40-[2]грн!ap40-[2]грн!ao40-[2]грн!an40-[2]грн!am40-[2]грн!al40-[2]грн!aj40-[2]грн!ai40-[2]грн!ah40-[2]грн!ag40-[2]грн!af40-[2]грн!ad40-[2]грн!ac40-[2]грн!ab40-[2]грн!aa40-[2]грн!z40-[2]грн!x40-[2]грн!w40-[2]грн!v40-[2]грн!u40-[2]грн!t40-[2]грн!r40-[2]грн!q40-[2]грн!p40-[2]грн!o40-[2]грн!n40-[2]грн!l40-[2]грн!k40-[2]грн!j40-[2]грн!i40-[2]грн!h40+[2]грн!g40+[2]грн!m40+[2]грн!s40+[2]грн!y40+[2]грн!ae40+[2]грн!ak40</f>
        <v>546</v>
      </c>
      <c r="E40" s="19" t="n">
        <f aca="false">[2]грн!as40*1.07</f>
        <v>823.9</v>
      </c>
    </row>
    <row r="41" customFormat="false" ht="15" hidden="false" customHeight="false" outlineLevel="0" collapsed="false">
      <c r="A41" s="37" t="s">
        <v>44</v>
      </c>
      <c r="B41" s="38" t="s">
        <v>17</v>
      </c>
      <c r="C41" s="39" t="s">
        <v>53</v>
      </c>
      <c r="D41" s="15" t="n">
        <f aca="false">[2]грн!f41-[2]грн!aq41-[2]грн!ap41-[2]грн!ao41-[2]грн!an41-[2]грн!am41-[2]грн!al41-[2]грн!aj41-[2]грн!ai41-[2]грн!ah41-[2]грн!ag41-[2]грн!af41-[2]грн!ad41-[2]грн!ac41-[2]грн!ab41-[2]грн!aa41-[2]грн!z41-[2]грн!x41-[2]грн!w41-[2]грн!v41-[2]грн!u41-[2]грн!t41-[2]грн!r41-[2]грн!q41-[2]грн!p41-[2]грн!o41-[2]грн!n41-[2]грн!l41-[2]грн!k41-[2]грн!j41-[2]грн!i41-[2]грн!h41+[2]грн!g41+[2]грн!m41+[2]грн!s41+[2]грн!y41+[2]грн!ae41+[2]грн!ak41</f>
        <v>8</v>
      </c>
      <c r="E41" s="19" t="n">
        <f aca="false">[2]грн!as41*1.07</f>
        <v>823.9</v>
      </c>
    </row>
    <row r="42" customFormat="false" ht="15" hidden="false" customHeight="false" outlineLevel="0" collapsed="false">
      <c r="A42" s="37" t="s">
        <v>44</v>
      </c>
      <c r="B42" s="38" t="s">
        <v>17</v>
      </c>
      <c r="C42" s="38" t="s">
        <v>54</v>
      </c>
      <c r="D42" s="15" t="n">
        <f aca="false">[2]грн!f42-[2]грн!aq42-[2]грн!ap42-[2]грн!ao42-[2]грн!an42-[2]грн!am42-[2]грн!al42-[2]грн!aj42-[2]грн!ai42-[2]грн!ah42-[2]грн!ag42-[2]грн!af42-[2]грн!ad42-[2]грн!ac42-[2]грн!ab42-[2]грн!aa42-[2]грн!z42-[2]грн!x42-[2]грн!w42-[2]грн!v42-[2]грн!u42-[2]грн!t42-[2]грн!r42-[2]грн!q42-[2]грн!p42-[2]грн!o42-[2]грн!n42-[2]грн!l42-[2]грн!k42-[2]грн!j42-[2]грн!i42-[2]грн!h42+[2]грн!g42+[2]грн!m42+[2]грн!s42+[2]грн!y42+[2]грн!ae42+[2]грн!ak42</f>
        <v>16</v>
      </c>
      <c r="E42" s="19" t="n">
        <f aca="false">[2]грн!as42*1.07</f>
        <v>1070</v>
      </c>
    </row>
    <row r="43" customFormat="false" ht="15" hidden="true" customHeight="false" outlineLevel="0" collapsed="false">
      <c r="A43" s="37" t="s">
        <v>44</v>
      </c>
      <c r="B43" s="38" t="s">
        <v>17</v>
      </c>
      <c r="C43" s="38" t="s">
        <v>55</v>
      </c>
      <c r="D43" s="15" t="n">
        <f aca="false">[2]грн!f43-[2]грн!aq43-[2]грн!ap43-[2]грн!ao43-[2]грн!an43-[2]грн!am43-[2]грн!al43-[2]грн!aj43-[2]грн!ai43-[2]грн!ah43-[2]грн!ag43-[2]грн!af43-[2]грн!ad43-[2]грн!ac43-[2]грн!ab43-[2]грн!aa43-[2]грн!z43-[2]грн!x43-[2]грн!w43-[2]грн!v43-[2]грн!u43-[2]грн!t43-[2]грн!r43-[2]грн!q43-[2]грн!p43-[2]грн!o43-[2]грн!n43-[2]грн!l43-[2]грн!k43-[2]грн!j43-[2]грн!i43-[2]грн!h43+[2]грн!g43+[2]грн!m43+[2]грн!s43+[2]грн!y43+[2]грн!ae43+[2]грн!ak43</f>
        <v>0</v>
      </c>
      <c r="E43" s="19" t="n">
        <f aca="false">[2]грн!as43*1.07</f>
        <v>834.6</v>
      </c>
    </row>
    <row r="44" customFormat="false" ht="15" hidden="true" customHeight="false" outlineLevel="0" collapsed="false">
      <c r="A44" s="37" t="s">
        <v>44</v>
      </c>
      <c r="B44" s="38" t="s">
        <v>17</v>
      </c>
      <c r="C44" s="38" t="s">
        <v>56</v>
      </c>
      <c r="D44" s="15" t="n">
        <f aca="false">[2]грн!f44-[2]грн!aq44-[2]грн!ap44-[2]грн!ao44-[2]грн!an44-[2]грн!am44-[2]грн!al44-[2]грн!aj44-[2]грн!ai44-[2]грн!ah44-[2]грн!ag44-[2]грн!af44-[2]грн!ad44-[2]грн!ac44-[2]грн!ab44-[2]грн!aa44-[2]грн!z44-[2]грн!x44-[2]грн!w44-[2]грн!v44-[2]грн!u44-[2]грн!t44-[2]грн!r44-[2]грн!q44-[2]грн!p44-[2]грн!o44-[2]грн!n44-[2]грн!l44-[2]грн!k44-[2]грн!j44-[2]грн!i44-[2]грн!h44+[2]грн!g44+[2]грн!m44+[2]грн!s44+[2]грн!y44+[2]грн!ae44+[2]грн!ak44</f>
        <v>0</v>
      </c>
      <c r="E44" s="19" t="n">
        <f aca="false">[2]грн!as44*1.07</f>
        <v>856</v>
      </c>
    </row>
    <row r="45" customFormat="false" ht="15" hidden="false" customHeight="false" outlineLevel="0" collapsed="false">
      <c r="A45" s="37" t="s">
        <v>44</v>
      </c>
      <c r="B45" s="38" t="s">
        <v>17</v>
      </c>
      <c r="C45" s="38" t="s">
        <v>23</v>
      </c>
      <c r="D45" s="15" t="n">
        <f aca="false">[2]грн!f45-[2]грн!aq45-[2]грн!ap45-[2]грн!ao45-[2]грн!an45-[2]грн!am45-[2]грн!al45-[2]грн!aj45-[2]грн!ai45-[2]грн!ah45-[2]грн!ag45-[2]грн!af45-[2]грн!ad45-[2]грн!ac45-[2]грн!ab45-[2]грн!aa45-[2]грн!z45-[2]грн!x45-[2]грн!w45-[2]грн!v45-[2]грн!u45-[2]грн!t45-[2]грн!r45-[2]грн!q45-[2]грн!p45-[2]грн!o45-[2]грн!n45-[2]грн!l45-[2]грн!k45-[2]грн!j45-[2]грн!i45-[2]грн!h45+[2]грн!g45+[2]грн!m45+[2]грн!s45+[2]грн!y45+[2]грн!ae45+[2]грн!ak45</f>
        <v>12</v>
      </c>
      <c r="E45" s="19" t="n">
        <f aca="false">[2]грн!as45*1.07</f>
        <v>823.9</v>
      </c>
    </row>
    <row r="46" customFormat="false" ht="15" hidden="true" customHeight="false" outlineLevel="0" collapsed="false">
      <c r="A46" s="17" t="s">
        <v>44</v>
      </c>
      <c r="B46" s="18" t="s">
        <v>14</v>
      </c>
      <c r="C46" s="40" t="s">
        <v>57</v>
      </c>
      <c r="D46" s="15" t="n">
        <f aca="false">[2]грн!f46-[2]грн!aq46-[2]грн!ap46-[2]грн!ao46-[2]грн!an46-[2]грн!am46-[2]грн!al46-[2]грн!aj46-[2]грн!ai46-[2]грн!ah46-[2]грн!ag46-[2]грн!af46-[2]грн!ad46-[2]грн!ac46-[2]грн!ab46-[2]грн!aa46-[2]грн!z46-[2]грн!x46-[2]грн!w46-[2]грн!v46-[2]грн!u46-[2]грн!t46-[2]грн!r46-[2]грн!q46-[2]грн!p46-[2]грн!o46-[2]грн!n46-[2]грн!l46-[2]грн!k46-[2]грн!j46-[2]грн!i46-[2]грн!h46+[2]грн!g46+[2]грн!m46+[2]грн!s46+[2]грн!y46+[2]грн!ae46+[2]грн!ak46</f>
        <v>0</v>
      </c>
      <c r="E46" s="19" t="n">
        <f aca="false">[2]грн!as46*1.07</f>
        <v>781.1</v>
      </c>
    </row>
    <row r="47" customFormat="false" ht="15" hidden="false" customHeight="false" outlineLevel="0" collapsed="false">
      <c r="A47" s="17" t="s">
        <v>44</v>
      </c>
      <c r="B47" s="18" t="s">
        <v>14</v>
      </c>
      <c r="C47" s="18" t="n">
        <v>217</v>
      </c>
      <c r="D47" s="15" t="n">
        <f aca="false">[2]грн!f47-[2]грн!aq47-[2]грн!ap47-[2]грн!ao47-[2]грн!an47-[2]грн!am47-[2]грн!al47-[2]грн!aj47-[2]грн!ai47-[2]грн!ah47-[2]грн!ag47-[2]грн!af47-[2]грн!ad47-[2]грн!ac47-[2]грн!ab47-[2]грн!aa47-[2]грн!z47-[2]грн!x47-[2]грн!w47-[2]грн!v47-[2]грн!u47-[2]грн!t47-[2]грн!r47-[2]грн!q47-[2]грн!p47-[2]грн!o47-[2]грн!n47-[2]грн!l47-[2]грн!k47-[2]грн!j47-[2]грн!i47-[2]грн!h47+[2]грн!g47+[2]грн!m47+[2]грн!s47+[2]грн!y47+[2]грн!ae47+[2]грн!ak47</f>
        <v>27</v>
      </c>
      <c r="E47" s="19" t="n">
        <f aca="false">[2]грн!as47*1.07</f>
        <v>706.2</v>
      </c>
    </row>
    <row r="48" customFormat="false" ht="15" hidden="false" customHeight="false" outlineLevel="0" collapsed="false">
      <c r="A48" s="17" t="s">
        <v>44</v>
      </c>
      <c r="B48" s="18" t="s">
        <v>14</v>
      </c>
      <c r="C48" s="18" t="s">
        <v>58</v>
      </c>
      <c r="D48" s="15" t="n">
        <f aca="false">[2]грн!f48-[2]грн!aq48-[2]грн!ap48-[2]грн!ao48-[2]грн!an48-[2]грн!am48-[2]грн!al48-[2]грн!aj48-[2]грн!ai48-[2]грн!ah48-[2]грн!ag48-[2]грн!af48-[2]грн!ad48-[2]грн!ac48-[2]грн!ab48-[2]грн!aa48-[2]грн!z48-[2]грн!x48-[2]грн!w48-[2]грн!v48-[2]грн!u48-[2]грн!t48-[2]грн!r48-[2]грн!q48-[2]грн!p48-[2]грн!o48-[2]грн!n48-[2]грн!l48-[2]грн!k48-[2]грн!j48-[2]грн!i48-[2]грн!h48+[2]грн!g48+[2]грн!m48+[2]грн!s48+[2]грн!y48+[2]грн!ae48+[2]грн!ak48</f>
        <v>28</v>
      </c>
      <c r="E48" s="19" t="n">
        <f aca="false">[2]грн!as48*1.07</f>
        <v>759.7</v>
      </c>
    </row>
    <row r="49" customFormat="false" ht="15" hidden="true" customHeight="false" outlineLevel="0" collapsed="false">
      <c r="A49" s="23" t="s">
        <v>44</v>
      </c>
      <c r="B49" s="24" t="s">
        <v>14</v>
      </c>
      <c r="C49" s="24" t="s">
        <v>59</v>
      </c>
      <c r="D49" s="15" t="n">
        <f aca="false">[2]грн!f49-[2]грн!aq49-[2]грн!ap49-[2]грн!ao49-[2]грн!an49-[2]грн!am49-[2]грн!al49-[2]грн!aj49-[2]грн!ai49-[2]грн!ah49-[2]грн!ag49-[2]грн!af49-[2]грн!ad49-[2]грн!ac49-[2]грн!ab49-[2]грн!aa49-[2]грн!z49-[2]грн!x49-[2]грн!w49-[2]грн!v49-[2]грн!u49-[2]грн!t49-[2]грн!r49-[2]грн!q49-[2]грн!p49-[2]грн!o49-[2]грн!n49-[2]грн!l49-[2]грн!k49-[2]грн!j49-[2]грн!i49-[2]грн!h49+[2]грн!g49+[2]грн!m49+[2]грн!s49+[2]грн!y49+[2]грн!ae49+[2]грн!ak49</f>
        <v>0</v>
      </c>
      <c r="E49" s="19" t="n">
        <f aca="false">[2]грн!as49*1.07</f>
        <v>706.2</v>
      </c>
    </row>
    <row r="50" customFormat="false" ht="15" hidden="true" customHeight="false" outlineLevel="0" collapsed="false">
      <c r="A50" s="23" t="s">
        <v>44</v>
      </c>
      <c r="B50" s="24" t="s">
        <v>14</v>
      </c>
      <c r="C50" s="24" t="s">
        <v>60</v>
      </c>
      <c r="D50" s="15" t="n">
        <f aca="false">[2]грн!f50-[2]грн!aq50-[2]грн!ap50-[2]грн!ao50-[2]грн!an50-[2]грн!am50-[2]грн!al50-[2]грн!aj50-[2]грн!ai50-[2]грн!ah50-[2]грн!ag50-[2]грн!af50-[2]грн!ad50-[2]грн!ac50-[2]грн!ab50-[2]грн!aa50-[2]грн!z50-[2]грн!x50-[2]грн!w50-[2]грн!v50-[2]грн!u50-[2]грн!t50-[2]грн!r50-[2]грн!q50-[2]грн!p50-[2]грн!o50-[2]грн!n50-[2]грн!l50-[2]грн!k50-[2]грн!j50-[2]грн!i50-[2]грн!h50+[2]грн!g50+[2]грн!m50+[2]грн!s50+[2]грн!y50+[2]грн!ae50+[2]грн!ak50</f>
        <v>0</v>
      </c>
      <c r="E50" s="19" t="n">
        <f aca="false">[2]грн!as50*1.07</f>
        <v>888.1</v>
      </c>
    </row>
    <row r="51" customFormat="false" ht="15" hidden="false" customHeight="false" outlineLevel="0" collapsed="false">
      <c r="A51" s="17" t="s">
        <v>44</v>
      </c>
      <c r="B51" s="18" t="s">
        <v>10</v>
      </c>
      <c r="C51" s="18" t="s">
        <v>25</v>
      </c>
      <c r="D51" s="15" t="n">
        <f aca="false">[2]грн!f51-[2]грн!aq51-[2]грн!ap51-[2]грн!ao51-[2]грн!an51-[2]грн!am51-[2]грн!al51-[2]грн!aj51-[2]грн!ai51-[2]грн!ah51-[2]грн!ag51-[2]грн!af51-[2]грн!ad51-[2]грн!ac51-[2]грн!ab51-[2]грн!aa51-[2]грн!z51-[2]грн!x51-[2]грн!w51-[2]грн!v51-[2]грн!u51-[2]грн!t51-[2]грн!r51-[2]грн!q51-[2]грн!p51-[2]грн!o51-[2]грн!n51-[2]грн!l51-[2]грн!k51-[2]грн!j51-[2]грн!i51-[2]грн!h51+[2]грн!g51+[2]грн!m51+[2]грн!s51+[2]грн!y51+[2]грн!ae51+[2]грн!ak51</f>
        <v>19</v>
      </c>
      <c r="E51" s="19" t="n">
        <f aca="false">[2]грн!as51*1.07</f>
        <v>599.2</v>
      </c>
    </row>
    <row r="52" customFormat="false" ht="15" hidden="false" customHeight="false" outlineLevel="0" collapsed="false">
      <c r="A52" s="17" t="s">
        <v>44</v>
      </c>
      <c r="B52" s="18" t="s">
        <v>10</v>
      </c>
      <c r="C52" s="18" t="s">
        <v>61</v>
      </c>
      <c r="D52" s="15" t="n">
        <f aca="false">[2]грн!f52-[2]грн!aq52-[2]грн!ap52-[2]грн!ao52-[2]грн!an52-[2]грн!am52-[2]грн!al52-[2]грн!aj52-[2]грн!ai52-[2]грн!ah52-[2]грн!ag52-[2]грн!af52-[2]грн!ad52-[2]грн!ac52-[2]грн!ab52-[2]грн!aa52-[2]грн!z52-[2]грн!x52-[2]грн!w52-[2]грн!v52-[2]грн!u52-[2]грн!t52-[2]грн!r52-[2]грн!q52-[2]грн!p52-[2]грн!o52-[2]грн!n52-[2]грн!l52-[2]грн!k52-[2]грн!j52-[2]грн!i52-[2]грн!h52+[2]грн!g52+[2]грн!m52+[2]грн!s52+[2]грн!y52+[2]грн!ae52+[2]грн!ak52</f>
        <v>52</v>
      </c>
      <c r="E52" s="19" t="n">
        <f aca="false">[2]грн!as52*1.07</f>
        <v>636.65</v>
      </c>
    </row>
    <row r="53" customFormat="false" ht="15" hidden="false" customHeight="false" outlineLevel="0" collapsed="false">
      <c r="A53" s="17" t="s">
        <v>44</v>
      </c>
      <c r="B53" s="18" t="s">
        <v>10</v>
      </c>
      <c r="C53" s="18" t="s">
        <v>37</v>
      </c>
      <c r="D53" s="15" t="n">
        <f aca="false">[2]грн!f53-[2]грн!aq53-[2]грн!ap53-[2]грн!ao53-[2]грн!an53-[2]грн!am53-[2]грн!al53-[2]грн!aj53-[2]грн!ai53-[2]грн!ah53-[2]грн!ag53-[2]грн!af53-[2]грн!ad53-[2]грн!ac53-[2]грн!ab53-[2]грн!aa53-[2]грн!z53-[2]грн!x53-[2]грн!w53-[2]грн!v53-[2]грн!u53-[2]грн!t53-[2]грн!r53-[2]грн!q53-[2]грн!p53-[2]грн!o53-[2]грн!n53-[2]грн!l53-[2]грн!k53-[2]грн!j53-[2]грн!i53-[2]грн!h53+[2]грн!g53+[2]грн!m53+[2]грн!s53+[2]грн!y53+[2]грн!ae53+[2]грн!ak53</f>
        <v>34</v>
      </c>
      <c r="E53" s="19" t="n">
        <f aca="false">[2]грн!as53*1.07</f>
        <v>631.3</v>
      </c>
    </row>
    <row r="54" customFormat="false" ht="15" hidden="false" customHeight="false" outlineLevel="0" collapsed="false">
      <c r="A54" s="17" t="s">
        <v>44</v>
      </c>
      <c r="B54" s="18" t="s">
        <v>10</v>
      </c>
      <c r="C54" s="18" t="s">
        <v>62</v>
      </c>
      <c r="D54" s="15" t="n">
        <f aca="false">[2]грн!f54-[2]грн!aq54-[2]грн!ap54-[2]грн!ao54-[2]грн!an54-[2]грн!am54-[2]грн!al54-[2]грн!aj54-[2]грн!ai54-[2]грн!ah54-[2]грн!ag54-[2]грн!af54-[2]грн!ad54-[2]грн!ac54-[2]грн!ab54-[2]грн!aa54-[2]грн!z54-[2]грн!x54-[2]грн!w54-[2]грн!v54-[2]грн!u54-[2]грн!t54-[2]грн!r54-[2]грн!q54-[2]грн!p54-[2]грн!o54-[2]грн!n54-[2]грн!l54-[2]грн!k54-[2]грн!j54-[2]грн!i54-[2]грн!h54+[2]грн!g54+[2]грн!m54+[2]грн!s54+[2]грн!y54+[2]грн!ae54+[2]грн!ak54</f>
        <v>2</v>
      </c>
      <c r="E54" s="19" t="n">
        <f aca="false">[2]грн!as54*1.07</f>
        <v>620.6</v>
      </c>
    </row>
    <row r="55" customFormat="false" ht="15" hidden="false" customHeight="false" outlineLevel="0" collapsed="false">
      <c r="A55" s="17" t="s">
        <v>44</v>
      </c>
      <c r="B55" s="18" t="s">
        <v>10</v>
      </c>
      <c r="C55" s="18" t="s">
        <v>63</v>
      </c>
      <c r="D55" s="15" t="n">
        <f aca="false">[2]грн!f55-[2]грн!aq55-[2]грн!ap55-[2]грн!ao55-[2]грн!an55-[2]грн!am55-[2]грн!al55-[2]грн!aj55-[2]грн!ai55-[2]грн!ah55-[2]грн!ag55-[2]грн!af55-[2]грн!ad55-[2]грн!ac55-[2]грн!ab55-[2]грн!aa55-[2]грн!z55-[2]грн!x55-[2]грн!w55-[2]грн!v55-[2]грн!u55-[2]грн!t55-[2]грн!r55-[2]грн!q55-[2]грн!p55-[2]грн!o55-[2]грн!n55-[2]грн!l55-[2]грн!k55-[2]грн!j55-[2]грн!i55-[2]грн!h55+[2]грн!g55+[2]грн!m55+[2]грн!s55+[2]грн!y55+[2]грн!ae55+[2]грн!ak55</f>
        <v>34</v>
      </c>
      <c r="E55" s="19" t="n">
        <f aca="false">[2]грн!as55*1.07</f>
        <v>642</v>
      </c>
    </row>
    <row r="56" customFormat="false" ht="15" hidden="false" customHeight="false" outlineLevel="0" collapsed="false">
      <c r="A56" s="17" t="s">
        <v>44</v>
      </c>
      <c r="B56" s="18" t="s">
        <v>10</v>
      </c>
      <c r="C56" s="18" t="s">
        <v>64</v>
      </c>
      <c r="D56" s="15" t="n">
        <f aca="false">[2]грн!f56-[2]грн!aq56-[2]грн!ap56-[2]грн!ao56-[2]грн!an56-[2]грн!am56-[2]грн!al56-[2]грн!aj56-[2]грн!ai56-[2]грн!ah56-[2]грн!ag56-[2]грн!af56-[2]грн!ad56-[2]грн!ac56-[2]грн!ab56-[2]грн!aa56-[2]грн!z56-[2]грн!x56-[2]грн!w56-[2]грн!v56-[2]грн!u56-[2]грн!t56-[2]грн!r56-[2]грн!q56-[2]грн!p56-[2]грн!o56-[2]грн!n56-[2]грн!l56-[2]грн!k56-[2]грн!j56-[2]грн!i56-[2]грн!h56+[2]грн!g56+[2]грн!m56+[2]грн!s56+[2]грн!y56+[2]грн!ae56+[2]грн!ak56</f>
        <v>19</v>
      </c>
      <c r="E56" s="19" t="n">
        <f aca="false">[2]грн!as56*1.07</f>
        <v>684.8</v>
      </c>
    </row>
    <row r="57" customFormat="false" ht="15" hidden="false" customHeight="false" outlineLevel="0" collapsed="false">
      <c r="A57" s="17" t="s">
        <v>44</v>
      </c>
      <c r="B57" s="18" t="s">
        <v>10</v>
      </c>
      <c r="C57" s="18" t="s">
        <v>65</v>
      </c>
      <c r="D57" s="15" t="n">
        <f aca="false">[2]грн!f57-[2]грн!aq57-[2]грн!ap57-[2]грн!ao57-[2]грн!an57-[2]грн!am57-[2]грн!al57-[2]грн!aj57-[2]грн!ai57-[2]грн!ah57-[2]грн!ag57-[2]грн!af57-[2]грн!ad57-[2]грн!ac57-[2]грн!ab57-[2]грн!aa57-[2]грн!z57-[2]грн!x57-[2]грн!w57-[2]грн!v57-[2]грн!u57-[2]грн!t57-[2]грн!r57-[2]грн!q57-[2]грн!p57-[2]грн!o57-[2]грн!n57-[2]грн!l57-[2]грн!k57-[2]грн!j57-[2]грн!i57-[2]грн!h57+[2]грн!g57+[2]грн!m57+[2]грн!s57+[2]грн!y57+[2]грн!ae57+[2]грн!ak57</f>
        <v>92</v>
      </c>
      <c r="E57" s="19" t="n">
        <f aca="false">[2]грн!as57*1.07</f>
        <v>674.1</v>
      </c>
    </row>
    <row r="58" customFormat="false" ht="15" hidden="false" customHeight="false" outlineLevel="0" collapsed="false">
      <c r="A58" s="17" t="s">
        <v>44</v>
      </c>
      <c r="B58" s="18" t="s">
        <v>10</v>
      </c>
      <c r="C58" s="18" t="s">
        <v>66</v>
      </c>
      <c r="D58" s="15" t="n">
        <f aca="false">[2]грн!f58-[2]грн!aq58-[2]грн!ap58-[2]грн!ao58-[2]грн!an58-[2]грн!am58-[2]грн!al58-[2]грн!aj58-[2]грн!ai58-[2]грн!ah58-[2]грн!ag58-[2]грн!af58-[2]грн!ad58-[2]грн!ac58-[2]грн!ab58-[2]грн!aa58-[2]грн!z58-[2]грн!x58-[2]грн!w58-[2]грн!v58-[2]грн!u58-[2]грн!t58-[2]грн!r58-[2]грн!q58-[2]грн!p58-[2]грн!o58-[2]грн!n58-[2]грн!l58-[2]грн!k58-[2]грн!j58-[2]грн!i58-[2]грн!h58+[2]грн!g58+[2]грн!m58+[2]грн!s58+[2]грн!y58+[2]грн!ae58+[2]грн!ak58</f>
        <v>6</v>
      </c>
      <c r="E58" s="19" t="n">
        <f aca="false">[2]грн!as58*1.07</f>
        <v>706.2</v>
      </c>
    </row>
    <row r="59" customFormat="false" ht="15" hidden="false" customHeight="false" outlineLevel="0" collapsed="false">
      <c r="A59" s="23" t="s">
        <v>44</v>
      </c>
      <c r="B59" s="24" t="s">
        <v>10</v>
      </c>
      <c r="C59" s="24" t="s">
        <v>67</v>
      </c>
      <c r="D59" s="15" t="n">
        <f aca="false">[2]грн!f59-[2]грн!aq59-[2]грн!ap59-[2]грн!ao59-[2]грн!an59-[2]грн!am59-[2]грн!al59-[2]грн!aj59-[2]грн!ai59-[2]грн!ah59-[2]грн!ag59-[2]грн!af59-[2]грн!ad59-[2]грн!ac59-[2]грн!ab59-[2]грн!aa59-[2]грн!z59-[2]грн!x59-[2]грн!w59-[2]грн!v59-[2]грн!u59-[2]грн!t59-[2]грн!r59-[2]грн!q59-[2]грн!p59-[2]грн!o59-[2]грн!n59-[2]грн!l59-[2]грн!k59-[2]грн!j59-[2]грн!i59-[2]грн!h59+[2]грн!g59+[2]грн!m59+[2]грн!s59+[2]грн!y59+[2]грн!ae59+[2]грн!ak59</f>
        <v>22</v>
      </c>
      <c r="E59" s="19" t="n">
        <f aca="false">[2]грн!as59*1.07</f>
        <v>663.4</v>
      </c>
    </row>
    <row r="60" customFormat="false" ht="15" hidden="false" customHeight="false" outlineLevel="0" collapsed="false">
      <c r="A60" s="23" t="s">
        <v>44</v>
      </c>
      <c r="B60" s="24" t="s">
        <v>10</v>
      </c>
      <c r="C60" s="34" t="s">
        <v>28</v>
      </c>
      <c r="D60" s="15" t="n">
        <f aca="false">[2]грн!f60-[2]грн!aq60-[2]грн!ap60-[2]грн!ao60-[2]грн!an60-[2]грн!am60-[2]грн!al60-[2]грн!aj60-[2]грн!ai60-[2]грн!ah60-[2]грн!ag60-[2]грн!af60-[2]грн!ad60-[2]грн!ac60-[2]грн!ab60-[2]грн!aa60-[2]грн!z60-[2]грн!x60-[2]грн!w60-[2]грн!v60-[2]грн!u60-[2]грн!t60-[2]грн!r60-[2]грн!q60-[2]грн!p60-[2]грн!o60-[2]грн!n60-[2]грн!l60-[2]грн!k60-[2]грн!j60-[2]грн!i60-[2]грн!h60+[2]грн!g60+[2]грн!m60+[2]грн!s60+[2]грн!y60+[2]грн!ae60+[2]грн!ak60</f>
        <v>6</v>
      </c>
      <c r="E60" s="19" t="n">
        <f aca="false">[2]грн!as60*1.07</f>
        <v>642</v>
      </c>
    </row>
    <row r="61" customFormat="false" ht="15" hidden="false" customHeight="false" outlineLevel="0" collapsed="false">
      <c r="A61" s="23" t="s">
        <v>44</v>
      </c>
      <c r="B61" s="24" t="s">
        <v>10</v>
      </c>
      <c r="C61" s="34" t="s">
        <v>68</v>
      </c>
      <c r="D61" s="15" t="n">
        <f aca="false">[2]грн!f61-[2]грн!aq61-[2]грн!ap61-[2]грн!ao61-[2]грн!an61-[2]грн!am61-[2]грн!al61-[2]грн!aj61-[2]грн!ai61-[2]грн!ah61-[2]грн!ag61-[2]грн!af61-[2]грн!ad61-[2]грн!ac61-[2]грн!ab61-[2]грн!aa61-[2]грн!z61-[2]грн!x61-[2]грн!w61-[2]грн!v61-[2]грн!u61-[2]грн!t61-[2]грн!r61-[2]грн!q61-[2]грн!p61-[2]грн!o61-[2]грн!n61-[2]грн!l61-[2]грн!k61-[2]грн!j61-[2]грн!i61-[2]грн!h61+[2]грн!g61+[2]грн!m61+[2]грн!s61+[2]грн!y61+[2]грн!ae61+[2]грн!ak61</f>
        <v>134</v>
      </c>
      <c r="E61" s="19" t="n">
        <f aca="false">[2]грн!as61*1.07</f>
        <v>642</v>
      </c>
    </row>
    <row r="62" customFormat="false" ht="15" hidden="false" customHeight="false" outlineLevel="0" collapsed="false">
      <c r="A62" s="23" t="s">
        <v>44</v>
      </c>
      <c r="B62" s="24" t="s">
        <v>10</v>
      </c>
      <c r="C62" s="34" t="s">
        <v>69</v>
      </c>
      <c r="D62" s="15" t="n">
        <f aca="false">[2]грн!f62-[2]грн!aq62-[2]грн!ap62-[2]грн!ao62-[2]грн!an62-[2]грн!am62-[2]грн!al62-[2]грн!aj62-[2]грн!ai62-[2]грн!ah62-[2]грн!ag62-[2]грн!af62-[2]грн!ad62-[2]грн!ac62-[2]грн!ab62-[2]грн!aa62-[2]грн!z62-[2]грн!x62-[2]грн!w62-[2]грн!v62-[2]грн!u62-[2]грн!t62-[2]грн!r62-[2]грн!q62-[2]грн!p62-[2]грн!o62-[2]грн!n62-[2]грн!l62-[2]грн!k62-[2]грн!j62-[2]грн!i62-[2]грн!h62+[2]грн!g62+[2]грн!m62+[2]грн!s62+[2]грн!y62+[2]грн!ae62+[2]грн!ak62</f>
        <v>12</v>
      </c>
      <c r="E62" s="19" t="n">
        <f aca="false">[2]грн!as62*1.07</f>
        <v>663.4</v>
      </c>
    </row>
    <row r="63" customFormat="false" ht="15" hidden="true" customHeight="false" outlineLevel="0" collapsed="false">
      <c r="A63" s="23" t="s">
        <v>44</v>
      </c>
      <c r="B63" s="24" t="s">
        <v>10</v>
      </c>
      <c r="C63" s="34" t="s">
        <v>70</v>
      </c>
      <c r="D63" s="15" t="n">
        <f aca="false">[2]грн!f63-[2]грн!aq63-[2]грн!ap63-[2]грн!ao63-[2]грн!an63-[2]грн!am63-[2]грн!al63-[2]грн!aj63-[2]грн!ai63-[2]грн!ah63-[2]грн!ag63-[2]грн!af63-[2]грн!ad63-[2]грн!ac63-[2]грн!ab63-[2]грн!aa63-[2]грн!z63-[2]грн!x63-[2]грн!w63-[2]грн!v63-[2]грн!u63-[2]грн!t63-[2]грн!r63-[2]грн!q63-[2]грн!p63-[2]грн!o63-[2]грн!n63-[2]грн!l63-[2]грн!k63-[2]грн!j63-[2]грн!i63-[2]грн!h63+[2]грн!g63+[2]грн!m63+[2]грн!s63+[2]грн!y63+[2]грн!ae63+[2]грн!ak63</f>
        <v>0</v>
      </c>
      <c r="E63" s="19" t="n">
        <f aca="false">[2]грн!as63*1.07</f>
        <v>802.5</v>
      </c>
    </row>
    <row r="64" customFormat="false" ht="15" hidden="false" customHeight="false" outlineLevel="0" collapsed="false">
      <c r="A64" s="23" t="s">
        <v>44</v>
      </c>
      <c r="B64" s="24" t="s">
        <v>10</v>
      </c>
      <c r="C64" s="34" t="s">
        <v>71</v>
      </c>
      <c r="D64" s="15" t="n">
        <f aca="false">[2]грн!f64-[2]грн!aq64-[2]грн!ap64-[2]грн!ao64-[2]грн!an64-[2]грн!am64-[2]грн!al64-[2]грн!aj64-[2]грн!ai64-[2]грн!ah64-[2]грн!ag64-[2]грн!af64-[2]грн!ad64-[2]грн!ac64-[2]грн!ab64-[2]грн!aa64-[2]грн!z64-[2]грн!x64-[2]грн!w64-[2]грн!v64-[2]грн!u64-[2]грн!t64-[2]грн!r64-[2]грн!q64-[2]грн!p64-[2]грн!o64-[2]грн!n64-[2]грн!l64-[2]грн!k64-[2]грн!j64-[2]грн!i64-[2]грн!h64+[2]грн!g64+[2]грн!m64+[2]грн!s64+[2]грн!y64+[2]грн!ae64+[2]грн!ak64</f>
        <v>42</v>
      </c>
      <c r="E64" s="19" t="n">
        <f aca="false">[2]грн!as64*1.07</f>
        <v>663.4</v>
      </c>
    </row>
    <row r="65" customFormat="false" ht="25.5" hidden="false" customHeight="false" outlineLevel="0" collapsed="false">
      <c r="A65" s="23" t="s">
        <v>44</v>
      </c>
      <c r="B65" s="24" t="s">
        <v>10</v>
      </c>
      <c r="C65" s="41" t="s">
        <v>72</v>
      </c>
      <c r="D65" s="15" t="n">
        <f aca="false">[2]грн!f65-[2]грн!aq65-[2]грн!ap65-[2]грн!ao65-[2]грн!an65-[2]грн!am65-[2]грн!al65-[2]грн!aj65-[2]грн!ai65-[2]грн!ah65-[2]грн!ag65-[2]грн!af65-[2]грн!ad65-[2]грн!ac65-[2]грн!ab65-[2]грн!aa65-[2]грн!z65-[2]грн!x65-[2]грн!w65-[2]грн!v65-[2]грн!u65-[2]грн!t65-[2]грн!r65-[2]грн!q65-[2]грн!p65-[2]грн!o65-[2]грн!n65-[2]грн!l65-[2]грн!k65-[2]грн!j65-[2]грн!i65-[2]грн!h65+[2]грн!g65+[2]грн!m65+[2]грн!s65+[2]грн!y65+[2]грн!ae65+[2]грн!ak65</f>
        <v>172</v>
      </c>
      <c r="E65" s="19" t="n">
        <f aca="false">[2]грн!as65*1.07</f>
        <v>749</v>
      </c>
    </row>
    <row r="66" customFormat="false" ht="15" hidden="false" customHeight="false" outlineLevel="0" collapsed="false">
      <c r="A66" s="37" t="str">
        <f aca="false">A65</f>
        <v>175.70/R13</v>
      </c>
      <c r="B66" s="38" t="str">
        <f aca="false">B65</f>
        <v>Rosava</v>
      </c>
      <c r="C66" s="41" t="s">
        <v>73</v>
      </c>
      <c r="D66" s="15" t="n">
        <f aca="false">[2]грн!f66-[2]грн!aq66-[2]грн!ap66-[2]грн!ao66-[2]грн!an66-[2]грн!am66-[2]грн!al66-[2]грн!aj66-[2]грн!ai66-[2]грн!ah66-[2]грн!ag66-[2]грн!af66-[2]грн!ad66-[2]грн!ac66-[2]грн!ab66-[2]грн!aa66-[2]грн!z66-[2]грн!x66-[2]грн!w66-[2]грн!v66-[2]грн!u66-[2]грн!t66-[2]грн!r66-[2]грн!q66-[2]грн!p66-[2]грн!o66-[2]грн!n66-[2]грн!l66-[2]грн!k66-[2]грн!j66-[2]грн!i66-[2]грн!h66+[2]грн!g66+[2]грн!m66+[2]грн!s66+[2]грн!y66+[2]грн!ae66+[2]грн!ak66</f>
        <v>2</v>
      </c>
      <c r="E66" s="19" t="n">
        <f aca="false">[2]грн!as66*1.07</f>
        <v>1070</v>
      </c>
    </row>
    <row r="67" customFormat="false" ht="15" hidden="false" customHeight="false" outlineLevel="0" collapsed="false">
      <c r="A67" s="37" t="str">
        <f aca="false">A66</f>
        <v>175.70/R13</v>
      </c>
      <c r="B67" s="38" t="s">
        <v>74</v>
      </c>
      <c r="C67" s="41" t="s">
        <v>75</v>
      </c>
      <c r="D67" s="15" t="n">
        <f aca="false">[2]грн!f67-[2]грн!aq67-[2]грн!ap67-[2]грн!ao67-[2]грн!an67-[2]грн!am67-[2]грн!al67-[2]грн!aj67-[2]грн!ai67-[2]грн!ah67-[2]грн!ag67-[2]грн!af67-[2]грн!ad67-[2]грн!ac67-[2]грн!ab67-[2]грн!aa67-[2]грн!z67-[2]грн!x67-[2]грн!w67-[2]грн!v67-[2]грн!u67-[2]грн!t67-[2]грн!r67-[2]грн!q67-[2]грн!p67-[2]грн!o67-[2]грн!n67-[2]грн!l67-[2]грн!k67-[2]грн!j67-[2]грн!i67-[2]грн!h67+[2]грн!g67+[2]грн!m67+[2]грн!s67+[2]грн!y67+[2]грн!ae67+[2]грн!ak67</f>
        <v>4</v>
      </c>
      <c r="E67" s="19" t="n">
        <f aca="false">[2]грн!as67*1.07</f>
        <v>963</v>
      </c>
    </row>
    <row r="68" customFormat="false" ht="15" hidden="false" customHeight="false" outlineLevel="0" collapsed="false">
      <c r="A68" s="42" t="s">
        <v>76</v>
      </c>
      <c r="B68" s="43" t="s">
        <v>10</v>
      </c>
      <c r="C68" s="43" t="s">
        <v>77</v>
      </c>
      <c r="D68" s="15" t="n">
        <f aca="false">[2]грн!f68-[2]грн!aq68-[2]грн!ap68-[2]грн!ao68-[2]грн!an68-[2]грн!am68-[2]грн!al68-[2]грн!aj68-[2]грн!ai68-[2]грн!ah68-[2]грн!ag68-[2]грн!af68-[2]грн!ad68-[2]грн!ac68-[2]грн!ab68-[2]грн!aa68-[2]грн!z68-[2]грн!x68-[2]грн!w68-[2]грн!v68-[2]грн!u68-[2]грн!t68-[2]грн!r68-[2]грн!q68-[2]грн!p68-[2]грн!o68-[2]грн!n68-[2]грн!l68-[2]грн!k68-[2]грн!j68-[2]грн!i68-[2]грн!h68+[2]грн!g68+[2]грн!m68+[2]грн!s68+[2]грн!y68+[2]грн!ae68+[2]грн!ak68</f>
        <v>2</v>
      </c>
      <c r="E68" s="44" t="n">
        <f aca="false">[2]грн!as68*1.07</f>
        <v>609.9</v>
      </c>
    </row>
    <row r="69" customFormat="false" ht="15" hidden="false" customHeight="false" outlineLevel="0" collapsed="false">
      <c r="A69" s="17" t="s">
        <v>76</v>
      </c>
      <c r="B69" s="18" t="s">
        <v>10</v>
      </c>
      <c r="C69" s="18" t="s">
        <v>77</v>
      </c>
      <c r="D69" s="15" t="n">
        <f aca="false">[2]грн!f69-[2]грн!aq69-[2]грн!ap69-[2]грн!ao69-[2]грн!an69-[2]грн!am69-[2]грн!al69-[2]грн!aj69-[2]грн!ai69-[2]грн!ah69-[2]грн!ag69-[2]грн!af69-[2]грн!ad69-[2]грн!ac69-[2]грн!ab69-[2]грн!aa69-[2]грн!z69-[2]грн!x69-[2]грн!w69-[2]грн!v69-[2]грн!u69-[2]грн!t69-[2]грн!r69-[2]грн!q69-[2]грн!p69-[2]грн!o69-[2]грн!n69-[2]грн!l69-[2]грн!k69-[2]грн!j69-[2]грн!i69-[2]грн!h69+[2]грн!g69+[2]грн!m69+[2]грн!s69+[2]грн!y69+[2]грн!ae69+[2]грн!ak69</f>
        <v>9</v>
      </c>
      <c r="E69" s="19" t="n">
        <f aca="false">[2]грн!as69*1.07</f>
        <v>652.7</v>
      </c>
    </row>
    <row r="70" customFormat="false" ht="15" hidden="false" customHeight="false" outlineLevel="0" collapsed="false">
      <c r="A70" s="23" t="s">
        <v>76</v>
      </c>
      <c r="B70" s="24" t="s">
        <v>10</v>
      </c>
      <c r="C70" s="38" t="s">
        <v>28</v>
      </c>
      <c r="D70" s="15" t="n">
        <f aca="false">[2]грн!f70-[2]грн!aq70-[2]грн!ap70-[2]грн!ao70-[2]грн!an70-[2]грн!am70-[2]грн!al70-[2]грн!aj70-[2]грн!ai70-[2]грн!ah70-[2]грн!ag70-[2]грн!af70-[2]грн!ad70-[2]грн!ac70-[2]грн!ab70-[2]грн!aa70-[2]грн!z70-[2]грн!x70-[2]грн!w70-[2]грн!v70-[2]грн!u70-[2]грн!t70-[2]грн!r70-[2]грн!q70-[2]грн!p70-[2]грн!o70-[2]грн!n70-[2]грн!l70-[2]грн!k70-[2]грн!j70-[2]грн!i70-[2]грн!h70+[2]грн!g70+[2]грн!m70+[2]грн!s70+[2]грн!y70+[2]грн!ae70+[2]грн!ak70</f>
        <v>12</v>
      </c>
      <c r="E70" s="19" t="n">
        <f aca="false">[2]грн!as70*1.07</f>
        <v>652.7</v>
      </c>
    </row>
    <row r="71" customFormat="false" ht="15" hidden="false" customHeight="false" outlineLevel="0" collapsed="false">
      <c r="A71" s="12" t="s">
        <v>78</v>
      </c>
      <c r="B71" s="20"/>
      <c r="C71" s="21"/>
      <c r="D71" s="15"/>
      <c r="E71" s="22" t="n">
        <f aca="false">[2]грн!as71*1.07</f>
        <v>0</v>
      </c>
    </row>
    <row r="72" customFormat="false" ht="15" hidden="false" customHeight="false" outlineLevel="0" collapsed="false">
      <c r="A72" s="45" t="s">
        <v>79</v>
      </c>
      <c r="B72" s="18" t="s">
        <v>10</v>
      </c>
      <c r="C72" s="28" t="s">
        <v>80</v>
      </c>
      <c r="D72" s="15" t="n">
        <f aca="false">[2]грн!f72-[2]грн!aq72-[2]грн!ap72-[2]грн!ao72-[2]грн!an72-[2]грн!am72-[2]грн!al72-[2]грн!aj72-[2]грн!ai72-[2]грн!ah72-[2]грн!ag72-[2]грн!af72-[2]грн!ad72-[2]грн!ac72-[2]грн!ab72-[2]грн!aa72-[2]грн!z72-[2]грн!x72-[2]грн!w72-[2]грн!v72-[2]грн!u72-[2]грн!t72-[2]грн!r72-[2]грн!q72-[2]грн!p72-[2]грн!o72-[2]грн!n72-[2]грн!l72-[2]грн!k72-[2]грн!j72-[2]грн!i72-[2]грн!h72+[2]грн!g72+[2]грн!m72+[2]грн!s72+[2]грн!y72+[2]грн!ae72+[2]грн!ak72</f>
        <v>2</v>
      </c>
      <c r="E72" s="19" t="n">
        <f aca="false">[2]грн!as72*1.07</f>
        <v>674.1</v>
      </c>
    </row>
    <row r="73" customFormat="false" ht="15" hidden="false" customHeight="false" outlineLevel="0" collapsed="false">
      <c r="A73" s="46" t="s">
        <v>79</v>
      </c>
      <c r="B73" s="24" t="s">
        <v>10</v>
      </c>
      <c r="C73" s="46" t="s">
        <v>71</v>
      </c>
      <c r="D73" s="15" t="n">
        <f aca="false">[2]грн!f73-[2]грн!aq73-[2]грн!ap73-[2]грн!ao73-[2]грн!an73-[2]грн!am73-[2]грн!al73-[2]грн!aj73-[2]грн!ai73-[2]грн!ah73-[2]грн!ag73-[2]грн!af73-[2]грн!ad73-[2]грн!ac73-[2]грн!ab73-[2]грн!aa73-[2]грн!z73-[2]грн!x73-[2]грн!w73-[2]грн!v73-[2]грн!u73-[2]грн!t73-[2]грн!r73-[2]грн!q73-[2]грн!p73-[2]грн!o73-[2]грн!n73-[2]грн!l73-[2]грн!k73-[2]грн!j73-[2]грн!i73-[2]грн!h73+[2]грн!g73+[2]грн!m73+[2]грн!s73+[2]грн!y73+[2]грн!ae73+[2]грн!ak73</f>
        <v>8</v>
      </c>
      <c r="E73" s="19" t="n">
        <f aca="false">[2]грн!as73*1.07</f>
        <v>652.7</v>
      </c>
    </row>
    <row r="74" customFormat="false" ht="15" hidden="true" customHeight="false" outlineLevel="0" collapsed="false">
      <c r="A74" s="23" t="s">
        <v>81</v>
      </c>
      <c r="B74" s="24" t="s">
        <v>82</v>
      </c>
      <c r="C74" s="24" t="s">
        <v>83</v>
      </c>
      <c r="D74" s="15" t="n">
        <f aca="false">[2]грн!f74-[2]грн!aq74-[2]грн!ap74-[2]грн!ao74-[2]грн!an74-[2]грн!am74-[2]грн!al74-[2]грн!aj74-[2]грн!ai74-[2]грн!ah74-[2]грн!ag74-[2]грн!af74-[2]грн!ad74-[2]грн!ac74-[2]грн!ab74-[2]грн!aa74-[2]грн!z74-[2]грн!x74-[2]грн!w74-[2]грн!v74-[2]грн!u74-[2]грн!t74-[2]грн!r74-[2]грн!q74-[2]грн!p74-[2]грн!o74-[2]грн!n74-[2]грн!l74-[2]грн!k74-[2]грн!j74-[2]грн!i74-[2]грн!h74+[2]грн!g74+[2]грн!m74+[2]грн!s74+[2]грн!y74+[2]грн!ae74+[2]грн!ak74</f>
        <v>0</v>
      </c>
      <c r="E74" s="19" t="n">
        <f aca="false">[2]грн!as74*1.07</f>
        <v>791.8</v>
      </c>
    </row>
    <row r="75" customFormat="false" ht="15" hidden="false" customHeight="false" outlineLevel="0" collapsed="false">
      <c r="A75" s="29" t="s">
        <v>81</v>
      </c>
      <c r="B75" s="26" t="s">
        <v>20</v>
      </c>
      <c r="C75" s="45" t="s">
        <v>84</v>
      </c>
      <c r="D75" s="15" t="n">
        <f aca="false">[2]грн!f75-[2]грн!aq75-[2]грн!ap75-[2]грн!ao75-[2]грн!an75-[2]грн!am75-[2]грн!al75-[2]грн!aj75-[2]грн!ai75-[2]грн!ah75-[2]грн!ag75-[2]грн!af75-[2]грн!ad75-[2]грн!ac75-[2]грн!ab75-[2]грн!aa75-[2]грн!z75-[2]грн!x75-[2]грн!w75-[2]грн!v75-[2]грн!u75-[2]грн!t75-[2]грн!r75-[2]грн!q75-[2]грн!p75-[2]грн!o75-[2]грн!n75-[2]грн!l75-[2]грн!k75-[2]грн!j75-[2]грн!i75-[2]грн!h75+[2]грн!g75+[2]грн!m75+[2]грн!s75+[2]грн!y75+[2]грн!ae75+[2]грн!ak75</f>
        <v>12</v>
      </c>
      <c r="E75" s="19" t="n">
        <f aca="false">[2]грн!as75*1.07</f>
        <v>727.6</v>
      </c>
    </row>
    <row r="76" customFormat="false" ht="15" hidden="true" customHeight="false" outlineLevel="0" collapsed="false">
      <c r="A76" s="46" t="s">
        <v>81</v>
      </c>
      <c r="B76" s="33" t="s">
        <v>20</v>
      </c>
      <c r="C76" s="46" t="s">
        <v>85</v>
      </c>
      <c r="D76" s="15" t="n">
        <f aca="false">[2]грн!f76-[2]грн!aq76-[2]грн!ap76-[2]грн!ao76-[2]грн!an76-[2]грн!am76-[2]грн!al76-[2]грн!aj76-[2]грн!ai76-[2]грн!ah76-[2]грн!ag76-[2]грн!af76-[2]грн!ad76-[2]грн!ac76-[2]грн!ab76-[2]грн!aa76-[2]грн!z76-[2]грн!x76-[2]грн!w76-[2]грн!v76-[2]грн!u76-[2]грн!t76-[2]грн!r76-[2]грн!q76-[2]грн!p76-[2]грн!o76-[2]грн!n76-[2]грн!l76-[2]грн!k76-[2]грн!j76-[2]грн!i76-[2]грн!h76+[2]грн!g76+[2]грн!m76+[2]грн!s76+[2]грн!y76+[2]грн!ae76+[2]грн!ak76</f>
        <v>0</v>
      </c>
      <c r="E76" s="19" t="n">
        <f aca="false">[2]грн!as76*1.07</f>
        <v>781.1</v>
      </c>
    </row>
    <row r="77" customFormat="false" ht="15" hidden="false" customHeight="false" outlineLevel="0" collapsed="false">
      <c r="A77" s="46" t="s">
        <v>81</v>
      </c>
      <c r="B77" s="33" t="s">
        <v>20</v>
      </c>
      <c r="C77" s="46" t="s">
        <v>86</v>
      </c>
      <c r="D77" s="15" t="n">
        <f aca="false">[2]грн!f77-[2]грн!aq77-[2]грн!ap77-[2]грн!ao77-[2]грн!an77-[2]грн!am77-[2]грн!al77-[2]грн!aj77-[2]грн!ai77-[2]грн!ah77-[2]грн!ag77-[2]грн!af77-[2]грн!ad77-[2]грн!ac77-[2]грн!ab77-[2]грн!aa77-[2]грн!z77-[2]грн!x77-[2]грн!w77-[2]грн!v77-[2]грн!u77-[2]грн!t77-[2]грн!r77-[2]грн!q77-[2]грн!p77-[2]грн!o77-[2]грн!n77-[2]грн!l77-[2]грн!k77-[2]грн!j77-[2]грн!i77-[2]грн!h77+[2]грн!g77+[2]грн!m77+[2]грн!s77+[2]грн!y77+[2]грн!ae77+[2]грн!ak77</f>
        <v>4</v>
      </c>
      <c r="E77" s="19" t="n">
        <f aca="false">[2]грн!as77*1.07</f>
        <v>813.2</v>
      </c>
    </row>
    <row r="78" customFormat="false" ht="15" hidden="true" customHeight="false" outlineLevel="0" collapsed="false">
      <c r="A78" s="17" t="s">
        <v>81</v>
      </c>
      <c r="B78" s="36" t="s">
        <v>17</v>
      </c>
      <c r="C78" s="47" t="s">
        <v>51</v>
      </c>
      <c r="D78" s="15" t="n">
        <f aca="false">[2]грн!f78-[2]грн!aq78-[2]грн!ap78-[2]грн!ao78-[2]грн!an78-[2]грн!am78-[2]грн!al78-[2]грн!aj78-[2]грн!ai78-[2]грн!ah78-[2]грн!ag78-[2]грн!af78-[2]грн!ad78-[2]грн!ac78-[2]грн!ab78-[2]грн!aa78-[2]грн!z78-[2]грн!x78-[2]грн!w78-[2]грн!v78-[2]грн!u78-[2]грн!t78-[2]грн!r78-[2]грн!q78-[2]грн!p78-[2]грн!o78-[2]грн!n78-[2]грн!l78-[2]грн!k78-[2]грн!j78-[2]грн!i78-[2]грн!h78+[2]грн!g78+[2]грн!m78+[2]грн!s78+[2]грн!y78+[2]грн!ae78+[2]грн!ak78</f>
        <v>0</v>
      </c>
      <c r="E78" s="19" t="n">
        <f aca="false">[2]грн!as78*1.07</f>
        <v>823.9</v>
      </c>
    </row>
    <row r="79" customFormat="false" ht="15" hidden="true" customHeight="false" outlineLevel="0" collapsed="false">
      <c r="A79" s="17" t="s">
        <v>81</v>
      </c>
      <c r="B79" s="36" t="s">
        <v>17</v>
      </c>
      <c r="C79" s="18" t="s">
        <v>87</v>
      </c>
      <c r="D79" s="15" t="n">
        <f aca="false">[2]грн!f79-[2]грн!aq79-[2]грн!ap79-[2]грн!ao79-[2]грн!an79-[2]грн!am79-[2]грн!al79-[2]грн!aj79-[2]грн!ai79-[2]грн!ah79-[2]грн!ag79-[2]грн!af79-[2]грн!ad79-[2]грн!ac79-[2]грн!ab79-[2]грн!aa79-[2]грн!z79-[2]грн!x79-[2]грн!w79-[2]грн!v79-[2]грн!u79-[2]грн!t79-[2]грн!r79-[2]грн!q79-[2]грн!p79-[2]грн!o79-[2]грн!n79-[2]грн!l79-[2]грн!k79-[2]грн!j79-[2]грн!i79-[2]грн!h79+[2]грн!g79+[2]грн!m79+[2]грн!s79+[2]грн!y79+[2]грн!ae79+[2]грн!ak79</f>
        <v>0</v>
      </c>
      <c r="E79" s="19" t="n">
        <f aca="false">[2]грн!as79*1.07</f>
        <v>674.1</v>
      </c>
    </row>
    <row r="80" customFormat="false" ht="15" hidden="true" customHeight="false" outlineLevel="0" collapsed="false">
      <c r="A80" s="17" t="s">
        <v>81</v>
      </c>
      <c r="B80" s="36" t="s">
        <v>17</v>
      </c>
      <c r="C80" s="28" t="s">
        <v>22</v>
      </c>
      <c r="D80" s="15" t="n">
        <f aca="false">[2]грн!f80-[2]грн!aq80-[2]грн!ap80-[2]грн!ao80-[2]грн!an80-[2]грн!am80-[2]грн!al80-[2]грн!aj80-[2]грн!ai80-[2]грн!ah80-[2]грн!ag80-[2]грн!af80-[2]грн!ad80-[2]грн!ac80-[2]грн!ab80-[2]грн!aa80-[2]грн!z80-[2]грн!x80-[2]грн!w80-[2]грн!v80-[2]грн!u80-[2]грн!t80-[2]грн!r80-[2]грн!q80-[2]грн!p80-[2]грн!o80-[2]грн!n80-[2]грн!l80-[2]грн!k80-[2]грн!j80-[2]грн!i80-[2]грн!h80+[2]грн!g80+[2]грн!m80+[2]грн!s80+[2]грн!y80+[2]грн!ae80+[2]грн!ak80</f>
        <v>0</v>
      </c>
      <c r="E80" s="19" t="n">
        <f aca="false">[2]грн!as80*1.07</f>
        <v>823.9</v>
      </c>
    </row>
    <row r="81" customFormat="false" ht="15" hidden="true" customHeight="false" outlineLevel="0" collapsed="false">
      <c r="A81" s="23" t="s">
        <v>81</v>
      </c>
      <c r="B81" s="38" t="s">
        <v>17</v>
      </c>
      <c r="C81" s="39" t="s">
        <v>53</v>
      </c>
      <c r="D81" s="15" t="n">
        <f aca="false">[2]грн!f81-[2]грн!aq81-[2]грн!ap81-[2]грн!ao81-[2]грн!an81-[2]грн!am81-[2]грн!al81-[2]грн!aj81-[2]грн!ai81-[2]грн!ah81-[2]грн!ag81-[2]грн!af81-[2]грн!ad81-[2]грн!ac81-[2]грн!ab81-[2]грн!aa81-[2]грн!z81-[2]грн!x81-[2]грн!w81-[2]грн!v81-[2]грн!u81-[2]грн!t81-[2]грн!r81-[2]грн!q81-[2]грн!p81-[2]грн!o81-[2]грн!n81-[2]грн!l81-[2]грн!k81-[2]грн!j81-[2]грн!i81-[2]грн!h81+[2]грн!g81+[2]грн!m81+[2]грн!s81+[2]грн!y81+[2]грн!ae81+[2]грн!ak81</f>
        <v>0</v>
      </c>
      <c r="E81" s="19" t="n">
        <f aca="false">[2]грн!as81*1.07</f>
        <v>791.8</v>
      </c>
    </row>
    <row r="82" customFormat="false" ht="15" hidden="false" customHeight="false" outlineLevel="0" collapsed="false">
      <c r="A82" s="23" t="s">
        <v>81</v>
      </c>
      <c r="B82" s="38" t="s">
        <v>17</v>
      </c>
      <c r="C82" s="39" t="s">
        <v>52</v>
      </c>
      <c r="D82" s="15" t="n">
        <f aca="false">[2]грн!f82-[2]грн!aq82-[2]грн!ap82-[2]грн!ao82-[2]грн!an82-[2]грн!am82-[2]грн!al82-[2]грн!aj82-[2]грн!ai82-[2]грн!ah82-[2]грн!ag82-[2]грн!af82-[2]грн!ad82-[2]грн!ac82-[2]грн!ab82-[2]грн!aa82-[2]грн!z82-[2]грн!x82-[2]грн!w82-[2]грн!v82-[2]грн!u82-[2]грн!t82-[2]грн!r82-[2]грн!q82-[2]грн!p82-[2]грн!o82-[2]грн!n82-[2]грн!l82-[2]грн!k82-[2]грн!j82-[2]грн!i82-[2]грн!h82+[2]грн!g82+[2]грн!m82+[2]грн!s82+[2]грн!y82+[2]грн!ae82+[2]грн!ak82</f>
        <v>134</v>
      </c>
      <c r="E82" s="19" t="n">
        <f aca="false">[2]грн!as82*1.07</f>
        <v>856</v>
      </c>
    </row>
    <row r="83" customFormat="false" ht="15" hidden="false" customHeight="false" outlineLevel="0" collapsed="false">
      <c r="A83" s="23" t="s">
        <v>81</v>
      </c>
      <c r="B83" s="38" t="s">
        <v>17</v>
      </c>
      <c r="C83" s="24" t="s">
        <v>88</v>
      </c>
      <c r="D83" s="15" t="n">
        <f aca="false">[2]грн!f83-[2]грн!aq83-[2]грн!ap83-[2]грн!ao83-[2]грн!an83-[2]грн!am83-[2]грн!al83-[2]грн!aj83-[2]грн!ai83-[2]грн!ah83-[2]грн!ag83-[2]грн!af83-[2]грн!ad83-[2]грн!ac83-[2]грн!ab83-[2]грн!aa83-[2]грн!z83-[2]грн!x83-[2]грн!w83-[2]грн!v83-[2]грн!u83-[2]грн!t83-[2]грн!r83-[2]грн!q83-[2]грн!p83-[2]грн!o83-[2]грн!n83-[2]грн!l83-[2]грн!k83-[2]грн!j83-[2]грн!i83-[2]грн!h83+[2]грн!g83+[2]грн!m83+[2]грн!s83+[2]грн!y83+[2]грн!ae83+[2]грн!ak83</f>
        <v>4</v>
      </c>
      <c r="E83" s="19" t="n">
        <f aca="false">[2]грн!as83*1.07</f>
        <v>1070</v>
      </c>
    </row>
    <row r="84" customFormat="false" ht="15" hidden="true" customHeight="false" outlineLevel="0" collapsed="false">
      <c r="A84" s="23" t="s">
        <v>81</v>
      </c>
      <c r="B84" s="38" t="s">
        <v>17</v>
      </c>
      <c r="C84" s="24" t="s">
        <v>89</v>
      </c>
      <c r="D84" s="15" t="n">
        <f aca="false">[2]грн!f84-[2]грн!aq84-[2]грн!ap84-[2]грн!ao84-[2]грн!an84-[2]грн!am84-[2]грн!al84-[2]грн!aj84-[2]грн!ai84-[2]грн!ah84-[2]грн!ag84-[2]грн!af84-[2]грн!ad84-[2]грн!ac84-[2]грн!ab84-[2]грн!aa84-[2]грн!z84-[2]грн!x84-[2]грн!w84-[2]грн!v84-[2]грн!u84-[2]грн!t84-[2]грн!r84-[2]грн!q84-[2]грн!p84-[2]грн!o84-[2]грн!n84-[2]грн!l84-[2]грн!k84-[2]грн!j84-[2]грн!i84-[2]грн!h84+[2]грн!g84+[2]грн!m84+[2]грн!s84+[2]грн!y84+[2]грн!ae84+[2]грн!ak84</f>
        <v>0</v>
      </c>
      <c r="E84" s="19" t="n">
        <f aca="false">[2]грн!as84*1.07</f>
        <v>802.5</v>
      </c>
    </row>
    <row r="85" customFormat="false" ht="15" hidden="false" customHeight="false" outlineLevel="0" collapsed="false">
      <c r="A85" s="23" t="s">
        <v>81</v>
      </c>
      <c r="B85" s="38" t="s">
        <v>17</v>
      </c>
      <c r="C85" s="48" t="s">
        <v>23</v>
      </c>
      <c r="D85" s="15" t="n">
        <f aca="false">[2]грн!f85-[2]грн!aq85-[2]грн!ap85-[2]грн!ao85-[2]грн!an85-[2]грн!am85-[2]грн!al85-[2]грн!aj85-[2]грн!ai85-[2]грн!ah85-[2]грн!ag85-[2]грн!af85-[2]грн!ad85-[2]грн!ac85-[2]грн!ab85-[2]грн!aa85-[2]грн!z85-[2]грн!x85-[2]грн!w85-[2]грн!v85-[2]грн!u85-[2]грн!t85-[2]грн!r85-[2]грн!q85-[2]грн!p85-[2]грн!o85-[2]грн!n85-[2]грн!l85-[2]грн!k85-[2]грн!j85-[2]грн!i85-[2]грн!h85+[2]грн!g85+[2]грн!m85+[2]грн!s85+[2]грн!y85+[2]грн!ae85+[2]грн!ak85</f>
        <v>46</v>
      </c>
      <c r="E85" s="19" t="n">
        <f aca="false">[2]грн!as85*1.07</f>
        <v>856</v>
      </c>
    </row>
    <row r="86" customFormat="false" ht="15" hidden="false" customHeight="false" outlineLevel="0" collapsed="false">
      <c r="A86" s="17" t="s">
        <v>81</v>
      </c>
      <c r="B86" s="18" t="s">
        <v>14</v>
      </c>
      <c r="C86" s="40" t="s">
        <v>57</v>
      </c>
      <c r="D86" s="15" t="n">
        <f aca="false">[2]грн!f86-[2]грн!aq86-[2]грн!ap86-[2]грн!ao86-[2]грн!an86-[2]грн!am86-[2]грн!al86-[2]грн!aj86-[2]грн!ai86-[2]грн!ah86-[2]грн!ag86-[2]грн!af86-[2]грн!ad86-[2]грн!ac86-[2]грн!ab86-[2]грн!aa86-[2]грн!z86-[2]грн!x86-[2]грн!w86-[2]грн!v86-[2]грн!u86-[2]грн!t86-[2]грн!r86-[2]грн!q86-[2]грн!p86-[2]грн!o86-[2]грн!n86-[2]грн!l86-[2]грн!k86-[2]грн!j86-[2]грн!i86-[2]грн!h86+[2]грн!g86+[2]грн!m86+[2]грн!s86+[2]грн!y86+[2]грн!ae86+[2]грн!ak86</f>
        <v>6</v>
      </c>
      <c r="E86" s="19" t="n">
        <f aca="false">[2]грн!as86*1.07</f>
        <v>759.7</v>
      </c>
    </row>
    <row r="87" customFormat="false" ht="15" hidden="false" customHeight="false" outlineLevel="0" collapsed="false">
      <c r="A87" s="17" t="s">
        <v>81</v>
      </c>
      <c r="B87" s="18" t="s">
        <v>14</v>
      </c>
      <c r="C87" s="18" t="n">
        <v>217</v>
      </c>
      <c r="D87" s="15" t="n">
        <f aca="false">[2]грн!f87-[2]грн!aq87-[2]грн!ap87-[2]грн!ao87-[2]грн!an87-[2]грн!am87-[2]грн!al87-[2]грн!aj87-[2]грн!ai87-[2]грн!ah87-[2]грн!ag87-[2]грн!af87-[2]грн!ad87-[2]грн!ac87-[2]грн!ab87-[2]грн!aa87-[2]грн!z87-[2]грн!x87-[2]грн!w87-[2]грн!v87-[2]грн!u87-[2]грн!t87-[2]грн!r87-[2]грн!q87-[2]грн!p87-[2]грн!o87-[2]грн!n87-[2]грн!l87-[2]грн!k87-[2]грн!j87-[2]грн!i87-[2]грн!h87+[2]грн!g87+[2]грн!m87+[2]грн!s87+[2]грн!y87+[2]грн!ae87+[2]грн!ak87</f>
        <v>34</v>
      </c>
      <c r="E87" s="19" t="n">
        <f aca="false">[2]грн!as87*1.07</f>
        <v>749</v>
      </c>
    </row>
    <row r="88" customFormat="false" ht="15" hidden="true" customHeight="false" outlineLevel="0" collapsed="false">
      <c r="A88" s="23" t="s">
        <v>81</v>
      </c>
      <c r="B88" s="24" t="s">
        <v>14</v>
      </c>
      <c r="C88" s="24" t="s">
        <v>90</v>
      </c>
      <c r="D88" s="15" t="n">
        <f aca="false">[2]грн!f88-[2]грн!aq88-[2]грн!ap88-[2]грн!ao88-[2]грн!an88-[2]грн!am88-[2]грн!al88-[2]грн!aj88-[2]грн!ai88-[2]грн!ah88-[2]грн!ag88-[2]грн!af88-[2]грн!ad88-[2]грн!ac88-[2]грн!ab88-[2]грн!aa88-[2]грн!z88-[2]грн!x88-[2]грн!w88-[2]грн!v88-[2]грн!u88-[2]грн!t88-[2]грн!r88-[2]грн!q88-[2]грн!p88-[2]грн!o88-[2]грн!n88-[2]грн!l88-[2]грн!k88-[2]грн!j88-[2]грн!i88-[2]грн!h88+[2]грн!g88+[2]грн!m88+[2]грн!s88+[2]грн!y88+[2]грн!ae88+[2]грн!ak88</f>
        <v>0</v>
      </c>
      <c r="E88" s="19" t="n">
        <f aca="false">[2]грн!as88*1.07</f>
        <v>781.1</v>
      </c>
    </row>
    <row r="89" customFormat="false" ht="15" hidden="false" customHeight="false" outlineLevel="0" collapsed="false">
      <c r="A89" s="23" t="s">
        <v>81</v>
      </c>
      <c r="B89" s="24" t="s">
        <v>14</v>
      </c>
      <c r="C89" s="24" t="s">
        <v>91</v>
      </c>
      <c r="D89" s="15" t="n">
        <f aca="false">[2]грн!f89-[2]грн!aq89-[2]грн!ap89-[2]грн!ao89-[2]грн!an89-[2]грн!am89-[2]грн!al89-[2]грн!aj89-[2]грн!ai89-[2]грн!ah89-[2]грн!ag89-[2]грн!af89-[2]грн!ad89-[2]грн!ac89-[2]грн!ab89-[2]грн!aa89-[2]грн!z89-[2]грн!x89-[2]грн!w89-[2]грн!v89-[2]грн!u89-[2]грн!t89-[2]грн!r89-[2]грн!q89-[2]грн!p89-[2]грн!o89-[2]грн!n89-[2]грн!l89-[2]грн!k89-[2]грн!j89-[2]грн!i89-[2]грн!h89+[2]грн!g89+[2]грн!m89+[2]грн!s89+[2]грн!y89+[2]грн!ae89+[2]грн!ak89</f>
        <v>2</v>
      </c>
      <c r="E89" s="19" t="n">
        <f aca="false">[2]грн!as89*1.07</f>
        <v>963</v>
      </c>
    </row>
    <row r="90" customFormat="false" ht="15" hidden="true" customHeight="false" outlineLevel="0" collapsed="false">
      <c r="A90" s="29" t="s">
        <v>81</v>
      </c>
      <c r="B90" s="18" t="s">
        <v>10</v>
      </c>
      <c r="C90" s="28" t="s">
        <v>92</v>
      </c>
      <c r="D90" s="15" t="n">
        <f aca="false">[2]грн!f90-[2]грн!aq90-[2]грн!ap90-[2]грн!ao90-[2]грн!an90-[2]грн!am90-[2]грн!al90-[2]грн!aj90-[2]грн!ai90-[2]грн!ah90-[2]грн!ag90-[2]грн!af90-[2]грн!ad90-[2]грн!ac90-[2]грн!ab90-[2]грн!aa90-[2]грн!z90-[2]грн!x90-[2]грн!w90-[2]грн!v90-[2]грн!u90-[2]грн!t90-[2]грн!r90-[2]грн!q90-[2]грн!p90-[2]грн!o90-[2]грн!n90-[2]грн!l90-[2]грн!k90-[2]грн!j90-[2]грн!i90-[2]грн!h90+[2]грн!g90+[2]грн!m90+[2]грн!s90+[2]грн!y90+[2]грн!ae90+[2]грн!ak90</f>
        <v>0</v>
      </c>
      <c r="E90" s="19" t="n">
        <f aca="false">[2]грн!as90*1.07</f>
        <v>642</v>
      </c>
    </row>
    <row r="91" customFormat="false" ht="15" hidden="true" customHeight="false" outlineLevel="0" collapsed="false">
      <c r="A91" s="29" t="s">
        <v>81</v>
      </c>
      <c r="B91" s="18" t="s">
        <v>10</v>
      </c>
      <c r="C91" s="18" t="s">
        <v>63</v>
      </c>
      <c r="D91" s="15" t="n">
        <f aca="false">[2]грн!f91-[2]грн!aq91-[2]грн!ap91-[2]грн!ao91-[2]грн!an91-[2]грн!am91-[2]грн!al91-[2]грн!aj91-[2]грн!ai91-[2]грн!ah91-[2]грн!ag91-[2]грн!af91-[2]грн!ad91-[2]грн!ac91-[2]грн!ab91-[2]грн!aa91-[2]грн!z91-[2]грн!x91-[2]грн!w91-[2]грн!v91-[2]грн!u91-[2]грн!t91-[2]грн!r91-[2]грн!q91-[2]грн!p91-[2]грн!o91-[2]грн!n91-[2]грн!l91-[2]грн!k91-[2]грн!j91-[2]грн!i91-[2]грн!h91+[2]грн!g91+[2]грн!m91+[2]грн!s91+[2]грн!y91+[2]грн!ae91+[2]грн!ak91</f>
        <v>0</v>
      </c>
      <c r="E91" s="19" t="n">
        <f aca="false">[2]грн!as91*1.07</f>
        <v>663.4</v>
      </c>
    </row>
    <row r="92" customFormat="false" ht="15" hidden="false" customHeight="false" outlineLevel="0" collapsed="false">
      <c r="A92" s="29" t="s">
        <v>81</v>
      </c>
      <c r="B92" s="18" t="s">
        <v>10</v>
      </c>
      <c r="C92" s="28" t="s">
        <v>65</v>
      </c>
      <c r="D92" s="15" t="n">
        <f aca="false">[2]грн!f92-[2]грн!aq92-[2]грн!ap92-[2]грн!ao92-[2]грн!an92-[2]грн!am92-[2]грн!al92-[2]грн!aj92-[2]грн!ai92-[2]грн!ah92-[2]грн!ag92-[2]грн!af92-[2]грн!ad92-[2]грн!ac92-[2]грн!ab92-[2]грн!aa92-[2]грн!z92-[2]грн!x92-[2]грн!w92-[2]грн!v92-[2]грн!u92-[2]грн!t92-[2]грн!r92-[2]грн!q92-[2]грн!p92-[2]грн!o92-[2]грн!n92-[2]грн!l92-[2]грн!k92-[2]грн!j92-[2]грн!i92-[2]грн!h92+[2]грн!g92+[2]грн!m92+[2]грн!s92+[2]грн!y92+[2]грн!ae92+[2]грн!ak92</f>
        <v>24</v>
      </c>
      <c r="E92" s="19" t="n">
        <f aca="false">[2]грн!as92*1.07</f>
        <v>684.8</v>
      </c>
    </row>
    <row r="93" customFormat="false" ht="15" hidden="false" customHeight="false" outlineLevel="0" collapsed="false">
      <c r="A93" s="29" t="s">
        <v>81</v>
      </c>
      <c r="B93" s="18" t="s">
        <v>10</v>
      </c>
      <c r="C93" s="28" t="s">
        <v>80</v>
      </c>
      <c r="D93" s="15" t="n">
        <f aca="false">[2]грн!f93-[2]грн!aq93-[2]грн!ap93-[2]грн!ao93-[2]грн!an93-[2]грн!am93-[2]грн!al93-[2]грн!aj93-[2]грн!ai93-[2]грн!ah93-[2]грн!ag93-[2]грн!af93-[2]грн!ad93-[2]грн!ac93-[2]грн!ab93-[2]грн!aa93-[2]грн!z93-[2]грн!x93-[2]грн!w93-[2]грн!v93-[2]грн!u93-[2]грн!t93-[2]грн!r93-[2]грн!q93-[2]грн!p93-[2]грн!o93-[2]грн!n93-[2]грн!l93-[2]грн!k93-[2]грн!j93-[2]грн!i93-[2]грн!h93+[2]грн!g93+[2]грн!m93+[2]грн!s93+[2]грн!y93+[2]грн!ae93+[2]грн!ak93</f>
        <v>13</v>
      </c>
      <c r="E93" s="19" t="n">
        <f aca="false">[2]грн!as93*1.07</f>
        <v>684.8</v>
      </c>
    </row>
    <row r="94" customFormat="false" ht="15" hidden="false" customHeight="false" outlineLevel="0" collapsed="false">
      <c r="A94" s="46" t="s">
        <v>81</v>
      </c>
      <c r="B94" s="24" t="s">
        <v>10</v>
      </c>
      <c r="C94" s="39" t="s">
        <v>93</v>
      </c>
      <c r="D94" s="15" t="n">
        <f aca="false">[2]грн!f94-[2]грн!aq94-[2]грн!ap94-[2]грн!ao94-[2]грн!an94-[2]грн!am94-[2]грн!al94-[2]грн!aj94-[2]грн!ai94-[2]грн!ah94-[2]грн!ag94-[2]грн!af94-[2]грн!ad94-[2]грн!ac94-[2]грн!ab94-[2]грн!aa94-[2]грн!z94-[2]грн!x94-[2]грн!w94-[2]грн!v94-[2]грн!u94-[2]грн!t94-[2]грн!r94-[2]грн!q94-[2]грн!p94-[2]грн!o94-[2]грн!n94-[2]грн!l94-[2]грн!k94-[2]грн!j94-[2]грн!i94-[2]грн!h94+[2]грн!g94+[2]грн!m94+[2]грн!s94+[2]грн!y94+[2]грн!ae94+[2]грн!ak94</f>
        <v>24</v>
      </c>
      <c r="E94" s="19" t="n">
        <f aca="false">[2]грн!as94*1.07</f>
        <v>770.4</v>
      </c>
    </row>
    <row r="95" customFormat="false" ht="15" hidden="false" customHeight="false" outlineLevel="0" collapsed="false">
      <c r="A95" s="46" t="s">
        <v>81</v>
      </c>
      <c r="B95" s="24" t="s">
        <v>10</v>
      </c>
      <c r="C95" s="39" t="s">
        <v>69</v>
      </c>
      <c r="D95" s="15" t="n">
        <f aca="false">[2]грн!f95-[2]грн!aq95-[2]грн!ap95-[2]грн!ao95-[2]грн!an95-[2]грн!am95-[2]грн!al95-[2]грн!aj95-[2]грн!ai95-[2]грн!ah95-[2]грн!ag95-[2]грн!af95-[2]грн!ad95-[2]грн!ac95-[2]грн!ab95-[2]грн!aa95-[2]грн!z95-[2]грн!x95-[2]грн!w95-[2]грн!v95-[2]грн!u95-[2]грн!t95-[2]грн!r95-[2]грн!q95-[2]грн!p95-[2]грн!o95-[2]грн!n95-[2]грн!l95-[2]грн!k95-[2]грн!j95-[2]грн!i95-[2]грн!h95+[2]грн!g95+[2]грн!m95+[2]грн!s95+[2]грн!y95+[2]грн!ae95+[2]грн!ak95</f>
        <v>20</v>
      </c>
      <c r="E95" s="19" t="n">
        <f aca="false">[2]грн!as95*1.07</f>
        <v>674.1</v>
      </c>
    </row>
    <row r="96" customFormat="false" ht="15" hidden="true" customHeight="false" outlineLevel="0" collapsed="false">
      <c r="A96" s="46" t="s">
        <v>81</v>
      </c>
      <c r="B96" s="24" t="s">
        <v>10</v>
      </c>
      <c r="C96" s="39" t="s">
        <v>70</v>
      </c>
      <c r="D96" s="15" t="n">
        <f aca="false">[2]грн!f96-[2]грн!aq96-[2]грн!ap96-[2]грн!ao96-[2]грн!an96-[2]грн!am96-[2]грн!al96-[2]грн!aj96-[2]грн!ai96-[2]грн!ah96-[2]грн!ag96-[2]грн!af96-[2]грн!ad96-[2]грн!ac96-[2]грн!ab96-[2]грн!aa96-[2]грн!z96-[2]грн!x96-[2]грн!w96-[2]грн!v96-[2]грн!u96-[2]грн!t96-[2]грн!r96-[2]грн!q96-[2]грн!p96-[2]грн!o96-[2]грн!n96-[2]грн!l96-[2]грн!k96-[2]грн!j96-[2]грн!i96-[2]грн!h96+[2]грн!g96+[2]грн!m96+[2]грн!s96+[2]грн!y96+[2]грн!ae96+[2]грн!ak96</f>
        <v>0</v>
      </c>
      <c r="E96" s="19" t="n">
        <f aca="false">[2]грн!as96*1.07</f>
        <v>856</v>
      </c>
    </row>
    <row r="97" customFormat="false" ht="15" hidden="false" customHeight="false" outlineLevel="0" collapsed="false">
      <c r="A97" s="46" t="s">
        <v>81</v>
      </c>
      <c r="B97" s="24" t="s">
        <v>10</v>
      </c>
      <c r="C97" s="39" t="s">
        <v>71</v>
      </c>
      <c r="D97" s="15" t="n">
        <f aca="false">[2]грн!f97-[2]грн!aq97-[2]грн!ap97-[2]грн!ao97-[2]грн!an97-[2]грн!am97-[2]грн!al97-[2]грн!aj97-[2]грн!ai97-[2]грн!ah97-[2]грн!ag97-[2]грн!af97-[2]грн!ad97-[2]грн!ac97-[2]грн!ab97-[2]грн!aa97-[2]грн!z97-[2]грн!x97-[2]грн!w97-[2]грн!v97-[2]грн!u97-[2]грн!t97-[2]грн!r97-[2]грн!q97-[2]грн!p97-[2]грн!o97-[2]грн!n97-[2]грн!l97-[2]грн!k97-[2]грн!j97-[2]грн!i97-[2]грн!h97+[2]грн!g97+[2]грн!m97+[2]грн!s97+[2]грн!y97+[2]грн!ae97+[2]грн!ak97</f>
        <v>20</v>
      </c>
      <c r="E97" s="19" t="n">
        <f aca="false">[2]грн!as97*1.07</f>
        <v>674.1</v>
      </c>
    </row>
    <row r="98" customFormat="false" ht="15" hidden="false" customHeight="false" outlineLevel="0" collapsed="false">
      <c r="A98" s="23" t="s">
        <v>81</v>
      </c>
      <c r="B98" s="24" t="s">
        <v>74</v>
      </c>
      <c r="C98" s="38" t="s">
        <v>94</v>
      </c>
      <c r="D98" s="15" t="n">
        <f aca="false">[2]грн!f98-[2]грн!aq98-[2]грн!ap98-[2]грн!ao98-[2]грн!an98-[2]грн!am98-[2]грн!al98-[2]грн!aj98-[2]грн!ai98-[2]грн!ah98-[2]грн!ag98-[2]грн!af98-[2]грн!ad98-[2]грн!ac98-[2]грн!ab98-[2]грн!aa98-[2]грн!z98-[2]грн!x98-[2]грн!w98-[2]грн!v98-[2]грн!u98-[2]грн!t98-[2]грн!r98-[2]грн!q98-[2]грн!p98-[2]грн!o98-[2]грн!n98-[2]грн!l98-[2]грн!k98-[2]грн!j98-[2]грн!i98-[2]грн!h98+[2]грн!g98+[2]грн!m98+[2]грн!s98+[2]грн!y98+[2]грн!ae98+[2]грн!ak98</f>
        <v>10</v>
      </c>
      <c r="E98" s="19" t="n">
        <f aca="false">[2]грн!as98*1.07</f>
        <v>963</v>
      </c>
    </row>
    <row r="99" customFormat="false" ht="15" hidden="true" customHeight="false" outlineLevel="0" collapsed="false">
      <c r="A99" s="17" t="s">
        <v>95</v>
      </c>
      <c r="B99" s="36" t="s">
        <v>17</v>
      </c>
      <c r="C99" s="18" t="s">
        <v>96</v>
      </c>
      <c r="D99" s="15" t="n">
        <f aca="false">[2]грн!f99-[2]грн!aq99-[2]грн!ap99-[2]грн!ao99-[2]грн!an99-[2]грн!am99-[2]грн!al99-[2]грн!aj99-[2]грн!ai99-[2]грн!ah99-[2]грн!ag99-[2]грн!af99-[2]грн!ad99-[2]грн!ac99-[2]грн!ab99-[2]грн!aa99-[2]грн!z99-[2]грн!x99-[2]грн!w99-[2]грн!v99-[2]грн!u99-[2]грн!t99-[2]грн!r99-[2]грн!q99-[2]грн!p99-[2]грн!o99-[2]грн!n99-[2]грн!l99-[2]грн!k99-[2]грн!j99-[2]грн!i99-[2]грн!h99+[2]грн!g99+[2]грн!m99+[2]грн!s99+[2]грн!y99+[2]грн!ae99+[2]грн!ak99</f>
        <v>0</v>
      </c>
      <c r="E99" s="19" t="n">
        <f aca="false">[2]грн!as99*1.07</f>
        <v>695.5</v>
      </c>
    </row>
    <row r="100" customFormat="false" ht="15" hidden="true" customHeight="false" outlineLevel="0" collapsed="false">
      <c r="A100" s="17" t="s">
        <v>95</v>
      </c>
      <c r="B100" s="36" t="s">
        <v>17</v>
      </c>
      <c r="C100" s="18" t="s">
        <v>97</v>
      </c>
      <c r="D100" s="15" t="n">
        <f aca="false">[2]грн!f100-[2]грн!aq100-[2]грн!ap100-[2]грн!ao100-[2]грн!an100-[2]грн!am100-[2]грн!al100-[2]грн!aj100-[2]грн!ai100-[2]грн!ah100-[2]грн!ag100-[2]грн!af100-[2]грн!ad100-[2]грн!ac100-[2]грн!ab100-[2]грн!aa100-[2]грн!z100-[2]грн!x100-[2]грн!w100-[2]грн!v100-[2]грн!u100-[2]грн!t100-[2]грн!r100-[2]грн!q100-[2]грн!p100-[2]грн!o100-[2]грн!n100-[2]грн!l100-[2]грн!k100-[2]грн!j100-[2]грн!i100-[2]грн!h100+[2]грн!g100+[2]грн!m100+[2]грн!s100+[2]грн!y100+[2]грн!ae100+[2]грн!ak100</f>
        <v>0</v>
      </c>
      <c r="E100" s="19" t="n">
        <f aca="false">[2]грн!as100*1.07</f>
        <v>668.75</v>
      </c>
    </row>
    <row r="101" customFormat="false" ht="15" hidden="false" customHeight="false" outlineLevel="0" collapsed="false">
      <c r="A101" s="23" t="s">
        <v>95</v>
      </c>
      <c r="B101" s="38" t="s">
        <v>17</v>
      </c>
      <c r="C101" s="24" t="s">
        <v>23</v>
      </c>
      <c r="D101" s="15" t="n">
        <f aca="false">[2]грн!f101-[2]грн!aq101-[2]грн!ap101-[2]грн!ao101-[2]грн!an101-[2]грн!am101-[2]грн!al101-[2]грн!aj101-[2]грн!ai101-[2]грн!ah101-[2]грн!ag101-[2]грн!af101-[2]грн!ad101-[2]грн!ac101-[2]грн!ab101-[2]грн!aa101-[2]грн!z101-[2]грн!x101-[2]грн!w101-[2]грн!v101-[2]грн!u101-[2]грн!t101-[2]грн!r101-[2]грн!q101-[2]грн!p101-[2]грн!o101-[2]грн!n101-[2]грн!l101-[2]грн!k101-[2]грн!j101-[2]грн!i101-[2]грн!h101+[2]грн!g101+[2]грн!m101+[2]грн!s101+[2]грн!y101+[2]грн!ae101+[2]грн!ak101</f>
        <v>6</v>
      </c>
      <c r="E101" s="19" t="n">
        <f aca="false">[2]грн!as101*1.07</f>
        <v>909.5</v>
      </c>
    </row>
    <row r="102" customFormat="false" ht="15" hidden="true" customHeight="false" outlineLevel="0" collapsed="false">
      <c r="A102" s="23" t="s">
        <v>95</v>
      </c>
      <c r="B102" s="38" t="s">
        <v>17</v>
      </c>
      <c r="C102" s="24" t="s">
        <v>98</v>
      </c>
      <c r="D102" s="15" t="n">
        <f aca="false">[2]грн!f102-[2]грн!aq102-[2]грн!ap102-[2]грн!ao102-[2]грн!an102-[2]грн!am102-[2]грн!al102-[2]грн!aj102-[2]грн!ai102-[2]грн!ah102-[2]грн!ag102-[2]грн!af102-[2]грн!ad102-[2]грн!ac102-[2]грн!ab102-[2]грн!aa102-[2]грн!z102-[2]грн!x102-[2]грн!w102-[2]грн!v102-[2]грн!u102-[2]грн!t102-[2]грн!r102-[2]грн!q102-[2]грн!p102-[2]грн!o102-[2]грн!n102-[2]грн!l102-[2]грн!k102-[2]грн!j102-[2]грн!i102-[2]грн!h102+[2]грн!g102+[2]грн!m102+[2]грн!s102+[2]грн!y102+[2]грн!ae102+[2]грн!ak102</f>
        <v>0</v>
      </c>
      <c r="E102" s="19" t="n">
        <f aca="false">[2]грн!as102*1.07</f>
        <v>963</v>
      </c>
    </row>
    <row r="103" customFormat="false" ht="15" hidden="true" customHeight="false" outlineLevel="0" collapsed="false">
      <c r="A103" s="23" t="s">
        <v>95</v>
      </c>
      <c r="B103" s="38" t="s">
        <v>17</v>
      </c>
      <c r="C103" s="24" t="s">
        <v>53</v>
      </c>
      <c r="D103" s="15" t="n">
        <f aca="false">[2]грн!f103-[2]грн!aq103-[2]грн!ap103-[2]грн!ao103-[2]грн!an103-[2]грн!am103-[2]грн!al103-[2]грн!aj103-[2]грн!ai103-[2]грн!ah103-[2]грн!ag103-[2]грн!af103-[2]грн!ad103-[2]грн!ac103-[2]грн!ab103-[2]грн!aa103-[2]грн!z103-[2]грн!x103-[2]грн!w103-[2]грн!v103-[2]грн!u103-[2]грн!t103-[2]грн!r103-[2]грн!q103-[2]грн!p103-[2]грн!o103-[2]грн!n103-[2]грн!l103-[2]грн!k103-[2]грн!j103-[2]грн!i103-[2]грн!h103+[2]грн!g103+[2]грн!m103+[2]грн!s103+[2]грн!y103+[2]грн!ae103+[2]грн!ak103</f>
        <v>0</v>
      </c>
      <c r="E103" s="19" t="n">
        <f aca="false">[2]грн!as103*1.07</f>
        <v>588.5</v>
      </c>
    </row>
    <row r="104" customFormat="false" ht="15" hidden="false" customHeight="false" outlineLevel="0" collapsed="false">
      <c r="A104" s="17" t="s">
        <v>95</v>
      </c>
      <c r="B104" s="18" t="s">
        <v>14</v>
      </c>
      <c r="C104" s="40" t="s">
        <v>57</v>
      </c>
      <c r="D104" s="15" t="n">
        <f aca="false">[2]грн!f104-[2]грн!aq104-[2]грн!ap104-[2]грн!ao104-[2]грн!an104-[2]грн!am104-[2]грн!al104-[2]грн!aj104-[2]грн!ai104-[2]грн!ah104-[2]грн!ag104-[2]грн!af104-[2]грн!ad104-[2]грн!ac104-[2]грн!ab104-[2]грн!aa104-[2]грн!z104-[2]грн!x104-[2]грн!w104-[2]грн!v104-[2]грн!u104-[2]грн!t104-[2]грн!r104-[2]грн!q104-[2]грн!p104-[2]грн!o104-[2]грн!n104-[2]грн!l104-[2]грн!k104-[2]грн!j104-[2]грн!i104-[2]грн!h104+[2]грн!g104+[2]грн!m104+[2]грн!s104+[2]грн!y104+[2]грн!ae104+[2]грн!ak104</f>
        <v>2</v>
      </c>
      <c r="E104" s="19" t="n">
        <f aca="false">[2]грн!as104*1.07</f>
        <v>759.7</v>
      </c>
    </row>
    <row r="105" customFormat="false" ht="15" hidden="false" customHeight="false" outlineLevel="0" collapsed="false">
      <c r="A105" s="23" t="s">
        <v>95</v>
      </c>
      <c r="B105" s="24" t="s">
        <v>14</v>
      </c>
      <c r="C105" s="34" t="s">
        <v>99</v>
      </c>
      <c r="D105" s="15" t="n">
        <f aca="false">[2]грн!f105-[2]грн!aq105-[2]грн!ap105-[2]грн!ao105-[2]грн!an105-[2]грн!am105-[2]грн!al105-[2]грн!aj105-[2]грн!ai105-[2]грн!ah105-[2]грн!ag105-[2]грн!af105-[2]грн!ad105-[2]грн!ac105-[2]грн!ab105-[2]грн!aa105-[2]грн!z105-[2]грн!x105-[2]грн!w105-[2]грн!v105-[2]грн!u105-[2]грн!t105-[2]грн!r105-[2]грн!q105-[2]грн!p105-[2]грн!o105-[2]грн!n105-[2]грн!l105-[2]грн!k105-[2]грн!j105-[2]грн!i105-[2]грн!h105+[2]грн!g105+[2]грн!m105+[2]грн!s105+[2]грн!y105+[2]грн!ae105+[2]грн!ak105</f>
        <v>4</v>
      </c>
      <c r="E105" s="19" t="n">
        <f aca="false">[2]грн!as105*1.07</f>
        <v>909.5</v>
      </c>
    </row>
    <row r="106" customFormat="false" ht="15" hidden="false" customHeight="false" outlineLevel="0" collapsed="false">
      <c r="A106" s="17" t="s">
        <v>95</v>
      </c>
      <c r="B106" s="18" t="s">
        <v>10</v>
      </c>
      <c r="C106" s="18" t="s">
        <v>65</v>
      </c>
      <c r="D106" s="15" t="n">
        <f aca="false">[2]грн!f106-[2]грн!aq106-[2]грн!ap106-[2]грн!ao106-[2]грн!an106-[2]грн!am106-[2]грн!al106-[2]грн!aj106-[2]грн!ai106-[2]грн!ah106-[2]грн!ag106-[2]грн!af106-[2]грн!ad106-[2]грн!ac106-[2]грн!ab106-[2]грн!aa106-[2]грн!z106-[2]грн!x106-[2]грн!w106-[2]грн!v106-[2]грн!u106-[2]грн!t106-[2]грн!r106-[2]грн!q106-[2]грн!p106-[2]грн!o106-[2]грн!n106-[2]грн!l106-[2]грн!k106-[2]грн!j106-[2]грн!i106-[2]грн!h106+[2]грн!g106+[2]грн!m106+[2]грн!s106+[2]грн!y106+[2]грн!ae106+[2]грн!ak106</f>
        <v>10</v>
      </c>
      <c r="E106" s="19" t="n">
        <f aca="false">[2]грн!as106*1.07</f>
        <v>738.3</v>
      </c>
    </row>
    <row r="107" customFormat="false" ht="15" hidden="false" customHeight="false" outlineLevel="0" collapsed="false">
      <c r="A107" s="49" t="s">
        <v>95</v>
      </c>
      <c r="B107" s="27" t="s">
        <v>10</v>
      </c>
      <c r="C107" s="27" t="s">
        <v>100</v>
      </c>
      <c r="D107" s="15" t="n">
        <f aca="false">[2]грн!f107-[2]грн!aq107-[2]грн!ap107-[2]грн!ao107-[2]грн!an107-[2]грн!am107-[2]грн!al107-[2]грн!aj107-[2]грн!ai107-[2]грн!ah107-[2]грн!ag107-[2]грн!af107-[2]грн!ad107-[2]грн!ac107-[2]грн!ab107-[2]грн!aa107-[2]грн!z107-[2]грн!x107-[2]грн!w107-[2]грн!v107-[2]грн!u107-[2]грн!t107-[2]грн!r107-[2]грн!q107-[2]грн!p107-[2]грн!o107-[2]грн!n107-[2]грн!l107-[2]грн!k107-[2]грн!j107-[2]грн!i107-[2]грн!h107+[2]грн!g107+[2]грн!m107+[2]грн!s107+[2]грн!y107+[2]грн!ae107+[2]грн!ak107</f>
        <v>12</v>
      </c>
      <c r="E107" s="19" t="n">
        <f aca="false">[2]грн!as107*1.07</f>
        <v>706.2</v>
      </c>
    </row>
    <row r="108" customFormat="false" ht="15" hidden="false" customHeight="false" outlineLevel="0" collapsed="false">
      <c r="A108" s="23" t="s">
        <v>95</v>
      </c>
      <c r="B108" s="24" t="s">
        <v>10</v>
      </c>
      <c r="C108" s="24" t="s">
        <v>28</v>
      </c>
      <c r="D108" s="15" t="n">
        <f aca="false">[2]грн!f108-[2]грн!aq108-[2]грн!ap108-[2]грн!ao108-[2]грн!an108-[2]грн!am108-[2]грн!al108-[2]грн!aj108-[2]грн!ai108-[2]грн!ah108-[2]грн!ag108-[2]грн!af108-[2]грн!ad108-[2]грн!ac108-[2]грн!ab108-[2]грн!aa108-[2]грн!z108-[2]грн!x108-[2]грн!w108-[2]грн!v108-[2]грн!u108-[2]грн!t108-[2]грн!r108-[2]грн!q108-[2]грн!p108-[2]грн!o108-[2]грн!n108-[2]грн!l108-[2]грн!k108-[2]грн!j108-[2]грн!i108-[2]грн!h108+[2]грн!g108+[2]грн!m108+[2]грн!s108+[2]грн!y108+[2]грн!ae108+[2]грн!ak108</f>
        <v>12</v>
      </c>
      <c r="E108" s="19" t="n">
        <f aca="false">[2]грн!as108*1.07</f>
        <v>674.1</v>
      </c>
    </row>
    <row r="109" customFormat="false" ht="15" hidden="false" customHeight="false" outlineLevel="0" collapsed="false">
      <c r="A109" s="23" t="s">
        <v>95</v>
      </c>
      <c r="B109" s="24" t="s">
        <v>10</v>
      </c>
      <c r="C109" s="24" t="s">
        <v>69</v>
      </c>
      <c r="D109" s="15" t="n">
        <f aca="false">[2]грн!f109-[2]грн!aq109-[2]грн!ap109-[2]грн!ao109-[2]грн!an109-[2]грн!am109-[2]грн!al109-[2]грн!aj109-[2]грн!ai109-[2]грн!ah109-[2]грн!ag109-[2]грн!af109-[2]грн!ad109-[2]грн!ac109-[2]грн!ab109-[2]грн!aa109-[2]грн!z109-[2]грн!x109-[2]грн!w109-[2]грн!v109-[2]грн!u109-[2]грн!t109-[2]грн!r109-[2]грн!q109-[2]грн!p109-[2]грн!o109-[2]грн!n109-[2]грн!l109-[2]грн!k109-[2]грн!j109-[2]грн!i109-[2]грн!h109+[2]грн!g109+[2]грн!m109+[2]грн!s109+[2]грн!y109+[2]грн!ae109+[2]грн!ak109</f>
        <v>4</v>
      </c>
      <c r="E109" s="19" t="n">
        <f aca="false">[2]грн!as109*1.07</f>
        <v>695.5</v>
      </c>
    </row>
    <row r="110" customFormat="false" ht="15" hidden="false" customHeight="false" outlineLevel="0" collapsed="false">
      <c r="A110" s="23" t="s">
        <v>95</v>
      </c>
      <c r="B110" s="24" t="s">
        <v>10</v>
      </c>
      <c r="C110" s="24" t="s">
        <v>70</v>
      </c>
      <c r="D110" s="15" t="n">
        <f aca="false">[2]грн!f110-[2]грн!aq110-[2]грн!ap110-[2]грн!ao110-[2]грн!an110-[2]грн!am110-[2]грн!al110-[2]грн!aj110-[2]грн!ai110-[2]грн!ah110-[2]грн!ag110-[2]грн!af110-[2]грн!ad110-[2]грн!ac110-[2]грн!ab110-[2]грн!aa110-[2]грн!z110-[2]грн!x110-[2]грн!w110-[2]грн!v110-[2]грн!u110-[2]грн!t110-[2]грн!r110-[2]грн!q110-[2]грн!p110-[2]грн!o110-[2]грн!n110-[2]грн!l110-[2]грн!k110-[2]грн!j110-[2]грн!i110-[2]грн!h110+[2]грн!g110+[2]грн!m110+[2]грн!s110+[2]грн!y110+[2]грн!ae110+[2]грн!ak110</f>
        <v>12</v>
      </c>
      <c r="E110" s="19" t="n">
        <f aca="false">[2]грн!as110*1.07</f>
        <v>909.5</v>
      </c>
    </row>
    <row r="111" customFormat="false" ht="15" hidden="false" customHeight="false" outlineLevel="0" collapsed="false">
      <c r="A111" s="29" t="s">
        <v>101</v>
      </c>
      <c r="B111" s="25" t="s">
        <v>20</v>
      </c>
      <c r="C111" s="28" t="s">
        <v>102</v>
      </c>
      <c r="D111" s="15" t="n">
        <f aca="false">[2]грн!f111-[2]грн!aq111-[2]грн!ap111-[2]грн!ao111-[2]грн!an111-[2]грн!am111-[2]грн!al111-[2]грн!aj111-[2]грн!ai111-[2]грн!ah111-[2]грн!ag111-[2]грн!af111-[2]грн!ad111-[2]грн!ac111-[2]грн!ab111-[2]грн!aa111-[2]грн!z111-[2]грн!x111-[2]грн!w111-[2]грн!v111-[2]грн!u111-[2]грн!t111-[2]грн!r111-[2]грн!q111-[2]грн!p111-[2]грн!o111-[2]грн!n111-[2]грн!l111-[2]грн!k111-[2]грн!j111-[2]грн!i111-[2]грн!h111+[2]грн!g111+[2]грн!m111+[2]грн!s111+[2]грн!y111+[2]грн!ae111+[2]грн!ak111</f>
        <v>1</v>
      </c>
      <c r="E111" s="19" t="n">
        <f aca="false">[2]грн!as111*1.07</f>
        <v>754.35</v>
      </c>
    </row>
    <row r="112" customFormat="false" ht="15" hidden="false" customHeight="false" outlineLevel="0" collapsed="false">
      <c r="A112" s="29" t="s">
        <v>101</v>
      </c>
      <c r="B112" s="25" t="s">
        <v>20</v>
      </c>
      <c r="C112" s="28" t="s">
        <v>103</v>
      </c>
      <c r="D112" s="15" t="n">
        <f aca="false">[2]грн!f112-[2]грн!aq112-[2]грн!ap112-[2]грн!ao112-[2]грн!an112-[2]грн!am112-[2]грн!al112-[2]грн!aj112-[2]грн!ai112-[2]грн!ah112-[2]грн!ag112-[2]грн!af112-[2]грн!ad112-[2]грн!ac112-[2]грн!ab112-[2]грн!aa112-[2]грн!z112-[2]грн!x112-[2]грн!w112-[2]грн!v112-[2]грн!u112-[2]грн!t112-[2]грн!r112-[2]грн!q112-[2]грн!p112-[2]грн!o112-[2]грн!n112-[2]грн!l112-[2]грн!k112-[2]грн!j112-[2]грн!i112-[2]грн!h112+[2]грн!g112+[2]грн!m112+[2]грн!s112+[2]грн!y112+[2]грн!ae112+[2]грн!ak112</f>
        <v>31</v>
      </c>
      <c r="E112" s="19" t="n">
        <f aca="false">[2]грн!as112*1.07</f>
        <v>770.4</v>
      </c>
    </row>
    <row r="113" customFormat="false" ht="15" hidden="false" customHeight="false" outlineLevel="0" collapsed="false">
      <c r="A113" s="46" t="s">
        <v>101</v>
      </c>
      <c r="B113" s="33" t="s">
        <v>20</v>
      </c>
      <c r="C113" s="39" t="s">
        <v>104</v>
      </c>
      <c r="D113" s="15" t="n">
        <f aca="false">[2]грн!f113-[2]грн!aq113-[2]грн!ap113-[2]грн!ao113-[2]грн!an113-[2]грн!am113-[2]грн!al113-[2]грн!aj113-[2]грн!ai113-[2]грн!ah113-[2]грн!ag113-[2]грн!af113-[2]грн!ad113-[2]грн!ac113-[2]грн!ab113-[2]грн!aa113-[2]грн!z113-[2]грн!x113-[2]грн!w113-[2]грн!v113-[2]грн!u113-[2]грн!t113-[2]грн!r113-[2]грн!q113-[2]грн!p113-[2]грн!o113-[2]грн!n113-[2]грн!l113-[2]грн!k113-[2]грн!j113-[2]грн!i113-[2]грн!h113+[2]грн!g113+[2]грн!m113+[2]грн!s113+[2]грн!y113+[2]грн!ae113+[2]грн!ak113</f>
        <v>20</v>
      </c>
      <c r="E113" s="19" t="n">
        <f aca="false">[2]грн!as113*1.07</f>
        <v>909.5</v>
      </c>
    </row>
    <row r="114" customFormat="false" ht="15" hidden="true" customHeight="false" outlineLevel="0" collapsed="false">
      <c r="A114" s="49" t="s">
        <v>101</v>
      </c>
      <c r="B114" s="36" t="s">
        <v>17</v>
      </c>
      <c r="C114" s="27" t="s">
        <v>51</v>
      </c>
      <c r="D114" s="15" t="n">
        <f aca="false">[2]грн!f114-[2]грн!aq114-[2]грн!ap114-[2]грн!ao114-[2]грн!an114-[2]грн!am114-[2]грн!al114-[2]грн!aj114-[2]грн!ai114-[2]грн!ah114-[2]грн!ag114-[2]грн!af114-[2]грн!ad114-[2]грн!ac114-[2]грн!ab114-[2]грн!aa114-[2]грн!z114-[2]грн!x114-[2]грн!w114-[2]грн!v114-[2]грн!u114-[2]грн!t114-[2]грн!r114-[2]грн!q114-[2]грн!p114-[2]грн!o114-[2]грн!n114-[2]грн!l114-[2]грн!k114-[2]грн!j114-[2]грн!i114-[2]грн!h114+[2]грн!g114+[2]грн!m114+[2]грн!s114+[2]грн!y114+[2]грн!ae114+[2]грн!ak114</f>
        <v>0</v>
      </c>
      <c r="E114" s="19" t="n">
        <f aca="false">[2]грн!as114*1.07</f>
        <v>856</v>
      </c>
    </row>
    <row r="115" customFormat="false" ht="15" hidden="true" customHeight="false" outlineLevel="0" collapsed="false">
      <c r="A115" s="49" t="s">
        <v>101</v>
      </c>
      <c r="B115" s="36" t="s">
        <v>17</v>
      </c>
      <c r="C115" s="18" t="s">
        <v>87</v>
      </c>
      <c r="D115" s="15" t="n">
        <f aca="false">[2]грн!f115-[2]грн!aq115-[2]грн!ap115-[2]грн!ao115-[2]грн!an115-[2]грн!am115-[2]грн!al115-[2]грн!aj115-[2]грн!ai115-[2]грн!ah115-[2]грн!ag115-[2]грн!af115-[2]грн!ad115-[2]грн!ac115-[2]грн!ab115-[2]грн!aa115-[2]грн!z115-[2]грн!x115-[2]грн!w115-[2]грн!v115-[2]грн!u115-[2]грн!t115-[2]грн!r115-[2]грн!q115-[2]грн!p115-[2]грн!o115-[2]грн!n115-[2]грн!l115-[2]грн!k115-[2]грн!j115-[2]грн!i115-[2]грн!h115+[2]грн!g115+[2]грн!m115+[2]грн!s115+[2]грн!y115+[2]грн!ae115+[2]грн!ak115</f>
        <v>0</v>
      </c>
      <c r="E115" s="19" t="n">
        <f aca="false">[2]грн!as115*1.07</f>
        <v>684.8</v>
      </c>
    </row>
    <row r="116" customFormat="false" ht="15" hidden="true" customHeight="false" outlineLevel="0" collapsed="false">
      <c r="A116" s="49" t="s">
        <v>101</v>
      </c>
      <c r="B116" s="36" t="s">
        <v>17</v>
      </c>
      <c r="C116" s="28" t="s">
        <v>22</v>
      </c>
      <c r="D116" s="15" t="n">
        <f aca="false">[2]грн!f116-[2]грн!aq116-[2]грн!ap116-[2]грн!ao116-[2]грн!an116-[2]грн!am116-[2]грн!al116-[2]грн!aj116-[2]грн!ai116-[2]грн!ah116-[2]грн!ag116-[2]грн!af116-[2]грн!ad116-[2]грн!ac116-[2]грн!ab116-[2]грн!aa116-[2]грн!z116-[2]грн!x116-[2]грн!w116-[2]грн!v116-[2]грн!u116-[2]грн!t116-[2]грн!r116-[2]грн!q116-[2]грн!p116-[2]грн!o116-[2]грн!n116-[2]грн!l116-[2]грн!k116-[2]грн!j116-[2]грн!i116-[2]грн!h116+[2]грн!g116+[2]грн!m116+[2]грн!s116+[2]грн!y116+[2]грн!ae116+[2]грн!ak116</f>
        <v>0</v>
      </c>
      <c r="E116" s="19" t="n">
        <f aca="false">[2]грн!as116*1.07</f>
        <v>770.4</v>
      </c>
    </row>
    <row r="117" customFormat="false" ht="15" hidden="false" customHeight="false" outlineLevel="0" collapsed="false">
      <c r="A117" s="23" t="s">
        <v>101</v>
      </c>
      <c r="B117" s="38" t="s">
        <v>17</v>
      </c>
      <c r="C117" s="24" t="s">
        <v>52</v>
      </c>
      <c r="D117" s="15" t="n">
        <f aca="false">[2]грн!f117-[2]грн!aq117-[2]грн!ap117-[2]грн!ao117-[2]грн!an117-[2]грн!am117-[2]грн!al117-[2]грн!aj117-[2]грн!ai117-[2]грн!ah117-[2]грн!ag117-[2]грн!af117-[2]грн!ad117-[2]грн!ac117-[2]грн!ab117-[2]грн!aa117-[2]грн!z117-[2]грн!x117-[2]грн!w117-[2]грн!v117-[2]грн!u117-[2]грн!t117-[2]грн!r117-[2]грн!q117-[2]грн!p117-[2]грн!o117-[2]грн!n117-[2]грн!l117-[2]грн!k117-[2]грн!j117-[2]грн!i117-[2]грн!h117+[2]грн!g117+[2]грн!m117+[2]грн!s117+[2]грн!y117+[2]грн!ae117+[2]грн!ak117</f>
        <v>76</v>
      </c>
      <c r="E117" s="19" t="n">
        <f aca="false">[2]грн!as117*1.07</f>
        <v>888.1</v>
      </c>
    </row>
    <row r="118" customFormat="false" ht="15" hidden="true" customHeight="false" outlineLevel="0" collapsed="false">
      <c r="A118" s="23" t="s">
        <v>101</v>
      </c>
      <c r="B118" s="24" t="s">
        <v>17</v>
      </c>
      <c r="C118" s="39" t="s">
        <v>105</v>
      </c>
      <c r="D118" s="15" t="n">
        <f aca="false">[2]грн!f118-[2]грн!aq118-[2]грн!ap118-[2]грн!ao118-[2]грн!an118-[2]грн!am118-[2]грн!al118-[2]грн!aj118-[2]грн!ai118-[2]грн!ah118-[2]грн!ag118-[2]грн!af118-[2]грн!ad118-[2]грн!ac118-[2]грн!ab118-[2]грн!aa118-[2]грн!z118-[2]грн!x118-[2]грн!w118-[2]грн!v118-[2]грн!u118-[2]грн!t118-[2]грн!r118-[2]грн!q118-[2]грн!p118-[2]грн!o118-[2]грн!n118-[2]грн!l118-[2]грн!k118-[2]грн!j118-[2]грн!i118-[2]грн!h118+[2]грн!g118+[2]грн!m118+[2]грн!s118+[2]грн!y118+[2]грн!ae118+[2]грн!ak118</f>
        <v>0</v>
      </c>
      <c r="E118" s="19" t="n">
        <f aca="false">[2]грн!as118*1.07</f>
        <v>727.6</v>
      </c>
    </row>
    <row r="119" customFormat="false" ht="15" hidden="true" customHeight="false" outlineLevel="0" collapsed="false">
      <c r="A119" s="23" t="s">
        <v>101</v>
      </c>
      <c r="B119" s="24" t="s">
        <v>17</v>
      </c>
      <c r="C119" s="39" t="s">
        <v>54</v>
      </c>
      <c r="D119" s="15" t="n">
        <f aca="false">[2]грн!f119-[2]грн!aq119-[2]грн!ap119-[2]грн!ao119-[2]грн!an119-[2]грн!am119-[2]грн!al119-[2]грн!aj119-[2]грн!ai119-[2]грн!ah119-[2]грн!ag119-[2]грн!af119-[2]грн!ad119-[2]грн!ac119-[2]грн!ab119-[2]грн!aa119-[2]грн!z119-[2]грн!x119-[2]грн!w119-[2]грн!v119-[2]грн!u119-[2]грн!t119-[2]грн!r119-[2]грн!q119-[2]грн!p119-[2]грн!o119-[2]грн!n119-[2]грн!l119-[2]грн!k119-[2]грн!j119-[2]грн!i119-[2]грн!h119+[2]грн!g119+[2]грн!m119+[2]грн!s119+[2]грн!y119+[2]грн!ae119+[2]грн!ak119</f>
        <v>0</v>
      </c>
      <c r="E119" s="19" t="n">
        <f aca="false">[2]грн!as119*1.07</f>
        <v>1016.5</v>
      </c>
    </row>
    <row r="120" customFormat="false" ht="15" hidden="false" customHeight="false" outlineLevel="0" collapsed="false">
      <c r="A120" s="23" t="s">
        <v>101</v>
      </c>
      <c r="B120" s="24" t="s">
        <v>17</v>
      </c>
      <c r="C120" s="39" t="s">
        <v>23</v>
      </c>
      <c r="D120" s="15" t="n">
        <f aca="false">[2]грн!f120-[2]грн!aq120-[2]грн!ap120-[2]грн!ao120-[2]грн!an120-[2]грн!am120-[2]грн!al120-[2]грн!aj120-[2]грн!ai120-[2]грн!ah120-[2]грн!ag120-[2]грн!af120-[2]грн!ad120-[2]грн!ac120-[2]грн!ab120-[2]грн!aa120-[2]грн!z120-[2]грн!x120-[2]грн!w120-[2]грн!v120-[2]грн!u120-[2]грн!t120-[2]грн!r120-[2]грн!q120-[2]грн!p120-[2]грн!o120-[2]грн!n120-[2]грн!l120-[2]грн!k120-[2]грн!j120-[2]грн!i120-[2]грн!h120+[2]грн!g120+[2]грн!m120+[2]грн!s120+[2]грн!y120+[2]грн!ae120+[2]грн!ak120</f>
        <v>48</v>
      </c>
      <c r="E120" s="19" t="n">
        <f aca="false">[2]грн!as120*1.07</f>
        <v>909.5</v>
      </c>
    </row>
    <row r="121" customFormat="false" ht="15" hidden="false" customHeight="false" outlineLevel="0" collapsed="false">
      <c r="A121" s="17" t="s">
        <v>101</v>
      </c>
      <c r="B121" s="18" t="s">
        <v>14</v>
      </c>
      <c r="C121" s="50" t="s">
        <v>58</v>
      </c>
      <c r="D121" s="15" t="n">
        <f aca="false">[2]грн!f121-[2]грн!aq121-[2]грн!ap121-[2]грн!ao121-[2]грн!an121-[2]грн!am121-[2]грн!al121-[2]грн!aj121-[2]грн!ai121-[2]грн!ah121-[2]грн!ag121-[2]грн!af121-[2]грн!ad121-[2]грн!ac121-[2]грн!ab121-[2]грн!aa121-[2]грн!z121-[2]грн!x121-[2]грн!w121-[2]грн!v121-[2]грн!u121-[2]грн!t121-[2]грн!r121-[2]грн!q121-[2]грн!p121-[2]грн!o121-[2]грн!n121-[2]грн!l121-[2]грн!k121-[2]грн!j121-[2]грн!i121-[2]грн!h121+[2]грн!g121+[2]грн!m121+[2]грн!s121+[2]грн!y121+[2]грн!ae121+[2]грн!ak121</f>
        <v>26</v>
      </c>
      <c r="E121" s="19" t="n">
        <f aca="false">[2]грн!as121*1.07</f>
        <v>834.6</v>
      </c>
    </row>
    <row r="122" customFormat="false" ht="15" hidden="false" customHeight="false" outlineLevel="0" collapsed="false">
      <c r="A122" s="23" t="s">
        <v>101</v>
      </c>
      <c r="B122" s="24" t="s">
        <v>14</v>
      </c>
      <c r="C122" s="39" t="s">
        <v>106</v>
      </c>
      <c r="D122" s="15" t="n">
        <f aca="false">[2]грн!f122-[2]грн!aq122-[2]грн!ap122-[2]грн!ao122-[2]грн!an122-[2]грн!am122-[2]грн!al122-[2]грн!aj122-[2]грн!ai122-[2]грн!ah122-[2]грн!ag122-[2]грн!af122-[2]грн!ad122-[2]грн!ac122-[2]грн!ab122-[2]грн!aa122-[2]грн!z122-[2]грн!x122-[2]грн!w122-[2]грн!v122-[2]грн!u122-[2]грн!t122-[2]грн!r122-[2]грн!q122-[2]грн!p122-[2]грн!o122-[2]грн!n122-[2]грн!l122-[2]грн!k122-[2]грн!j122-[2]грн!i122-[2]грн!h122+[2]грн!g122+[2]грн!m122+[2]грн!s122+[2]грн!y122+[2]грн!ae122+[2]грн!ak122</f>
        <v>1</v>
      </c>
      <c r="E122" s="19" t="n">
        <f aca="false">[2]грн!as122*1.07</f>
        <v>695.5</v>
      </c>
    </row>
    <row r="123" customFormat="false" ht="15" hidden="false" customHeight="false" outlineLevel="0" collapsed="false">
      <c r="A123" s="23" t="s">
        <v>101</v>
      </c>
      <c r="B123" s="24" t="s">
        <v>14</v>
      </c>
      <c r="C123" s="39" t="s">
        <v>107</v>
      </c>
      <c r="D123" s="15" t="n">
        <f aca="false">[2]грн!f123-[2]грн!aq123-[2]грн!ap123-[2]грн!ao123-[2]грн!an123-[2]грн!am123-[2]грн!al123-[2]грн!aj123-[2]грн!ai123-[2]грн!ah123-[2]грн!ag123-[2]грн!af123-[2]грн!ad123-[2]грн!ac123-[2]грн!ab123-[2]грн!aa123-[2]грн!z123-[2]грн!x123-[2]грн!w123-[2]грн!v123-[2]грн!u123-[2]грн!t123-[2]грн!r123-[2]грн!q123-[2]грн!p123-[2]грн!o123-[2]грн!n123-[2]грн!l123-[2]грн!k123-[2]грн!j123-[2]грн!i123-[2]грн!h123+[2]грн!g123+[2]грн!m123+[2]грн!s123+[2]грн!y123+[2]грн!ae123+[2]грн!ak123</f>
        <v>6</v>
      </c>
      <c r="E123" s="19" t="n">
        <f aca="false">[2]грн!as123*1.07</f>
        <v>856</v>
      </c>
    </row>
    <row r="124" customFormat="false" ht="15" hidden="true" customHeight="false" outlineLevel="0" collapsed="false">
      <c r="A124" s="23" t="s">
        <v>101</v>
      </c>
      <c r="B124" s="24" t="s">
        <v>14</v>
      </c>
      <c r="C124" s="24" t="s">
        <v>108</v>
      </c>
      <c r="D124" s="15" t="n">
        <f aca="false">[2]грн!f124-[2]грн!aq124-[2]грн!ap124-[2]грн!ao124-[2]грн!an124-[2]грн!am124-[2]грн!al124-[2]грн!aj124-[2]грн!ai124-[2]грн!ah124-[2]грн!ag124-[2]грн!af124-[2]грн!ad124-[2]грн!ac124-[2]грн!ab124-[2]грн!aa124-[2]грн!z124-[2]грн!x124-[2]грн!w124-[2]грн!v124-[2]грн!u124-[2]грн!t124-[2]грн!r124-[2]грн!q124-[2]грн!p124-[2]грн!o124-[2]грн!n124-[2]грн!l124-[2]грн!k124-[2]грн!j124-[2]грн!i124-[2]грн!h124+[2]грн!g124+[2]грн!m124+[2]грн!s124+[2]грн!y124+[2]грн!ae124+[2]грн!ak124</f>
        <v>0</v>
      </c>
      <c r="E124" s="19" t="n">
        <f aca="false">[2]грн!as124*1.07</f>
        <v>642</v>
      </c>
    </row>
    <row r="125" customFormat="false" ht="15" hidden="true" customHeight="false" outlineLevel="0" collapsed="false">
      <c r="A125" s="23" t="s">
        <v>101</v>
      </c>
      <c r="B125" s="24" t="s">
        <v>14</v>
      </c>
      <c r="C125" s="24" t="s">
        <v>109</v>
      </c>
      <c r="D125" s="15" t="n">
        <f aca="false">[2]грн!f125-[2]грн!aq125-[2]грн!ap125-[2]грн!ao125-[2]грн!an125-[2]грн!am125-[2]грн!al125-[2]грн!aj125-[2]грн!ai125-[2]грн!ah125-[2]грн!ag125-[2]грн!af125-[2]грн!ad125-[2]грн!ac125-[2]грн!ab125-[2]грн!aa125-[2]грн!z125-[2]грн!x125-[2]грн!w125-[2]грн!v125-[2]грн!u125-[2]грн!t125-[2]грн!r125-[2]грн!q125-[2]грн!p125-[2]грн!o125-[2]грн!n125-[2]грн!l125-[2]грн!k125-[2]грн!j125-[2]грн!i125-[2]грн!h125+[2]грн!g125+[2]грн!m125+[2]грн!s125+[2]грн!y125+[2]грн!ae125+[2]грн!ak125</f>
        <v>0</v>
      </c>
      <c r="E125" s="19" t="n">
        <f aca="false">[2]грн!as125*1.07</f>
        <v>963</v>
      </c>
    </row>
    <row r="126" customFormat="false" ht="15" hidden="false" customHeight="false" outlineLevel="0" collapsed="false">
      <c r="A126" s="49" t="s">
        <v>101</v>
      </c>
      <c r="B126" s="18" t="s">
        <v>10</v>
      </c>
      <c r="C126" s="27" t="s">
        <v>62</v>
      </c>
      <c r="D126" s="15" t="n">
        <f aca="false">[2]грн!f126-[2]грн!aq126-[2]грн!ap126-[2]грн!ao126-[2]грн!an126-[2]грн!am126-[2]грн!al126-[2]грн!aj126-[2]грн!ai126-[2]грн!ah126-[2]грн!ag126-[2]грн!af126-[2]грн!ad126-[2]грн!ac126-[2]грн!ab126-[2]грн!aa126-[2]грн!z126-[2]грн!x126-[2]грн!w126-[2]грн!v126-[2]грн!u126-[2]грн!t126-[2]грн!r126-[2]грн!q126-[2]грн!p126-[2]грн!o126-[2]грн!n126-[2]грн!l126-[2]грн!k126-[2]грн!j126-[2]грн!i126-[2]грн!h126+[2]грн!g126+[2]грн!m126+[2]грн!s126+[2]грн!y126+[2]грн!ae126+[2]грн!ak126</f>
        <v>10</v>
      </c>
      <c r="E126" s="19" t="n">
        <f aca="false">[2]грн!as126*1.07</f>
        <v>695.5</v>
      </c>
    </row>
    <row r="127" customFormat="false" ht="15" hidden="false" customHeight="false" outlineLevel="0" collapsed="false">
      <c r="A127" s="49" t="s">
        <v>101</v>
      </c>
      <c r="B127" s="18" t="s">
        <v>10</v>
      </c>
      <c r="C127" s="51" t="s">
        <v>80</v>
      </c>
      <c r="D127" s="15" t="n">
        <f aca="false">[2]грн!f127-[2]грн!aq127-[2]грн!ap127-[2]грн!ao127-[2]грн!an127-[2]грн!am127-[2]грн!al127-[2]грн!aj127-[2]грн!ai127-[2]грн!ah127-[2]грн!ag127-[2]грн!af127-[2]грн!ad127-[2]грн!ac127-[2]грн!ab127-[2]грн!aa127-[2]грн!z127-[2]грн!x127-[2]грн!w127-[2]грн!v127-[2]грн!u127-[2]грн!t127-[2]грн!r127-[2]грн!q127-[2]грн!p127-[2]грн!o127-[2]грн!n127-[2]грн!l127-[2]грн!k127-[2]грн!j127-[2]грн!i127-[2]грн!h127+[2]грн!g127+[2]грн!m127+[2]грн!s127+[2]грн!y127+[2]грн!ae127+[2]грн!ak127</f>
        <v>8</v>
      </c>
      <c r="E127" s="19" t="n">
        <f aca="false">[2]грн!as127*1.07</f>
        <v>738.3</v>
      </c>
    </row>
    <row r="128" customFormat="false" ht="15" hidden="true" customHeight="false" outlineLevel="0" collapsed="false">
      <c r="A128" s="17" t="s">
        <v>101</v>
      </c>
      <c r="B128" s="18" t="s">
        <v>10</v>
      </c>
      <c r="C128" s="18" t="s">
        <v>110</v>
      </c>
      <c r="D128" s="15" t="n">
        <f aca="false">[2]грн!f128-[2]грн!aq128-[2]грн!ap128-[2]грн!ao128-[2]грн!an128-[2]грн!am128-[2]грн!al128-[2]грн!aj128-[2]грн!ai128-[2]грн!ah128-[2]грн!ag128-[2]грн!af128-[2]грн!ad128-[2]грн!ac128-[2]грн!ab128-[2]грн!aa128-[2]грн!z128-[2]грн!x128-[2]грн!w128-[2]грн!v128-[2]грн!u128-[2]грн!t128-[2]грн!r128-[2]грн!q128-[2]грн!p128-[2]грн!o128-[2]грн!n128-[2]грн!l128-[2]грн!k128-[2]грн!j128-[2]грн!i128-[2]грн!h128+[2]грн!g128+[2]грн!m128+[2]грн!s128+[2]грн!y128+[2]грн!ae128+[2]грн!ak128</f>
        <v>0</v>
      </c>
      <c r="E128" s="19" t="n">
        <f aca="false">[2]грн!as128*1.07</f>
        <v>642</v>
      </c>
    </row>
    <row r="129" customFormat="false" ht="15" hidden="false" customHeight="false" outlineLevel="0" collapsed="false">
      <c r="A129" s="17" t="s">
        <v>101</v>
      </c>
      <c r="B129" s="18" t="s">
        <v>10</v>
      </c>
      <c r="C129" s="18" t="s">
        <v>65</v>
      </c>
      <c r="D129" s="15" t="n">
        <f aca="false">[2]грн!f129-[2]грн!aq129-[2]грн!ap129-[2]грн!ao129-[2]грн!an129-[2]грн!am129-[2]грн!al129-[2]грн!aj129-[2]грн!ai129-[2]грн!ah129-[2]грн!ag129-[2]грн!af129-[2]грн!ad129-[2]грн!ac129-[2]грн!ab129-[2]грн!aa129-[2]грн!z129-[2]грн!x129-[2]грн!w129-[2]грн!v129-[2]грн!u129-[2]грн!t129-[2]грн!r129-[2]грн!q129-[2]грн!p129-[2]грн!o129-[2]грн!n129-[2]грн!l129-[2]грн!k129-[2]грн!j129-[2]грн!i129-[2]грн!h129+[2]грн!g129+[2]грн!m129+[2]грн!s129+[2]грн!y129+[2]грн!ae129+[2]грн!ak129</f>
        <v>11</v>
      </c>
      <c r="E129" s="19" t="n">
        <f aca="false">[2]грн!as129*1.07</f>
        <v>738.3</v>
      </c>
    </row>
    <row r="130" customFormat="false" ht="15" hidden="false" customHeight="false" outlineLevel="0" collapsed="false">
      <c r="A130" s="23" t="s">
        <v>101</v>
      </c>
      <c r="B130" s="24" t="s">
        <v>10</v>
      </c>
      <c r="C130" s="24" t="s">
        <v>27</v>
      </c>
      <c r="D130" s="15" t="n">
        <f aca="false">[2]грн!f130-[2]грн!aq130-[2]грн!ap130-[2]грн!ao130-[2]грн!an130-[2]грн!am130-[2]грн!al130-[2]грн!aj130-[2]грн!ai130-[2]грн!ah130-[2]грн!ag130-[2]грн!af130-[2]грн!ad130-[2]грн!ac130-[2]грн!ab130-[2]грн!aa130-[2]грн!z130-[2]грн!x130-[2]грн!w130-[2]грн!v130-[2]грн!u130-[2]грн!t130-[2]грн!r130-[2]грн!q130-[2]грн!p130-[2]грн!o130-[2]грн!n130-[2]грн!l130-[2]грн!k130-[2]грн!j130-[2]грн!i130-[2]грн!h130+[2]грн!g130+[2]грн!m130+[2]грн!s130+[2]грн!y130+[2]грн!ae130+[2]грн!ak130</f>
        <v>16</v>
      </c>
      <c r="E130" s="19" t="n">
        <f aca="false">[2]грн!as130*1.07</f>
        <v>711.55</v>
      </c>
    </row>
    <row r="131" customFormat="false" ht="15" hidden="false" customHeight="false" outlineLevel="0" collapsed="false">
      <c r="A131" s="23" t="s">
        <v>101</v>
      </c>
      <c r="B131" s="24" t="s">
        <v>10</v>
      </c>
      <c r="C131" s="39" t="s">
        <v>111</v>
      </c>
      <c r="D131" s="15" t="n">
        <f aca="false">[2]грн!f131-[2]грн!aq131-[2]грн!ap131-[2]грн!ao131-[2]грн!an131-[2]грн!am131-[2]грн!al131-[2]грн!aj131-[2]грн!ai131-[2]грн!ah131-[2]грн!ag131-[2]грн!af131-[2]грн!ad131-[2]грн!ac131-[2]грн!ab131-[2]грн!aa131-[2]грн!z131-[2]грн!x131-[2]грн!w131-[2]грн!v131-[2]грн!u131-[2]грн!t131-[2]грн!r131-[2]грн!q131-[2]грн!p131-[2]грн!o131-[2]грн!n131-[2]грн!l131-[2]грн!k131-[2]грн!j131-[2]грн!i131-[2]грн!h131+[2]грн!g131+[2]грн!m131+[2]грн!s131+[2]грн!y131+[2]грн!ae131+[2]грн!ak131</f>
        <v>18</v>
      </c>
      <c r="E131" s="19" t="n">
        <f aca="false">[2]грн!as131*1.07</f>
        <v>690.15</v>
      </c>
    </row>
    <row r="132" customFormat="false" ht="15" hidden="false" customHeight="false" outlineLevel="0" collapsed="false">
      <c r="A132" s="23" t="s">
        <v>101</v>
      </c>
      <c r="B132" s="24" t="s">
        <v>10</v>
      </c>
      <c r="C132" s="39" t="s">
        <v>69</v>
      </c>
      <c r="D132" s="15" t="n">
        <f aca="false">[2]грн!f132-[2]грн!aq132-[2]грн!ap132-[2]грн!ao132-[2]грн!an132-[2]грн!am132-[2]грн!al132-[2]грн!aj132-[2]грн!ai132-[2]грн!ah132-[2]грн!ag132-[2]грн!af132-[2]грн!ad132-[2]грн!ac132-[2]грн!ab132-[2]грн!aa132-[2]грн!z132-[2]грн!x132-[2]грн!w132-[2]грн!v132-[2]грн!u132-[2]грн!t132-[2]грн!r132-[2]грн!q132-[2]грн!p132-[2]грн!o132-[2]грн!n132-[2]грн!l132-[2]грн!k132-[2]грн!j132-[2]грн!i132-[2]грн!h132+[2]грн!g132+[2]грн!m132+[2]грн!s132+[2]грн!y132+[2]грн!ae132+[2]грн!ak132</f>
        <v>14</v>
      </c>
      <c r="E132" s="19" t="n">
        <f aca="false">[2]грн!as132*1.07</f>
        <v>700.85</v>
      </c>
    </row>
    <row r="133" customFormat="false" ht="15" hidden="false" customHeight="false" outlineLevel="0" collapsed="false">
      <c r="A133" s="23" t="s">
        <v>101</v>
      </c>
      <c r="B133" s="24" t="s">
        <v>10</v>
      </c>
      <c r="C133" s="39" t="s">
        <v>70</v>
      </c>
      <c r="D133" s="15" t="n">
        <f aca="false">[2]грн!f133-[2]грн!aq133-[2]грн!ap133-[2]грн!ao133-[2]грн!an133-[2]грн!am133-[2]грн!al133-[2]грн!aj133-[2]грн!ai133-[2]грн!ah133-[2]грн!ag133-[2]грн!af133-[2]грн!ad133-[2]грн!ac133-[2]грн!ab133-[2]грн!aa133-[2]грн!z133-[2]грн!x133-[2]грн!w133-[2]грн!v133-[2]грн!u133-[2]грн!t133-[2]грн!r133-[2]грн!q133-[2]грн!p133-[2]грн!o133-[2]грн!n133-[2]грн!l133-[2]грн!k133-[2]грн!j133-[2]грн!i133-[2]грн!h133+[2]грн!g133+[2]грн!m133+[2]грн!s133+[2]грн!y133+[2]грн!ae133+[2]грн!ak133</f>
        <v>8</v>
      </c>
      <c r="E133" s="19" t="n">
        <f aca="false">[2]грн!as133*1.07</f>
        <v>909.5</v>
      </c>
    </row>
    <row r="134" customFormat="false" ht="15" hidden="false" customHeight="false" outlineLevel="0" collapsed="false">
      <c r="A134" s="23" t="s">
        <v>101</v>
      </c>
      <c r="B134" s="24" t="s">
        <v>10</v>
      </c>
      <c r="C134" s="39" t="s">
        <v>71</v>
      </c>
      <c r="D134" s="15" t="n">
        <f aca="false">[2]грн!f134-[2]грн!aq134-[2]грн!ap134-[2]грн!ao134-[2]грн!an134-[2]грн!am134-[2]грн!al134-[2]грн!aj134-[2]грн!ai134-[2]грн!ah134-[2]грн!ag134-[2]грн!af134-[2]грн!ad134-[2]грн!ac134-[2]грн!ab134-[2]грн!aa134-[2]грн!z134-[2]грн!x134-[2]грн!w134-[2]грн!v134-[2]грн!u134-[2]грн!t134-[2]грн!r134-[2]грн!q134-[2]грн!p134-[2]грн!o134-[2]грн!n134-[2]грн!l134-[2]грн!k134-[2]грн!j134-[2]грн!i134-[2]грн!h134+[2]грн!g134+[2]грн!m134+[2]грн!s134+[2]грн!y134+[2]грн!ae134+[2]грн!ak134</f>
        <v>24</v>
      </c>
      <c r="E134" s="19" t="n">
        <f aca="false">[2]грн!as134*1.07</f>
        <v>706.2</v>
      </c>
    </row>
    <row r="135" customFormat="false" ht="15" hidden="true" customHeight="false" outlineLevel="0" collapsed="false">
      <c r="A135" s="49" t="s">
        <v>101</v>
      </c>
      <c r="B135" s="27" t="s">
        <v>74</v>
      </c>
      <c r="C135" s="51" t="s">
        <v>112</v>
      </c>
      <c r="D135" s="15" t="n">
        <f aca="false">[2]грн!f135-[2]грн!aq135-[2]грн!ap135-[2]грн!ao135-[2]грн!an135-[2]грн!am135-[2]грн!al135-[2]грн!aj135-[2]грн!ai135-[2]грн!ah135-[2]грн!ag135-[2]грн!af135-[2]грн!ad135-[2]грн!ac135-[2]грн!ab135-[2]грн!aa135-[2]грн!z135-[2]грн!x135-[2]грн!w135-[2]грн!v135-[2]грн!u135-[2]грн!t135-[2]грн!r135-[2]грн!q135-[2]грн!p135-[2]грн!o135-[2]грн!n135-[2]грн!l135-[2]грн!k135-[2]грн!j135-[2]грн!i135-[2]грн!h135+[2]грн!g135+[2]грн!m135+[2]грн!s135+[2]грн!y135+[2]грн!ae135+[2]грн!ak135</f>
        <v>0</v>
      </c>
      <c r="E135" s="19" t="n">
        <f aca="false">[2]грн!as135*1.07</f>
        <v>695.5</v>
      </c>
    </row>
    <row r="136" customFormat="false" ht="15" hidden="false" customHeight="false" outlineLevel="0" collapsed="false">
      <c r="A136" s="23" t="s">
        <v>101</v>
      </c>
      <c r="B136" s="24" t="s">
        <v>74</v>
      </c>
      <c r="C136" s="39" t="s">
        <v>113</v>
      </c>
      <c r="D136" s="15" t="n">
        <f aca="false">[2]грн!f136-[2]грн!aq136-[2]грн!ap136-[2]грн!ao136-[2]грн!an136-[2]грн!am136-[2]грн!al136-[2]грн!aj136-[2]грн!ai136-[2]грн!ah136-[2]грн!ag136-[2]грн!af136-[2]грн!ad136-[2]грн!ac136-[2]грн!ab136-[2]грн!aa136-[2]грн!z136-[2]грн!x136-[2]грн!w136-[2]грн!v136-[2]грн!u136-[2]грн!t136-[2]грн!r136-[2]грн!q136-[2]грн!p136-[2]грн!o136-[2]грн!n136-[2]грн!l136-[2]грн!k136-[2]грн!j136-[2]грн!i136-[2]грн!h136+[2]грн!g136+[2]грн!m136+[2]грн!s136+[2]грн!y136+[2]грн!ae136+[2]грн!ak136</f>
        <v>12</v>
      </c>
      <c r="E136" s="19" t="n">
        <f aca="false">[2]грн!as136*1.07</f>
        <v>802.5</v>
      </c>
    </row>
    <row r="137" customFormat="false" ht="15" hidden="false" customHeight="false" outlineLevel="0" collapsed="false">
      <c r="A137" s="23" t="s">
        <v>101</v>
      </c>
      <c r="B137" s="39" t="s">
        <v>74</v>
      </c>
      <c r="C137" s="39" t="s">
        <v>94</v>
      </c>
      <c r="D137" s="15" t="n">
        <f aca="false">[2]грн!f137-[2]грн!aq137-[2]грн!ap137-[2]грн!ao137-[2]грн!an137-[2]грн!am137-[2]грн!al137-[2]грн!aj137-[2]грн!ai137-[2]грн!ah137-[2]грн!ag137-[2]грн!af137-[2]грн!ad137-[2]грн!ac137-[2]грн!ab137-[2]грн!aa137-[2]грн!z137-[2]грн!x137-[2]грн!w137-[2]грн!v137-[2]грн!u137-[2]грн!t137-[2]грн!r137-[2]грн!q137-[2]грн!p137-[2]грн!o137-[2]грн!n137-[2]грн!l137-[2]грн!k137-[2]грн!j137-[2]грн!i137-[2]грн!h137+[2]грн!g137+[2]грн!m137+[2]грн!s137+[2]грн!y137+[2]грн!ae137+[2]грн!ak137</f>
        <v>6</v>
      </c>
      <c r="E137" s="19" t="n">
        <f aca="false">[2]грн!as137*1.07</f>
        <v>963</v>
      </c>
    </row>
    <row r="138" customFormat="false" ht="15" hidden="false" customHeight="false" outlineLevel="0" collapsed="false">
      <c r="A138" s="29" t="s">
        <v>114</v>
      </c>
      <c r="B138" s="28" t="s">
        <v>20</v>
      </c>
      <c r="C138" s="28" t="s">
        <v>115</v>
      </c>
      <c r="D138" s="15" t="n">
        <f aca="false">[2]грн!f138-[2]грн!aq138-[2]грн!ap138-[2]грн!ao138-[2]грн!an138-[2]грн!am138-[2]грн!al138-[2]грн!aj138-[2]грн!ai138-[2]грн!ah138-[2]грн!ag138-[2]грн!af138-[2]грн!ad138-[2]грн!ac138-[2]грн!ab138-[2]грн!aa138-[2]грн!z138-[2]грн!x138-[2]грн!w138-[2]грн!v138-[2]грн!u138-[2]грн!t138-[2]грн!r138-[2]грн!q138-[2]грн!p138-[2]грн!o138-[2]грн!n138-[2]грн!l138-[2]грн!k138-[2]грн!j138-[2]грн!i138-[2]грн!h138+[2]грн!g138+[2]грн!m138+[2]грн!s138+[2]грн!y138+[2]грн!ae138+[2]грн!ak138</f>
        <v>4</v>
      </c>
      <c r="E138" s="19" t="n">
        <f aca="false">[2]грн!as138*1.07</f>
        <v>802.5</v>
      </c>
    </row>
    <row r="139" customFormat="false" ht="15" hidden="false" customHeight="false" outlineLevel="0" collapsed="false">
      <c r="A139" s="29" t="s">
        <v>114</v>
      </c>
      <c r="B139" s="28" t="s">
        <v>20</v>
      </c>
      <c r="C139" s="28" t="s">
        <v>116</v>
      </c>
      <c r="D139" s="15" t="n">
        <f aca="false">[2]грн!f139-[2]грн!aq139-[2]грн!ap139-[2]грн!ao139-[2]грн!an139-[2]грн!am139-[2]грн!al139-[2]грн!aj139-[2]грн!ai139-[2]грн!ah139-[2]грн!ag139-[2]грн!af139-[2]грн!ad139-[2]грн!ac139-[2]грн!ab139-[2]грн!aa139-[2]грн!z139-[2]грн!x139-[2]грн!w139-[2]грн!v139-[2]грн!u139-[2]грн!t139-[2]грн!r139-[2]грн!q139-[2]грн!p139-[2]грн!o139-[2]грн!n139-[2]грн!l139-[2]грн!k139-[2]грн!j139-[2]грн!i139-[2]грн!h139+[2]грн!g139+[2]грн!m139+[2]грн!s139+[2]грн!y139+[2]грн!ae139+[2]грн!ak139</f>
        <v>23</v>
      </c>
      <c r="E139" s="19" t="n">
        <f aca="false">[2]грн!as139*1.07</f>
        <v>802.5</v>
      </c>
    </row>
    <row r="140" customFormat="false" ht="15" hidden="false" customHeight="false" outlineLevel="0" collapsed="false">
      <c r="A140" s="46" t="s">
        <v>114</v>
      </c>
      <c r="B140" s="39" t="s">
        <v>20</v>
      </c>
      <c r="C140" s="39" t="s">
        <v>117</v>
      </c>
      <c r="D140" s="15" t="n">
        <f aca="false">[2]грн!f140-[2]грн!aq140-[2]грн!ap140-[2]грн!ao140-[2]грн!an140-[2]грн!am140-[2]грн!al140-[2]грн!aj140-[2]грн!ai140-[2]грн!ah140-[2]грн!ag140-[2]грн!af140-[2]грн!ad140-[2]грн!ac140-[2]грн!ab140-[2]грн!aa140-[2]грн!z140-[2]грн!x140-[2]грн!w140-[2]грн!v140-[2]грн!u140-[2]грн!t140-[2]грн!r140-[2]грн!q140-[2]грн!p140-[2]грн!o140-[2]грн!n140-[2]грн!l140-[2]грн!k140-[2]грн!j140-[2]грн!i140-[2]грн!h140+[2]грн!g140+[2]грн!m140+[2]грн!s140+[2]грн!y140+[2]грн!ae140+[2]грн!ak140</f>
        <v>94</v>
      </c>
      <c r="E140" s="19" t="n">
        <f aca="false">[2]грн!as140*1.07</f>
        <v>963</v>
      </c>
    </row>
    <row r="141" customFormat="false" ht="15" hidden="false" customHeight="false" outlineLevel="0" collapsed="false">
      <c r="A141" s="52" t="s">
        <v>114</v>
      </c>
      <c r="B141" s="53" t="s">
        <v>20</v>
      </c>
      <c r="C141" s="53" t="s">
        <v>117</v>
      </c>
      <c r="D141" s="15" t="n">
        <f aca="false">[2]грн!f141-[2]грн!aq141-[2]грн!ap141-[2]грн!ao141-[2]грн!an141-[2]грн!am141-[2]грн!al141-[2]грн!aj141-[2]грн!ai141-[2]грн!ah141-[2]грн!ag141-[2]грн!af141-[2]грн!ad141-[2]грн!ac141-[2]грн!ab141-[2]грн!aa141-[2]грн!z141-[2]грн!x141-[2]грн!w141-[2]грн!v141-[2]грн!u141-[2]грн!t141-[2]грн!r141-[2]грн!q141-[2]грн!p141-[2]грн!o141-[2]грн!n141-[2]грн!l141-[2]грн!k141-[2]грн!j141-[2]грн!i141-[2]грн!h141+[2]грн!g141+[2]грн!m141+[2]грн!s141+[2]грн!y141+[2]грн!ae141+[2]грн!ak141</f>
        <v>4</v>
      </c>
      <c r="E141" s="44" t="n">
        <f aca="false">[2]грн!as141*1.07</f>
        <v>749</v>
      </c>
    </row>
    <row r="142" customFormat="false" ht="15" hidden="true" customHeight="false" outlineLevel="0" collapsed="false">
      <c r="A142" s="49" t="s">
        <v>114</v>
      </c>
      <c r="B142" s="36" t="s">
        <v>17</v>
      </c>
      <c r="C142" s="28" t="s">
        <v>51</v>
      </c>
      <c r="D142" s="15" t="n">
        <f aca="false">[2]грн!f142-[2]грн!aq142-[2]грн!ap142-[2]грн!ao142-[2]грн!an142-[2]грн!am142-[2]грн!al142-[2]грн!aj142-[2]грн!ai142-[2]грн!ah142-[2]грн!ag142-[2]грн!af142-[2]грн!ad142-[2]грн!ac142-[2]грн!ab142-[2]грн!aa142-[2]грн!z142-[2]грн!x142-[2]грн!w142-[2]грн!v142-[2]грн!u142-[2]грн!t142-[2]грн!r142-[2]грн!q142-[2]грн!p142-[2]грн!o142-[2]грн!n142-[2]грн!l142-[2]грн!k142-[2]грн!j142-[2]грн!i142-[2]грн!h142+[2]грн!g142+[2]грн!m142+[2]грн!s142+[2]грн!y142+[2]грн!ae142+[2]грн!ak142</f>
        <v>0</v>
      </c>
      <c r="E142" s="19" t="n">
        <f aca="false">[2]грн!as142*1.07</f>
        <v>684.8</v>
      </c>
    </row>
    <row r="143" customFormat="false" ht="15" hidden="true" customHeight="false" outlineLevel="0" collapsed="false">
      <c r="A143" s="49" t="s">
        <v>114</v>
      </c>
      <c r="B143" s="36" t="s">
        <v>17</v>
      </c>
      <c r="C143" s="28" t="s">
        <v>118</v>
      </c>
      <c r="D143" s="15" t="n">
        <f aca="false">[2]грн!f143-[2]грн!aq143-[2]грн!ap143-[2]грн!ao143-[2]грн!an143-[2]грн!am143-[2]грн!al143-[2]грн!aj143-[2]грн!ai143-[2]грн!ah143-[2]грн!ag143-[2]грн!af143-[2]грн!ad143-[2]грн!ac143-[2]грн!ab143-[2]грн!aa143-[2]грн!z143-[2]грн!x143-[2]грн!w143-[2]грн!v143-[2]грн!u143-[2]грн!t143-[2]грн!r143-[2]грн!q143-[2]грн!p143-[2]грн!o143-[2]грн!n143-[2]грн!l143-[2]грн!k143-[2]грн!j143-[2]грн!i143-[2]грн!h143+[2]грн!g143+[2]грн!m143+[2]грн!s143+[2]грн!y143+[2]грн!ae143+[2]грн!ak143</f>
        <v>0</v>
      </c>
      <c r="E143" s="19" t="n">
        <f aca="false">[2]грн!as143*1.07</f>
        <v>706.2</v>
      </c>
    </row>
    <row r="144" customFormat="false" ht="15" hidden="true" customHeight="false" outlineLevel="0" collapsed="false">
      <c r="A144" s="49" t="s">
        <v>114</v>
      </c>
      <c r="B144" s="36" t="s">
        <v>17</v>
      </c>
      <c r="C144" s="28" t="s">
        <v>87</v>
      </c>
      <c r="D144" s="15" t="n">
        <f aca="false">[2]грн!f144-[2]грн!aq144-[2]грн!ap144-[2]грн!ao144-[2]грн!an144-[2]грн!am144-[2]грн!al144-[2]грн!aj144-[2]грн!ai144-[2]грн!ah144-[2]грн!ag144-[2]грн!af144-[2]грн!ad144-[2]грн!ac144-[2]грн!ab144-[2]грн!aa144-[2]грн!z144-[2]грн!x144-[2]грн!w144-[2]грн!v144-[2]грн!u144-[2]грн!t144-[2]грн!r144-[2]грн!q144-[2]грн!p144-[2]грн!o144-[2]грн!n144-[2]грн!l144-[2]грн!k144-[2]грн!j144-[2]грн!i144-[2]грн!h144+[2]грн!g144+[2]грн!m144+[2]грн!s144+[2]грн!y144+[2]грн!ae144+[2]грн!ak144</f>
        <v>0</v>
      </c>
      <c r="E144" s="19" t="n">
        <f aca="false">[2]грн!as144*1.07</f>
        <v>674.1</v>
      </c>
    </row>
    <row r="145" customFormat="false" ht="15" hidden="true" customHeight="false" outlineLevel="0" collapsed="false">
      <c r="A145" s="49" t="s">
        <v>114</v>
      </c>
      <c r="B145" s="36" t="s">
        <v>17</v>
      </c>
      <c r="C145" s="28" t="s">
        <v>22</v>
      </c>
      <c r="D145" s="15" t="n">
        <f aca="false">[2]грн!f145-[2]грн!aq145-[2]грн!ap145-[2]грн!ao145-[2]грн!an145-[2]грн!am145-[2]грн!al145-[2]грн!aj145-[2]грн!ai145-[2]грн!ah145-[2]грн!ag145-[2]грн!af145-[2]грн!ad145-[2]грн!ac145-[2]грн!ab145-[2]грн!aa145-[2]грн!z145-[2]грн!x145-[2]грн!w145-[2]грн!v145-[2]грн!u145-[2]грн!t145-[2]грн!r145-[2]грн!q145-[2]грн!p145-[2]грн!o145-[2]грн!n145-[2]грн!l145-[2]грн!k145-[2]грн!j145-[2]грн!i145-[2]грн!h145+[2]грн!g145+[2]грн!m145+[2]грн!s145+[2]грн!y145+[2]грн!ae145+[2]грн!ak145</f>
        <v>0</v>
      </c>
      <c r="E145" s="19" t="n">
        <f aca="false">[2]грн!as145*1.07</f>
        <v>770.4</v>
      </c>
    </row>
    <row r="146" customFormat="false" ht="15" hidden="true" customHeight="false" outlineLevel="0" collapsed="false">
      <c r="A146" s="23" t="s">
        <v>114</v>
      </c>
      <c r="B146" s="38" t="s">
        <v>17</v>
      </c>
      <c r="C146" s="39" t="s">
        <v>53</v>
      </c>
      <c r="D146" s="15" t="n">
        <f aca="false">[2]грн!f146-[2]грн!aq146-[2]грн!ap146-[2]грн!ao146-[2]грн!an146-[2]грн!am146-[2]грн!al146-[2]грн!aj146-[2]грн!ai146-[2]грн!ah146-[2]грн!ag146-[2]грн!af146-[2]грн!ad146-[2]грн!ac146-[2]грн!ab146-[2]грн!aa146-[2]грн!z146-[2]грн!x146-[2]грн!w146-[2]грн!v146-[2]грн!u146-[2]грн!t146-[2]грн!r146-[2]грн!q146-[2]грн!p146-[2]грн!o146-[2]грн!n146-[2]грн!l146-[2]грн!k146-[2]грн!j146-[2]грн!i146-[2]грн!h146+[2]грн!g146+[2]грн!m146+[2]грн!s146+[2]грн!y146+[2]грн!ae146+[2]грн!ak146</f>
        <v>0</v>
      </c>
      <c r="E146" s="19" t="n">
        <f aca="false">[2]грн!as146*1.07</f>
        <v>941.6</v>
      </c>
    </row>
    <row r="147" customFormat="false" ht="15" hidden="false" customHeight="false" outlineLevel="0" collapsed="false">
      <c r="A147" s="23" t="s">
        <v>114</v>
      </c>
      <c r="B147" s="38" t="s">
        <v>17</v>
      </c>
      <c r="C147" s="39" t="s">
        <v>52</v>
      </c>
      <c r="D147" s="15" t="n">
        <f aca="false">[2]грн!f147-[2]грн!aq147-[2]грн!ap147-[2]грн!ao147-[2]грн!an147-[2]грн!am147-[2]грн!al147-[2]грн!aj147-[2]грн!ai147-[2]грн!ah147-[2]грн!ag147-[2]грн!af147-[2]грн!ad147-[2]грн!ac147-[2]грн!ab147-[2]грн!aa147-[2]грн!z147-[2]грн!x147-[2]грн!w147-[2]грн!v147-[2]грн!u147-[2]грн!t147-[2]грн!r147-[2]грн!q147-[2]грн!p147-[2]грн!o147-[2]грн!n147-[2]грн!l147-[2]грн!k147-[2]грн!j147-[2]грн!i147-[2]грн!h147+[2]грн!g147+[2]грн!m147+[2]грн!s147+[2]грн!y147+[2]грн!ae147+[2]грн!ak147</f>
        <v>6</v>
      </c>
      <c r="E147" s="19" t="n">
        <f aca="false">[2]грн!as147*1.07</f>
        <v>995.1</v>
      </c>
    </row>
    <row r="148" customFormat="false" ht="15" hidden="false" customHeight="false" outlineLevel="0" collapsed="false">
      <c r="A148" s="23" t="s">
        <v>114</v>
      </c>
      <c r="B148" s="38" t="s">
        <v>17</v>
      </c>
      <c r="C148" s="39" t="s">
        <v>54</v>
      </c>
      <c r="D148" s="15" t="n">
        <f aca="false">[2]грн!f148-[2]грн!aq148-[2]грн!ap148-[2]грн!ao148-[2]грн!an148-[2]грн!am148-[2]грн!al148-[2]грн!aj148-[2]грн!ai148-[2]грн!ah148-[2]грн!ag148-[2]грн!af148-[2]грн!ad148-[2]грн!ac148-[2]грн!ab148-[2]грн!aa148-[2]грн!z148-[2]грн!x148-[2]грн!w148-[2]грн!v148-[2]грн!u148-[2]грн!t148-[2]грн!r148-[2]грн!q148-[2]грн!p148-[2]грн!o148-[2]грн!n148-[2]грн!l148-[2]грн!k148-[2]грн!j148-[2]грн!i148-[2]грн!h148+[2]грн!g148+[2]грн!m148+[2]грн!s148+[2]грн!y148+[2]грн!ae148+[2]грн!ak148</f>
        <v>4</v>
      </c>
      <c r="E148" s="19" t="n">
        <f aca="false">[2]грн!as148*1.07</f>
        <v>1123.5</v>
      </c>
    </row>
    <row r="149" customFormat="false" ht="15" hidden="true" customHeight="false" outlineLevel="0" collapsed="false">
      <c r="A149" s="23" t="s">
        <v>114</v>
      </c>
      <c r="B149" s="38" t="s">
        <v>17</v>
      </c>
      <c r="C149" s="39" t="s">
        <v>89</v>
      </c>
      <c r="D149" s="15" t="n">
        <f aca="false">[2]грн!f149-[2]грн!aq149-[2]грн!ap149-[2]грн!ao149-[2]грн!an149-[2]грн!am149-[2]грн!al149-[2]грн!aj149-[2]грн!ai149-[2]грн!ah149-[2]грн!ag149-[2]грн!af149-[2]грн!ad149-[2]грн!ac149-[2]грн!ab149-[2]грн!aa149-[2]грн!z149-[2]грн!x149-[2]грн!w149-[2]грн!v149-[2]грн!u149-[2]грн!t149-[2]грн!r149-[2]грн!q149-[2]грн!p149-[2]грн!o149-[2]грн!n149-[2]грн!l149-[2]грн!k149-[2]грн!j149-[2]грн!i149-[2]грн!h149+[2]грн!g149+[2]грн!m149+[2]грн!s149+[2]грн!y149+[2]грн!ae149+[2]грн!ak149</f>
        <v>0</v>
      </c>
      <c r="E149" s="19" t="n">
        <f aca="false">[2]грн!as149*1.07</f>
        <v>963</v>
      </c>
    </row>
    <row r="150" customFormat="false" ht="15" hidden="true" customHeight="false" outlineLevel="0" collapsed="false">
      <c r="A150" s="49" t="s">
        <v>114</v>
      </c>
      <c r="B150" s="18" t="s">
        <v>14</v>
      </c>
      <c r="C150" s="27" t="n">
        <v>230</v>
      </c>
      <c r="D150" s="15" t="n">
        <f aca="false">[2]грн!f150-[2]грн!aq150-[2]грн!ap150-[2]грн!ao150-[2]грн!an150-[2]грн!am150-[2]грн!al150-[2]грн!aj150-[2]грн!ai150-[2]грн!ah150-[2]грн!ag150-[2]грн!af150-[2]грн!ad150-[2]грн!ac150-[2]грн!ab150-[2]грн!aa150-[2]грн!z150-[2]грн!x150-[2]грн!w150-[2]грн!v150-[2]грн!u150-[2]грн!t150-[2]грн!r150-[2]грн!q150-[2]грн!p150-[2]грн!o150-[2]грн!n150-[2]грн!l150-[2]грн!k150-[2]грн!j150-[2]грн!i150-[2]грн!h150+[2]грн!g150+[2]грн!m150+[2]грн!s150+[2]грн!y150+[2]грн!ae150+[2]грн!ak150</f>
        <v>0</v>
      </c>
      <c r="E150" s="19" t="n">
        <f aca="false">[2]грн!as150*1.07</f>
        <v>727.6</v>
      </c>
    </row>
    <row r="151" customFormat="false" ht="15" hidden="false" customHeight="false" outlineLevel="0" collapsed="false">
      <c r="A151" s="49" t="s">
        <v>114</v>
      </c>
      <c r="B151" s="18" t="s">
        <v>14</v>
      </c>
      <c r="C151" s="27" t="s">
        <v>119</v>
      </c>
      <c r="D151" s="15" t="n">
        <f aca="false">[2]грн!f151-[2]грн!aq151-[2]грн!ap151-[2]грн!ao151-[2]грн!an151-[2]грн!am151-[2]грн!al151-[2]грн!aj151-[2]грн!ai151-[2]грн!ah151-[2]грн!ag151-[2]грн!af151-[2]грн!ad151-[2]грн!ac151-[2]грн!ab151-[2]грн!aa151-[2]грн!z151-[2]грн!x151-[2]грн!w151-[2]грн!v151-[2]грн!u151-[2]грн!t151-[2]грн!r151-[2]грн!q151-[2]грн!p151-[2]грн!o151-[2]грн!n151-[2]грн!l151-[2]грн!k151-[2]грн!j151-[2]грн!i151-[2]грн!h151+[2]грн!g151+[2]грн!m151+[2]грн!s151+[2]грн!y151+[2]грн!ae151+[2]грн!ak151</f>
        <v>14</v>
      </c>
      <c r="E151" s="19" t="n">
        <f aca="false">[2]грн!as151*1.07</f>
        <v>845.3</v>
      </c>
    </row>
    <row r="152" customFormat="false" ht="15" hidden="false" customHeight="false" outlineLevel="0" collapsed="false">
      <c r="A152" s="17" t="s">
        <v>114</v>
      </c>
      <c r="B152" s="18" t="s">
        <v>14</v>
      </c>
      <c r="C152" s="27" t="s">
        <v>120</v>
      </c>
      <c r="D152" s="15" t="n">
        <f aca="false">[2]грн!f152-[2]грн!aq152-[2]грн!ap152-[2]грн!ao152-[2]грн!an152-[2]грн!am152-[2]грн!al152-[2]грн!aj152-[2]грн!ai152-[2]грн!ah152-[2]грн!ag152-[2]грн!af152-[2]грн!ad152-[2]грн!ac152-[2]грн!ab152-[2]грн!aa152-[2]грн!z152-[2]грн!x152-[2]грн!w152-[2]грн!v152-[2]грн!u152-[2]грн!t152-[2]грн!r152-[2]грн!q152-[2]грн!p152-[2]грн!o152-[2]грн!n152-[2]грн!l152-[2]грн!k152-[2]грн!j152-[2]грн!i152-[2]грн!h152+[2]грн!g152+[2]грн!m152+[2]грн!s152+[2]грн!y152+[2]грн!ae152+[2]грн!ak152</f>
        <v>1</v>
      </c>
      <c r="E152" s="19" t="n">
        <f aca="false">[2]грн!as152*1.07</f>
        <v>802.5</v>
      </c>
    </row>
    <row r="153" customFormat="false" ht="15" hidden="true" customHeight="false" outlineLevel="0" collapsed="false">
      <c r="A153" s="23" t="s">
        <v>114</v>
      </c>
      <c r="B153" s="24" t="s">
        <v>14</v>
      </c>
      <c r="C153" s="24" t="s">
        <v>121</v>
      </c>
      <c r="D153" s="15" t="n">
        <f aca="false">[2]грн!f153-[2]грн!aq153-[2]грн!ap153-[2]грн!ao153-[2]грн!an153-[2]грн!am153-[2]грн!al153-[2]грн!aj153-[2]грн!ai153-[2]грн!ah153-[2]грн!ag153-[2]грн!af153-[2]грн!ad153-[2]грн!ac153-[2]грн!ab153-[2]грн!aa153-[2]грн!z153-[2]грн!x153-[2]грн!w153-[2]грн!v153-[2]грн!u153-[2]грн!t153-[2]грн!r153-[2]грн!q153-[2]грн!p153-[2]грн!o153-[2]грн!n153-[2]грн!l153-[2]грн!k153-[2]грн!j153-[2]грн!i153-[2]грн!h153+[2]грн!g153+[2]грн!m153+[2]грн!s153+[2]грн!y153+[2]грн!ae153+[2]грн!ak153</f>
        <v>0</v>
      </c>
      <c r="E153" s="19" t="n">
        <f aca="false">[2]грн!as153*1.07</f>
        <v>995.1</v>
      </c>
    </row>
    <row r="154" customFormat="false" ht="15" hidden="true" customHeight="false" outlineLevel="0" collapsed="false">
      <c r="A154" s="23" t="s">
        <v>114</v>
      </c>
      <c r="B154" s="24" t="s">
        <v>14</v>
      </c>
      <c r="C154" s="24" t="s">
        <v>60</v>
      </c>
      <c r="D154" s="15" t="n">
        <f aca="false">[2]грн!f154-[2]грн!aq154-[2]грн!ap154-[2]грн!ao154-[2]грн!an154-[2]грн!am154-[2]грн!al154-[2]грн!aj154-[2]грн!ai154-[2]грн!ah154-[2]грн!ag154-[2]грн!af154-[2]грн!ad154-[2]грн!ac154-[2]грн!ab154-[2]грн!aa154-[2]грн!z154-[2]грн!x154-[2]грн!w154-[2]грн!v154-[2]грн!u154-[2]грн!t154-[2]грн!r154-[2]грн!q154-[2]грн!p154-[2]грн!o154-[2]грн!n154-[2]грн!l154-[2]грн!k154-[2]грн!j154-[2]грн!i154-[2]грн!h154+[2]грн!g154+[2]грн!m154+[2]грн!s154+[2]грн!y154+[2]грн!ae154+[2]грн!ak154</f>
        <v>0</v>
      </c>
      <c r="E154" s="19" t="n">
        <f aca="false">[2]грн!as154*1.07</f>
        <v>802.5</v>
      </c>
    </row>
    <row r="155" customFormat="false" ht="15" hidden="false" customHeight="false" outlineLevel="0" collapsed="false">
      <c r="A155" s="17" t="s">
        <v>114</v>
      </c>
      <c r="B155" s="18" t="s">
        <v>10</v>
      </c>
      <c r="C155" s="18" t="s">
        <v>122</v>
      </c>
      <c r="D155" s="15" t="n">
        <f aca="false">[2]грн!f155-[2]грн!aq155-[2]грн!ap155-[2]грн!ao155-[2]грн!an155-[2]грн!am155-[2]грн!al155-[2]грн!aj155-[2]грн!ai155-[2]грн!ah155-[2]грн!ag155-[2]грн!af155-[2]грн!ad155-[2]грн!ac155-[2]грн!ab155-[2]грн!aa155-[2]грн!z155-[2]грн!x155-[2]грн!w155-[2]грн!v155-[2]грн!u155-[2]грн!t155-[2]грн!r155-[2]грн!q155-[2]грн!p155-[2]грн!o155-[2]грн!n155-[2]грн!l155-[2]грн!k155-[2]грн!j155-[2]грн!i155-[2]грн!h155+[2]грн!g155+[2]грн!m155+[2]грн!s155+[2]грн!y155+[2]грн!ae155+[2]грн!ak155</f>
        <v>11</v>
      </c>
      <c r="E155" s="19" t="n">
        <f aca="false">[2]грн!as155*1.07</f>
        <v>706.2</v>
      </c>
    </row>
    <row r="156" customFormat="false" ht="15" hidden="false" customHeight="false" outlineLevel="0" collapsed="false">
      <c r="A156" s="17" t="s">
        <v>114</v>
      </c>
      <c r="B156" s="18" t="s">
        <v>10</v>
      </c>
      <c r="C156" s="18" t="s">
        <v>62</v>
      </c>
      <c r="D156" s="15" t="n">
        <f aca="false">[2]грн!f156-[2]грн!aq156-[2]грн!ap156-[2]грн!ao156-[2]грн!an156-[2]грн!am156-[2]грн!al156-[2]грн!aj156-[2]грн!ai156-[2]грн!ah156-[2]грн!ag156-[2]грн!af156-[2]грн!ad156-[2]грн!ac156-[2]грн!ab156-[2]грн!aa156-[2]грн!z156-[2]грн!x156-[2]грн!w156-[2]грн!v156-[2]грн!u156-[2]грн!t156-[2]грн!r156-[2]грн!q156-[2]грн!p156-[2]грн!o156-[2]грн!n156-[2]грн!l156-[2]грн!k156-[2]грн!j156-[2]грн!i156-[2]грн!h156+[2]грн!g156+[2]грн!m156+[2]грн!s156+[2]грн!y156+[2]грн!ae156+[2]грн!ak156</f>
        <v>12</v>
      </c>
      <c r="E156" s="19" t="n">
        <f aca="false">[2]грн!as156*1.07</f>
        <v>727.6</v>
      </c>
    </row>
    <row r="157" customFormat="false" ht="15" hidden="false" customHeight="false" outlineLevel="0" collapsed="false">
      <c r="A157" s="17" t="s">
        <v>114</v>
      </c>
      <c r="B157" s="18" t="s">
        <v>10</v>
      </c>
      <c r="C157" s="18" t="s">
        <v>65</v>
      </c>
      <c r="D157" s="15" t="n">
        <f aca="false">[2]грн!f157-[2]грн!aq157-[2]грн!ap157-[2]грн!ao157-[2]грн!an157-[2]грн!am157-[2]грн!al157-[2]грн!aj157-[2]грн!ai157-[2]грн!ah157-[2]грн!ag157-[2]грн!af157-[2]грн!ad157-[2]грн!ac157-[2]грн!ab157-[2]грн!aa157-[2]грн!z157-[2]грн!x157-[2]грн!w157-[2]грн!v157-[2]грн!u157-[2]грн!t157-[2]грн!r157-[2]грн!q157-[2]грн!p157-[2]грн!o157-[2]грн!n157-[2]грн!l157-[2]грн!k157-[2]грн!j157-[2]грн!i157-[2]грн!h157+[2]грн!g157+[2]грн!m157+[2]грн!s157+[2]грн!y157+[2]грн!ae157+[2]грн!ak157</f>
        <v>28</v>
      </c>
      <c r="E157" s="19" t="n">
        <f aca="false">[2]грн!as157*1.07</f>
        <v>770.4</v>
      </c>
    </row>
    <row r="158" customFormat="false" ht="15" hidden="false" customHeight="false" outlineLevel="0" collapsed="false">
      <c r="A158" s="17" t="s">
        <v>114</v>
      </c>
      <c r="B158" s="18" t="s">
        <v>10</v>
      </c>
      <c r="C158" s="18" t="s">
        <v>80</v>
      </c>
      <c r="D158" s="15" t="n">
        <f aca="false">[2]грн!f158-[2]грн!aq158-[2]грн!ap158-[2]грн!ao158-[2]грн!an158-[2]грн!am158-[2]грн!al158-[2]грн!aj158-[2]грн!ai158-[2]грн!ah158-[2]грн!ag158-[2]грн!af158-[2]грн!ad158-[2]грн!ac158-[2]грн!ab158-[2]грн!aa158-[2]грн!z158-[2]грн!x158-[2]грн!w158-[2]грн!v158-[2]грн!u158-[2]грн!t158-[2]грн!r158-[2]грн!q158-[2]грн!p158-[2]грн!o158-[2]грн!n158-[2]грн!l158-[2]грн!k158-[2]грн!j158-[2]грн!i158-[2]грн!h158+[2]грн!g158+[2]грн!m158+[2]грн!s158+[2]грн!y158+[2]грн!ae158+[2]грн!ak158</f>
        <v>6</v>
      </c>
      <c r="E158" s="19" t="n">
        <f aca="false">[2]грн!as158*1.07</f>
        <v>781.1</v>
      </c>
    </row>
    <row r="159" customFormat="false" ht="15" hidden="false" customHeight="false" outlineLevel="0" collapsed="false">
      <c r="A159" s="17" t="s">
        <v>114</v>
      </c>
      <c r="B159" s="18" t="s">
        <v>10</v>
      </c>
      <c r="C159" s="18" t="s">
        <v>66</v>
      </c>
      <c r="D159" s="15" t="n">
        <f aca="false">[2]грн!f159-[2]грн!aq159-[2]грн!ap159-[2]грн!ao159-[2]грн!an159-[2]грн!am159-[2]грн!al159-[2]грн!aj159-[2]грн!ai159-[2]грн!ah159-[2]грн!ag159-[2]грн!af159-[2]грн!ad159-[2]грн!ac159-[2]грн!ab159-[2]грн!aa159-[2]грн!z159-[2]грн!x159-[2]грн!w159-[2]грн!v159-[2]грн!u159-[2]грн!t159-[2]грн!r159-[2]грн!q159-[2]грн!p159-[2]грн!o159-[2]грн!n159-[2]грн!l159-[2]грн!k159-[2]грн!j159-[2]грн!i159-[2]грн!h159+[2]грн!g159+[2]грн!m159+[2]грн!s159+[2]грн!y159+[2]грн!ae159+[2]грн!ak159</f>
        <v>8</v>
      </c>
      <c r="E159" s="19" t="n">
        <f aca="false">[2]грн!as159*1.07</f>
        <v>791.8</v>
      </c>
    </row>
    <row r="160" customFormat="false" ht="15" hidden="false" customHeight="false" outlineLevel="0" collapsed="false">
      <c r="A160" s="23" t="s">
        <v>114</v>
      </c>
      <c r="B160" s="33" t="s">
        <v>10</v>
      </c>
      <c r="C160" s="24" t="s">
        <v>123</v>
      </c>
      <c r="D160" s="15" t="n">
        <f aca="false">[2]грн!f160-[2]грн!aq160-[2]грн!ap160-[2]грн!ao160-[2]грн!an160-[2]грн!am160-[2]грн!al160-[2]грн!aj160-[2]грн!ai160-[2]грн!ah160-[2]грн!ag160-[2]грн!af160-[2]грн!ad160-[2]грн!ac160-[2]грн!ab160-[2]грн!aa160-[2]грн!z160-[2]грн!x160-[2]грн!w160-[2]грн!v160-[2]грн!u160-[2]грн!t160-[2]грн!r160-[2]грн!q160-[2]грн!p160-[2]грн!o160-[2]грн!n160-[2]грн!l160-[2]грн!k160-[2]грн!j160-[2]грн!i160-[2]грн!h160+[2]грн!g160+[2]грн!m160+[2]грн!s160+[2]грн!y160+[2]грн!ae160+[2]грн!ak160</f>
        <v>8</v>
      </c>
      <c r="E160" s="19" t="n">
        <f aca="false">[2]грн!as160*1.07</f>
        <v>727.6</v>
      </c>
    </row>
    <row r="161" customFormat="false" ht="15" hidden="false" customHeight="false" outlineLevel="0" collapsed="false">
      <c r="A161" s="23" t="s">
        <v>114</v>
      </c>
      <c r="B161" s="33" t="s">
        <v>10</v>
      </c>
      <c r="C161" s="24" t="s">
        <v>124</v>
      </c>
      <c r="D161" s="15" t="n">
        <f aca="false">[2]грн!f161-[2]грн!aq161-[2]грн!ap161-[2]грн!ao161-[2]грн!an161-[2]грн!am161-[2]грн!al161-[2]грн!aj161-[2]грн!ai161-[2]грн!ah161-[2]грн!ag161-[2]грн!af161-[2]грн!ad161-[2]грн!ac161-[2]грн!ab161-[2]грн!aa161-[2]грн!z161-[2]грн!x161-[2]грн!w161-[2]грн!v161-[2]грн!u161-[2]грн!t161-[2]грн!r161-[2]грн!q161-[2]грн!p161-[2]грн!o161-[2]грн!n161-[2]грн!l161-[2]грн!k161-[2]грн!j161-[2]грн!i161-[2]грн!h161+[2]грн!g161+[2]грн!m161+[2]грн!s161+[2]грн!y161+[2]грн!ae161+[2]грн!ak161</f>
        <v>52</v>
      </c>
      <c r="E161" s="19" t="n">
        <f aca="false">[2]грн!as161*1.07</f>
        <v>834.6</v>
      </c>
    </row>
    <row r="162" customFormat="false" ht="15" hidden="false" customHeight="false" outlineLevel="0" collapsed="false">
      <c r="A162" s="23" t="s">
        <v>114</v>
      </c>
      <c r="B162" s="33" t="s">
        <v>10</v>
      </c>
      <c r="C162" s="24" t="s">
        <v>71</v>
      </c>
      <c r="D162" s="15" t="n">
        <f aca="false">[2]грн!f162-[2]грн!aq162-[2]грн!ap162-[2]грн!ao162-[2]грн!an162-[2]грн!am162-[2]грн!al162-[2]грн!aj162-[2]грн!ai162-[2]грн!ah162-[2]грн!ag162-[2]грн!af162-[2]грн!ad162-[2]грн!ac162-[2]грн!ab162-[2]грн!aa162-[2]грн!z162-[2]грн!x162-[2]грн!w162-[2]грн!v162-[2]грн!u162-[2]грн!t162-[2]грн!r162-[2]грн!q162-[2]грн!p162-[2]грн!o162-[2]грн!n162-[2]грн!l162-[2]грн!k162-[2]грн!j162-[2]грн!i162-[2]грн!h162+[2]грн!g162+[2]грн!m162+[2]грн!s162+[2]грн!y162+[2]грн!ae162+[2]грн!ak162</f>
        <v>20</v>
      </c>
      <c r="E162" s="19" t="n">
        <f aca="false">[2]грн!as162*1.07</f>
        <v>754.35</v>
      </c>
    </row>
    <row r="163" customFormat="false" ht="15" hidden="false" customHeight="false" outlineLevel="0" collapsed="false">
      <c r="A163" s="23" t="s">
        <v>114</v>
      </c>
      <c r="B163" s="33" t="s">
        <v>10</v>
      </c>
      <c r="C163" s="24" t="s">
        <v>69</v>
      </c>
      <c r="D163" s="15" t="n">
        <f aca="false">[2]грн!f163-[2]грн!aq163-[2]грн!ap163-[2]грн!ao163-[2]грн!an163-[2]грн!am163-[2]грн!al163-[2]грн!aj163-[2]грн!ai163-[2]грн!ah163-[2]грн!ag163-[2]грн!af163-[2]грн!ad163-[2]грн!ac163-[2]грн!ab163-[2]грн!aa163-[2]грн!z163-[2]грн!x163-[2]грн!w163-[2]грн!v163-[2]грн!u163-[2]грн!t163-[2]грн!r163-[2]грн!q163-[2]грн!p163-[2]грн!o163-[2]грн!n163-[2]грн!l163-[2]грн!k163-[2]грн!j163-[2]грн!i163-[2]грн!h163+[2]грн!g163+[2]грн!m163+[2]грн!s163+[2]грн!y163+[2]грн!ae163+[2]грн!ak163</f>
        <v>14</v>
      </c>
      <c r="E163" s="19" t="n">
        <f aca="false">[2]грн!as163*1.07</f>
        <v>770.4</v>
      </c>
    </row>
    <row r="164" customFormat="false" ht="15" hidden="false" customHeight="false" outlineLevel="0" collapsed="false">
      <c r="A164" s="23" t="s">
        <v>114</v>
      </c>
      <c r="B164" s="33" t="s">
        <v>10</v>
      </c>
      <c r="C164" s="24" t="s">
        <v>70</v>
      </c>
      <c r="D164" s="15" t="n">
        <f aca="false">[2]грн!f164-[2]грн!aq164-[2]грн!ap164-[2]грн!ao164-[2]грн!an164-[2]грн!am164-[2]грн!al164-[2]грн!aj164-[2]грн!ai164-[2]грн!ah164-[2]грн!ag164-[2]грн!af164-[2]грн!ad164-[2]грн!ac164-[2]грн!ab164-[2]грн!aa164-[2]грн!z164-[2]грн!x164-[2]грн!w164-[2]грн!v164-[2]грн!u164-[2]грн!t164-[2]грн!r164-[2]грн!q164-[2]грн!p164-[2]грн!o164-[2]грн!n164-[2]грн!l164-[2]грн!k164-[2]грн!j164-[2]грн!i164-[2]грн!h164+[2]грн!g164+[2]грн!m164+[2]грн!s164+[2]грн!y164+[2]грн!ae164+[2]грн!ak164</f>
        <v>10</v>
      </c>
      <c r="E164" s="19" t="n">
        <f aca="false">[2]грн!as164*1.07</f>
        <v>963</v>
      </c>
    </row>
    <row r="165" customFormat="false" ht="15" hidden="true" customHeight="false" outlineLevel="0" collapsed="false">
      <c r="A165" s="49" t="s">
        <v>114</v>
      </c>
      <c r="B165" s="36" t="s">
        <v>74</v>
      </c>
      <c r="C165" s="51" t="s">
        <v>112</v>
      </c>
      <c r="D165" s="15" t="n">
        <f aca="false">[2]грн!f165-[2]грн!aq165-[2]грн!ap165-[2]грн!ao165-[2]грн!an165-[2]грн!am165-[2]грн!al165-[2]грн!aj165-[2]грн!ai165-[2]грн!ah165-[2]грн!ag165-[2]грн!af165-[2]грн!ad165-[2]грн!ac165-[2]грн!ab165-[2]грн!aa165-[2]грн!z165-[2]грн!x165-[2]грн!w165-[2]грн!v165-[2]грн!u165-[2]грн!t165-[2]грн!r165-[2]грн!q165-[2]грн!p165-[2]грн!o165-[2]грн!n165-[2]грн!l165-[2]грн!k165-[2]грн!j165-[2]грн!i165-[2]грн!h165+[2]грн!g165+[2]грн!m165+[2]грн!s165+[2]грн!y165+[2]грн!ae165+[2]грн!ak165</f>
        <v>0</v>
      </c>
      <c r="E165" s="19" t="n">
        <f aca="false">[2]грн!as165*1.07</f>
        <v>749</v>
      </c>
    </row>
    <row r="166" customFormat="false" ht="15" hidden="true" customHeight="false" outlineLevel="0" collapsed="false">
      <c r="A166" s="49" t="s">
        <v>114</v>
      </c>
      <c r="B166" s="36" t="s">
        <v>74</v>
      </c>
      <c r="C166" s="51" t="s">
        <v>125</v>
      </c>
      <c r="D166" s="15" t="n">
        <f aca="false">[2]грн!f166-[2]грн!aq166-[2]грн!ap166-[2]грн!ao166-[2]грн!an166-[2]грн!am166-[2]грн!al166-[2]грн!aj166-[2]грн!ai166-[2]грн!ah166-[2]грн!ag166-[2]грн!af166-[2]грн!ad166-[2]грн!ac166-[2]грн!ab166-[2]грн!aa166-[2]грн!z166-[2]грн!x166-[2]грн!w166-[2]грн!v166-[2]грн!u166-[2]грн!t166-[2]грн!r166-[2]грн!q166-[2]грн!p166-[2]грн!o166-[2]грн!n166-[2]грн!l166-[2]грн!k166-[2]грн!j166-[2]грн!i166-[2]грн!h166+[2]грн!g166+[2]грн!m166+[2]грн!s166+[2]грн!y166+[2]грн!ae166+[2]грн!ak166</f>
        <v>0</v>
      </c>
      <c r="E166" s="19" t="n">
        <f aca="false">[2]грн!as166*1.07</f>
        <v>588.5</v>
      </c>
    </row>
    <row r="167" customFormat="false" ht="15" hidden="true" customHeight="false" outlineLevel="0" collapsed="false">
      <c r="A167" s="23" t="s">
        <v>114</v>
      </c>
      <c r="B167" s="38" t="s">
        <v>74</v>
      </c>
      <c r="C167" s="39" t="s">
        <v>126</v>
      </c>
      <c r="D167" s="15" t="n">
        <f aca="false">[2]грн!f167-[2]грн!aq167-[2]грн!ap167-[2]грн!ao167-[2]грн!an167-[2]грн!am167-[2]грн!al167-[2]грн!aj167-[2]грн!ai167-[2]грн!ah167-[2]грн!ag167-[2]грн!af167-[2]грн!ad167-[2]грн!ac167-[2]грн!ab167-[2]грн!aa167-[2]грн!z167-[2]грн!x167-[2]грн!w167-[2]грн!v167-[2]грн!u167-[2]грн!t167-[2]грн!r167-[2]грн!q167-[2]грн!p167-[2]грн!o167-[2]грн!n167-[2]грн!l167-[2]грн!k167-[2]грн!j167-[2]грн!i167-[2]грн!h167+[2]грн!g167+[2]грн!m167+[2]грн!s167+[2]грн!y167+[2]грн!ae167+[2]грн!ak167</f>
        <v>0</v>
      </c>
      <c r="E167" s="19" t="n">
        <f aca="false">[2]грн!as167*1.07</f>
        <v>888.1</v>
      </c>
    </row>
    <row r="168" customFormat="false" ht="15" hidden="true" customHeight="false" outlineLevel="0" collapsed="false">
      <c r="A168" s="23" t="s">
        <v>114</v>
      </c>
      <c r="B168" s="38" t="s">
        <v>74</v>
      </c>
      <c r="C168" s="39" t="s">
        <v>127</v>
      </c>
      <c r="D168" s="15" t="n">
        <f aca="false">[2]грн!f168-[2]грн!aq168-[2]грн!ap168-[2]грн!ao168-[2]грн!an168-[2]грн!am168-[2]грн!al168-[2]грн!aj168-[2]грн!ai168-[2]грн!ah168-[2]грн!ag168-[2]грн!af168-[2]грн!ad168-[2]грн!ac168-[2]грн!ab168-[2]грн!aa168-[2]грн!z168-[2]грн!x168-[2]грн!w168-[2]грн!v168-[2]грн!u168-[2]грн!t168-[2]грн!r168-[2]грн!q168-[2]грн!p168-[2]грн!o168-[2]грн!n168-[2]грн!l168-[2]грн!k168-[2]грн!j168-[2]грн!i168-[2]грн!h168+[2]грн!g168+[2]грн!m168+[2]грн!s168+[2]грн!y168+[2]грн!ae168+[2]грн!ak168</f>
        <v>0</v>
      </c>
      <c r="E168" s="19" t="n">
        <f aca="false">[2]грн!as168*1.07</f>
        <v>963</v>
      </c>
    </row>
    <row r="169" customFormat="false" ht="15" hidden="true" customHeight="false" outlineLevel="0" collapsed="false">
      <c r="A169" s="23" t="s">
        <v>114</v>
      </c>
      <c r="B169" s="38" t="s">
        <v>74</v>
      </c>
      <c r="C169" s="39" t="s">
        <v>128</v>
      </c>
      <c r="D169" s="15" t="n">
        <f aca="false">[2]грн!f169-[2]грн!aq169-[2]грн!ap169-[2]грн!ao169-[2]грн!an169-[2]грн!am169-[2]грн!al169-[2]грн!aj169-[2]грн!ai169-[2]грн!ah169-[2]грн!ag169-[2]грн!af169-[2]грн!ad169-[2]грн!ac169-[2]грн!ab169-[2]грн!aa169-[2]грн!z169-[2]грн!x169-[2]грн!w169-[2]грн!v169-[2]грн!u169-[2]грн!t169-[2]грн!r169-[2]грн!q169-[2]грн!p169-[2]грн!o169-[2]грн!n169-[2]грн!l169-[2]грн!k169-[2]грн!j169-[2]грн!i169-[2]грн!h169+[2]грн!g169+[2]грн!m169+[2]грн!s169+[2]грн!y169+[2]грн!ae169+[2]грн!ak169</f>
        <v>0</v>
      </c>
      <c r="E169" s="19" t="n">
        <f aca="false">[2]грн!as169*1.07</f>
        <v>856</v>
      </c>
    </row>
    <row r="170" customFormat="false" ht="15" hidden="true" customHeight="false" outlineLevel="0" collapsed="false">
      <c r="A170" s="23" t="s">
        <v>114</v>
      </c>
      <c r="B170" s="38" t="s">
        <v>74</v>
      </c>
      <c r="C170" s="39" t="s">
        <v>94</v>
      </c>
      <c r="D170" s="15" t="n">
        <f aca="false">[2]грн!f170-[2]грн!aq170-[2]грн!ap170-[2]грн!ao170-[2]грн!an170-[2]грн!am170-[2]грн!al170-[2]грн!aj170-[2]грн!ai170-[2]грн!ah170-[2]грн!ag170-[2]грн!af170-[2]грн!ad170-[2]грн!ac170-[2]грн!ab170-[2]грн!aa170-[2]грн!z170-[2]грн!x170-[2]грн!w170-[2]грн!v170-[2]грн!u170-[2]грн!t170-[2]грн!r170-[2]грн!q170-[2]грн!p170-[2]грн!o170-[2]грн!n170-[2]грн!l170-[2]грн!k170-[2]грн!j170-[2]грн!i170-[2]грн!h170+[2]грн!g170+[2]грн!m170+[2]грн!s170+[2]грн!y170+[2]грн!ae170+[2]грн!ak170</f>
        <v>0</v>
      </c>
      <c r="E170" s="19" t="n">
        <f aca="false">[2]грн!as170*1.07</f>
        <v>802.5</v>
      </c>
    </row>
    <row r="171" customFormat="false" ht="15" hidden="false" customHeight="false" outlineLevel="0" collapsed="false">
      <c r="A171" s="17" t="s">
        <v>129</v>
      </c>
      <c r="B171" s="18" t="s">
        <v>20</v>
      </c>
      <c r="C171" s="18" t="s">
        <v>130</v>
      </c>
      <c r="D171" s="15" t="n">
        <f aca="false">[2]грн!f171-[2]грн!aq171-[2]грн!ap171-[2]грн!ao171-[2]грн!an171-[2]грн!am171-[2]грн!al171-[2]грн!aj171-[2]грн!ai171-[2]грн!ah171-[2]грн!ag171-[2]грн!af171-[2]грн!ad171-[2]грн!ac171-[2]грн!ab171-[2]грн!aa171-[2]грн!z171-[2]грн!x171-[2]грн!w171-[2]грн!v171-[2]грн!u171-[2]грн!t171-[2]грн!r171-[2]грн!q171-[2]грн!p171-[2]грн!o171-[2]грн!n171-[2]грн!l171-[2]грн!k171-[2]грн!j171-[2]грн!i171-[2]грн!h171+[2]грн!g171+[2]грн!m171+[2]грн!s171+[2]грн!y171+[2]грн!ae171+[2]грн!ak171</f>
        <v>26</v>
      </c>
      <c r="E171" s="19" t="n">
        <f aca="false">[2]грн!as171*1.07</f>
        <v>898.8</v>
      </c>
    </row>
    <row r="172" customFormat="false" ht="15" hidden="false" customHeight="false" outlineLevel="0" collapsed="false">
      <c r="A172" s="17" t="s">
        <v>129</v>
      </c>
      <c r="B172" s="18" t="s">
        <v>20</v>
      </c>
      <c r="C172" s="18" t="s">
        <v>131</v>
      </c>
      <c r="D172" s="15" t="n">
        <f aca="false">[2]грн!f172-[2]грн!aq172-[2]грн!ap172-[2]грн!ao172-[2]грн!an172-[2]грн!am172-[2]грн!al172-[2]грн!aj172-[2]грн!ai172-[2]грн!ah172-[2]грн!ag172-[2]грн!af172-[2]грн!ad172-[2]грн!ac172-[2]грн!ab172-[2]грн!aa172-[2]грн!z172-[2]грн!x172-[2]грн!w172-[2]грн!v172-[2]грн!u172-[2]грн!t172-[2]грн!r172-[2]грн!q172-[2]грн!p172-[2]грн!o172-[2]грн!n172-[2]грн!l172-[2]грн!k172-[2]грн!j172-[2]грн!i172-[2]грн!h172+[2]грн!g172+[2]грн!m172+[2]грн!s172+[2]грн!y172+[2]грн!ae172+[2]грн!ak172</f>
        <v>18</v>
      </c>
      <c r="E172" s="19" t="n">
        <f aca="false">[2]грн!as172*1.07</f>
        <v>845.3</v>
      </c>
    </row>
    <row r="173" customFormat="false" ht="15" hidden="true" customHeight="false" outlineLevel="0" collapsed="false">
      <c r="A173" s="23" t="s">
        <v>129</v>
      </c>
      <c r="B173" s="24" t="s">
        <v>20</v>
      </c>
      <c r="C173" s="24" t="s">
        <v>132</v>
      </c>
      <c r="D173" s="15" t="n">
        <f aca="false">[2]грн!f173-[2]грн!aq173-[2]грн!ap173-[2]грн!ao173-[2]грн!an173-[2]грн!am173-[2]грн!al173-[2]грн!aj173-[2]грн!ai173-[2]грн!ah173-[2]грн!ag173-[2]грн!af173-[2]грн!ad173-[2]грн!ac173-[2]грн!ab173-[2]грн!aa173-[2]грн!z173-[2]грн!x173-[2]грн!w173-[2]грн!v173-[2]грн!u173-[2]грн!t173-[2]грн!r173-[2]грн!q173-[2]грн!p173-[2]грн!o173-[2]грн!n173-[2]грн!l173-[2]грн!k173-[2]грн!j173-[2]грн!i173-[2]грн!h173+[2]грн!g173+[2]грн!m173+[2]грн!s173+[2]грн!y173+[2]грн!ae173+[2]грн!ak173</f>
        <v>0</v>
      </c>
      <c r="E173" s="19" t="n">
        <f aca="false">[2]грн!as173*1.07</f>
        <v>845.3</v>
      </c>
    </row>
    <row r="174" customFormat="false" ht="15" hidden="true" customHeight="false" outlineLevel="0" collapsed="false">
      <c r="A174" s="49" t="s">
        <v>129</v>
      </c>
      <c r="B174" s="18" t="s">
        <v>17</v>
      </c>
      <c r="C174" s="18" t="s">
        <v>51</v>
      </c>
      <c r="D174" s="15" t="n">
        <f aca="false">[2]грн!f174-[2]грн!aq174-[2]грн!ap174-[2]грн!ao174-[2]грн!an174-[2]грн!am174-[2]грн!al174-[2]грн!aj174-[2]грн!ai174-[2]грн!ah174-[2]грн!ag174-[2]грн!af174-[2]грн!ad174-[2]грн!ac174-[2]грн!ab174-[2]грн!aa174-[2]грн!z174-[2]грн!x174-[2]грн!w174-[2]грн!v174-[2]грн!u174-[2]грн!t174-[2]грн!r174-[2]грн!q174-[2]грн!p174-[2]грн!o174-[2]грн!n174-[2]грн!l174-[2]грн!k174-[2]грн!j174-[2]грн!i174-[2]грн!h174+[2]грн!g174+[2]грн!m174+[2]грн!s174+[2]грн!y174+[2]грн!ae174+[2]грн!ak174</f>
        <v>0</v>
      </c>
      <c r="E174" s="19" t="n">
        <f aca="false">[2]грн!as174*1.07</f>
        <v>695.5</v>
      </c>
    </row>
    <row r="175" customFormat="false" ht="15" hidden="true" customHeight="false" outlineLevel="0" collapsed="false">
      <c r="A175" s="49" t="s">
        <v>129</v>
      </c>
      <c r="B175" s="18" t="s">
        <v>17</v>
      </c>
      <c r="C175" s="18" t="s">
        <v>22</v>
      </c>
      <c r="D175" s="15" t="n">
        <f aca="false">[2]грн!f175-[2]грн!aq175-[2]грн!ap175-[2]грн!ao175-[2]грн!an175-[2]грн!am175-[2]грн!al175-[2]грн!aj175-[2]грн!ai175-[2]грн!ah175-[2]грн!ag175-[2]грн!af175-[2]грн!ad175-[2]грн!ac175-[2]грн!ab175-[2]грн!aa175-[2]грн!z175-[2]грн!x175-[2]грн!w175-[2]грн!v175-[2]грн!u175-[2]грн!t175-[2]грн!r175-[2]грн!q175-[2]грн!p175-[2]грн!o175-[2]грн!n175-[2]грн!l175-[2]грн!k175-[2]грн!j175-[2]грн!i175-[2]грн!h175+[2]грн!g175+[2]грн!m175+[2]грн!s175+[2]грн!y175+[2]грн!ae175+[2]грн!ak175</f>
        <v>0</v>
      </c>
      <c r="E175" s="19" t="n">
        <f aca="false">[2]грн!as175*1.07</f>
        <v>770.4</v>
      </c>
    </row>
    <row r="176" customFormat="false" ht="15" hidden="false" customHeight="false" outlineLevel="0" collapsed="false">
      <c r="A176" s="23" t="s">
        <v>129</v>
      </c>
      <c r="B176" s="24" t="s">
        <v>17</v>
      </c>
      <c r="C176" s="39" t="s">
        <v>23</v>
      </c>
      <c r="D176" s="15" t="n">
        <f aca="false">[2]грн!f176-[2]грн!aq176-[2]грн!ap176-[2]грн!ao176-[2]грн!an176-[2]грн!am176-[2]грн!al176-[2]грн!aj176-[2]грн!ai176-[2]грн!ah176-[2]грн!ag176-[2]грн!af176-[2]грн!ad176-[2]грн!ac176-[2]грн!ab176-[2]грн!aa176-[2]грн!z176-[2]грн!x176-[2]грн!w176-[2]грн!v176-[2]грн!u176-[2]грн!t176-[2]грн!r176-[2]грн!q176-[2]грн!p176-[2]грн!o176-[2]грн!n176-[2]грн!l176-[2]грн!k176-[2]грн!j176-[2]грн!i176-[2]грн!h176+[2]грн!g176+[2]грн!m176+[2]грн!s176+[2]грн!y176+[2]грн!ae176+[2]грн!ak176</f>
        <v>16</v>
      </c>
      <c r="E176" s="19" t="n">
        <f aca="false">[2]грн!as176*1.07</f>
        <v>963</v>
      </c>
    </row>
    <row r="177" customFormat="false" ht="15" hidden="true" customHeight="false" outlineLevel="0" collapsed="false">
      <c r="A177" s="23" t="s">
        <v>129</v>
      </c>
      <c r="B177" s="38" t="s">
        <v>17</v>
      </c>
      <c r="C177" s="24" t="s">
        <v>133</v>
      </c>
      <c r="D177" s="15" t="n">
        <f aca="false">[2]грн!f177-[2]грн!aq177-[2]грн!ap177-[2]грн!ao177-[2]грн!an177-[2]грн!am177-[2]грн!al177-[2]грн!aj177-[2]грн!ai177-[2]грн!ah177-[2]грн!ag177-[2]грн!af177-[2]грн!ad177-[2]грн!ac177-[2]грн!ab177-[2]грн!aa177-[2]грн!z177-[2]грн!x177-[2]грн!w177-[2]грн!v177-[2]грн!u177-[2]грн!t177-[2]грн!r177-[2]грн!q177-[2]грн!p177-[2]грн!o177-[2]грн!n177-[2]грн!l177-[2]грн!k177-[2]грн!j177-[2]грн!i177-[2]грн!h177+[2]грн!g177+[2]грн!m177+[2]грн!s177+[2]грн!y177+[2]грн!ae177+[2]грн!ak177</f>
        <v>0</v>
      </c>
      <c r="E177" s="19" t="n">
        <f aca="false">[2]грн!as177*1.07</f>
        <v>749</v>
      </c>
    </row>
    <row r="178" customFormat="false" ht="15" hidden="true" customHeight="false" outlineLevel="0" collapsed="false">
      <c r="A178" s="23" t="s">
        <v>129</v>
      </c>
      <c r="B178" s="24" t="s">
        <v>17</v>
      </c>
      <c r="C178" s="24" t="s">
        <v>134</v>
      </c>
      <c r="D178" s="15" t="n">
        <f aca="false">[2]грн!f178-[2]грн!aq178-[2]грн!ap178-[2]грн!ao178-[2]грн!an178-[2]грн!am178-[2]грн!al178-[2]грн!aj178-[2]грн!ai178-[2]грн!ah178-[2]грн!ag178-[2]грн!af178-[2]грн!ad178-[2]грн!ac178-[2]грн!ab178-[2]грн!aa178-[2]грн!z178-[2]грн!x178-[2]грн!w178-[2]грн!v178-[2]грн!u178-[2]грн!t178-[2]грн!r178-[2]грн!q178-[2]грн!p178-[2]грн!o178-[2]грн!n178-[2]грн!l178-[2]грн!k178-[2]грн!j178-[2]грн!i178-[2]грн!h178+[2]грн!g178+[2]грн!m178+[2]грн!s178+[2]грн!y178+[2]грн!ae178+[2]грн!ak178</f>
        <v>0</v>
      </c>
      <c r="E178" s="19" t="n">
        <f aca="false">[2]грн!as178*1.07</f>
        <v>759.7</v>
      </c>
    </row>
    <row r="179" customFormat="false" ht="15" hidden="true" customHeight="false" outlineLevel="0" collapsed="false">
      <c r="A179" s="17" t="s">
        <v>129</v>
      </c>
      <c r="B179" s="18" t="s">
        <v>14</v>
      </c>
      <c r="C179" s="18" t="s">
        <v>119</v>
      </c>
      <c r="D179" s="15" t="n">
        <f aca="false">[2]грн!f179-[2]грн!aq179-[2]грн!ap179-[2]грн!ao179-[2]грн!an179-[2]грн!am179-[2]грн!al179-[2]грн!aj179-[2]грн!ai179-[2]грн!ah179-[2]грн!ag179-[2]грн!af179-[2]грн!ad179-[2]грн!ac179-[2]грн!ab179-[2]грн!aa179-[2]грн!z179-[2]грн!x179-[2]грн!w179-[2]грн!v179-[2]грн!u179-[2]грн!t179-[2]грн!r179-[2]грн!q179-[2]грн!p179-[2]грн!o179-[2]грн!n179-[2]грн!l179-[2]грн!k179-[2]грн!j179-[2]грн!i179-[2]грн!h179+[2]грн!g179+[2]грн!m179+[2]грн!s179+[2]грн!y179+[2]грн!ae179+[2]грн!ak179</f>
        <v>0</v>
      </c>
      <c r="E179" s="19" t="n">
        <f aca="false">[2]грн!as179*1.07</f>
        <v>920.2</v>
      </c>
    </row>
    <row r="180" customFormat="false" ht="15" hidden="true" customHeight="false" outlineLevel="0" collapsed="false">
      <c r="A180" s="23" t="s">
        <v>129</v>
      </c>
      <c r="B180" s="24" t="s">
        <v>14</v>
      </c>
      <c r="C180" s="24" t="s">
        <v>135</v>
      </c>
      <c r="D180" s="15" t="n">
        <f aca="false">[2]грн!f180-[2]грн!aq180-[2]грн!ap180-[2]грн!ao180-[2]грн!an180-[2]грн!am180-[2]грн!al180-[2]грн!aj180-[2]грн!ai180-[2]грн!ah180-[2]грн!ag180-[2]грн!af180-[2]грн!ad180-[2]грн!ac180-[2]грн!ab180-[2]грн!aa180-[2]грн!z180-[2]грн!x180-[2]грн!w180-[2]грн!v180-[2]грн!u180-[2]грн!t180-[2]грн!r180-[2]грн!q180-[2]грн!p180-[2]грн!o180-[2]грн!n180-[2]грн!l180-[2]грн!k180-[2]грн!j180-[2]грн!i180-[2]грн!h180+[2]грн!g180+[2]грн!m180+[2]грн!s180+[2]грн!y180+[2]грн!ae180+[2]грн!ak180</f>
        <v>0</v>
      </c>
      <c r="E180" s="19" t="n">
        <f aca="false">[2]грн!as180*1.07</f>
        <v>909.5</v>
      </c>
    </row>
    <row r="181" customFormat="false" ht="15" hidden="true" customHeight="false" outlineLevel="0" collapsed="false">
      <c r="A181" s="23" t="s">
        <v>129</v>
      </c>
      <c r="B181" s="24" t="s">
        <v>14</v>
      </c>
      <c r="C181" s="24" t="s">
        <v>60</v>
      </c>
      <c r="D181" s="15" t="n">
        <f aca="false">[2]грн!f181-[2]грн!aq181-[2]грн!ap181-[2]грн!ao181-[2]грн!an181-[2]грн!am181-[2]грн!al181-[2]грн!aj181-[2]грн!ai181-[2]грн!ah181-[2]грн!ag181-[2]грн!af181-[2]грн!ad181-[2]грн!ac181-[2]грн!ab181-[2]грн!aa181-[2]грн!z181-[2]грн!x181-[2]грн!w181-[2]грн!v181-[2]грн!u181-[2]грн!t181-[2]грн!r181-[2]грн!q181-[2]грн!p181-[2]грн!o181-[2]грн!n181-[2]грн!l181-[2]грн!k181-[2]грн!j181-[2]грн!i181-[2]грн!h181+[2]грн!g181+[2]грн!m181+[2]грн!s181+[2]грн!y181+[2]грн!ae181+[2]грн!ak181</f>
        <v>0</v>
      </c>
      <c r="E181" s="19" t="n">
        <f aca="false">[2]грн!as181*1.07</f>
        <v>834.6</v>
      </c>
    </row>
    <row r="182" customFormat="false" ht="15" hidden="false" customHeight="false" outlineLevel="0" collapsed="false">
      <c r="A182" s="29" t="s">
        <v>129</v>
      </c>
      <c r="B182" s="28" t="s">
        <v>10</v>
      </c>
      <c r="C182" s="28" t="s">
        <v>65</v>
      </c>
      <c r="D182" s="15" t="n">
        <f aca="false">[2]грн!f182-[2]грн!aq182-[2]грн!ap182-[2]грн!ao182-[2]грн!an182-[2]грн!am182-[2]грн!al182-[2]грн!aj182-[2]грн!ai182-[2]грн!ah182-[2]грн!ag182-[2]грн!af182-[2]грн!ad182-[2]грн!ac182-[2]грн!ab182-[2]грн!aa182-[2]грн!z182-[2]грн!x182-[2]грн!w182-[2]грн!v182-[2]грн!u182-[2]грн!t182-[2]грн!r182-[2]грн!q182-[2]грн!p182-[2]грн!o182-[2]грн!n182-[2]грн!l182-[2]грн!k182-[2]грн!j182-[2]грн!i182-[2]грн!h182+[2]грн!g182+[2]грн!m182+[2]грн!s182+[2]грн!y182+[2]грн!ae182+[2]грн!ak182</f>
        <v>24</v>
      </c>
      <c r="E182" s="19" t="n">
        <f aca="false">[2]грн!as182*1.07</f>
        <v>813.2</v>
      </c>
    </row>
    <row r="183" customFormat="false" ht="15" hidden="false" customHeight="false" outlineLevel="0" collapsed="false">
      <c r="A183" s="17" t="s">
        <v>129</v>
      </c>
      <c r="B183" s="18" t="s">
        <v>10</v>
      </c>
      <c r="C183" s="18" t="s">
        <v>122</v>
      </c>
      <c r="D183" s="15" t="n">
        <f aca="false">[2]грн!f183-[2]грн!aq183-[2]грн!ap183-[2]грн!ao183-[2]грн!an183-[2]грн!am183-[2]грн!al183-[2]грн!aj183-[2]грн!ai183-[2]грн!ah183-[2]грн!ag183-[2]грн!af183-[2]грн!ad183-[2]грн!ac183-[2]грн!ab183-[2]грн!aa183-[2]грн!z183-[2]грн!x183-[2]грн!w183-[2]грн!v183-[2]грн!u183-[2]грн!t183-[2]грн!r183-[2]грн!q183-[2]грн!p183-[2]грн!o183-[2]грн!n183-[2]грн!l183-[2]грн!k183-[2]грн!j183-[2]грн!i183-[2]грн!h183+[2]грн!g183+[2]грн!m183+[2]грн!s183+[2]грн!y183+[2]грн!ae183+[2]грн!ak183</f>
        <v>4</v>
      </c>
      <c r="E183" s="19" t="n">
        <f aca="false">[2]грн!as183*1.07</f>
        <v>738.3</v>
      </c>
    </row>
    <row r="184" customFormat="false" ht="15" hidden="false" customHeight="false" outlineLevel="0" collapsed="false">
      <c r="A184" s="23" t="s">
        <v>129</v>
      </c>
      <c r="B184" s="24" t="s">
        <v>136</v>
      </c>
      <c r="C184" s="24" t="s">
        <v>137</v>
      </c>
      <c r="D184" s="15" t="n">
        <f aca="false">[2]грн!f184-[2]грн!aq184-[2]грн!ap184-[2]грн!ao184-[2]грн!an184-[2]грн!am184-[2]грн!al184-[2]грн!aj184-[2]грн!ai184-[2]грн!ah184-[2]грн!ag184-[2]грн!af184-[2]грн!ad184-[2]грн!ac184-[2]грн!ab184-[2]грн!aa184-[2]грн!z184-[2]грн!x184-[2]грн!w184-[2]грн!v184-[2]грн!u184-[2]грн!t184-[2]грн!r184-[2]грн!q184-[2]грн!p184-[2]грн!o184-[2]грн!n184-[2]грн!l184-[2]грн!k184-[2]грн!j184-[2]грн!i184-[2]грн!h184+[2]грн!g184+[2]грн!m184+[2]грн!s184+[2]грн!y184+[2]грн!ae184+[2]грн!ak184</f>
        <v>4</v>
      </c>
      <c r="E184" s="54" t="n">
        <f aca="false">[2]грн!as184*1.07</f>
        <v>791.8</v>
      </c>
    </row>
    <row r="185" customFormat="false" ht="15" hidden="false" customHeight="false" outlineLevel="0" collapsed="false">
      <c r="A185" s="23" t="s">
        <v>129</v>
      </c>
      <c r="B185" s="24" t="s">
        <v>10</v>
      </c>
      <c r="C185" s="24" t="s">
        <v>27</v>
      </c>
      <c r="D185" s="15" t="n">
        <f aca="false">[2]грн!f185-[2]грн!aq185-[2]грн!ap185-[2]грн!ao185-[2]грн!an185-[2]грн!am185-[2]грн!al185-[2]грн!aj185-[2]грн!ai185-[2]грн!ah185-[2]грн!ag185-[2]грн!af185-[2]грн!ad185-[2]грн!ac185-[2]грн!ab185-[2]грн!aa185-[2]грн!z185-[2]грн!x185-[2]грн!w185-[2]грн!v185-[2]грн!u185-[2]грн!t185-[2]грн!r185-[2]грн!q185-[2]грн!p185-[2]грн!o185-[2]грн!n185-[2]грн!l185-[2]грн!k185-[2]грн!j185-[2]грн!i185-[2]грн!h185+[2]грн!g185+[2]грн!m185+[2]грн!s185+[2]грн!y185+[2]грн!ae185+[2]грн!ak185</f>
        <v>8</v>
      </c>
      <c r="E185" s="19" t="n">
        <f aca="false">[2]грн!as185*1.07</f>
        <v>813.2</v>
      </c>
    </row>
    <row r="186" customFormat="false" ht="15" hidden="false" customHeight="false" outlineLevel="0" collapsed="false">
      <c r="A186" s="23" t="s">
        <v>129</v>
      </c>
      <c r="B186" s="24" t="s">
        <v>10</v>
      </c>
      <c r="C186" s="24" t="s">
        <v>123</v>
      </c>
      <c r="D186" s="15" t="n">
        <f aca="false">[2]грн!f186-[2]грн!aq186-[2]грн!ap186-[2]грн!ao186-[2]грн!an186-[2]грн!am186-[2]грн!al186-[2]грн!aj186-[2]грн!ai186-[2]грн!ah186-[2]грн!ag186-[2]грн!af186-[2]грн!ad186-[2]грн!ac186-[2]грн!ab186-[2]грн!aa186-[2]грн!z186-[2]грн!x186-[2]грн!w186-[2]грн!v186-[2]грн!u186-[2]грн!t186-[2]грн!r186-[2]грн!q186-[2]грн!p186-[2]грн!o186-[2]грн!n186-[2]грн!l186-[2]грн!k186-[2]грн!j186-[2]грн!i186-[2]грн!h186+[2]грн!g186+[2]грн!m186+[2]грн!s186+[2]грн!y186+[2]грн!ae186+[2]грн!ak186</f>
        <v>12</v>
      </c>
      <c r="E186" s="19" t="n">
        <f aca="false">[2]грн!as186*1.07</f>
        <v>754.35</v>
      </c>
    </row>
    <row r="187" customFormat="false" ht="15" hidden="false" customHeight="false" outlineLevel="0" collapsed="false">
      <c r="A187" s="23" t="s">
        <v>129</v>
      </c>
      <c r="B187" s="24" t="s">
        <v>10</v>
      </c>
      <c r="C187" s="24" t="s">
        <v>69</v>
      </c>
      <c r="D187" s="15" t="n">
        <f aca="false">[2]грн!f187-[2]грн!aq187-[2]грн!ap187-[2]грн!ao187-[2]грн!an187-[2]грн!am187-[2]грн!al187-[2]грн!aj187-[2]грн!ai187-[2]грн!ah187-[2]грн!ag187-[2]грн!af187-[2]грн!ad187-[2]грн!ac187-[2]грн!ab187-[2]грн!aa187-[2]грн!z187-[2]грн!x187-[2]грн!w187-[2]грн!v187-[2]грн!u187-[2]грн!t187-[2]грн!r187-[2]грн!q187-[2]грн!p187-[2]грн!o187-[2]грн!n187-[2]грн!l187-[2]грн!k187-[2]грн!j187-[2]грн!i187-[2]грн!h187+[2]грн!g187+[2]грн!m187+[2]грн!s187+[2]грн!y187+[2]грн!ae187+[2]грн!ak187</f>
        <v>18</v>
      </c>
      <c r="E187" s="54" t="n">
        <f aca="false">[2]грн!as187*1.07</f>
        <v>781.1</v>
      </c>
    </row>
    <row r="188" customFormat="false" ht="15" hidden="false" customHeight="false" outlineLevel="0" collapsed="false">
      <c r="A188" s="29" t="s">
        <v>138</v>
      </c>
      <c r="B188" s="18" t="s">
        <v>10</v>
      </c>
      <c r="C188" s="28" t="s">
        <v>77</v>
      </c>
      <c r="D188" s="15" t="n">
        <f aca="false">[2]грн!f188-[2]грн!aq188-[2]грн!ap188-[2]грн!ao188-[2]грн!an188-[2]грн!am188-[2]грн!al188-[2]грн!aj188-[2]грн!ai188-[2]грн!ah188-[2]грн!ag188-[2]грн!af188-[2]грн!ad188-[2]грн!ac188-[2]грн!ab188-[2]грн!aa188-[2]грн!z188-[2]грн!x188-[2]грн!w188-[2]грн!v188-[2]грн!u188-[2]грн!t188-[2]грн!r188-[2]грн!q188-[2]грн!p188-[2]грн!o188-[2]грн!n188-[2]грн!l188-[2]грн!k188-[2]грн!j188-[2]грн!i188-[2]грн!h188+[2]грн!g188+[2]грн!m188+[2]грн!s188+[2]грн!y188+[2]грн!ae188+[2]грн!ak188</f>
        <v>3</v>
      </c>
      <c r="E188" s="19" t="n">
        <f aca="false">[2]грн!as188*1.07</f>
        <v>898.8</v>
      </c>
    </row>
    <row r="189" customFormat="false" ht="15" hidden="false" customHeight="false" outlineLevel="0" collapsed="false">
      <c r="A189" s="29" t="s">
        <v>139</v>
      </c>
      <c r="B189" s="18" t="s">
        <v>20</v>
      </c>
      <c r="C189" s="28" t="s">
        <v>140</v>
      </c>
      <c r="D189" s="15" t="n">
        <f aca="false">[2]грн!f189-[2]грн!aq189-[2]грн!ap189-[2]грн!ao189-[2]грн!an189-[2]грн!am189-[2]грн!al189-[2]грн!aj189-[2]грн!ai189-[2]грн!ah189-[2]грн!ag189-[2]грн!af189-[2]грн!ad189-[2]грн!ac189-[2]грн!ab189-[2]грн!aa189-[2]грн!z189-[2]грн!x189-[2]грн!w189-[2]грн!v189-[2]грн!u189-[2]грн!t189-[2]грн!r189-[2]грн!q189-[2]грн!p189-[2]грн!o189-[2]грн!n189-[2]грн!l189-[2]грн!k189-[2]грн!j189-[2]грн!i189-[2]грн!h189+[2]грн!g189+[2]грн!m189+[2]грн!s189+[2]грн!y189+[2]грн!ae189+[2]грн!ak189</f>
        <v>2</v>
      </c>
      <c r="E189" s="19" t="n">
        <f aca="false">[2]грн!as189*1.07</f>
        <v>1284</v>
      </c>
    </row>
    <row r="190" customFormat="false" ht="15" hidden="true" customHeight="false" outlineLevel="0" collapsed="false">
      <c r="A190" s="23" t="s">
        <v>139</v>
      </c>
      <c r="B190" s="24" t="s">
        <v>20</v>
      </c>
      <c r="C190" s="24" t="s">
        <v>141</v>
      </c>
      <c r="D190" s="15" t="n">
        <f aca="false">[2]грн!f190-[2]грн!aq190-[2]грн!ap190-[2]грн!ao190-[2]грн!an190-[2]грн!am190-[2]грн!al190-[2]грн!aj190-[2]грн!ai190-[2]грн!ah190-[2]грн!ag190-[2]грн!af190-[2]грн!ad190-[2]грн!ac190-[2]грн!ab190-[2]грн!aa190-[2]грн!z190-[2]грн!x190-[2]грн!w190-[2]грн!v190-[2]грн!u190-[2]грн!t190-[2]грн!r190-[2]грн!q190-[2]грн!p190-[2]грн!o190-[2]грн!n190-[2]грн!l190-[2]грн!k190-[2]грн!j190-[2]грн!i190-[2]грн!h190+[2]грн!g190+[2]грн!m190+[2]грн!s190+[2]грн!y190+[2]грн!ae190+[2]грн!ak190</f>
        <v>0</v>
      </c>
      <c r="E190" s="19" t="n">
        <f aca="false">[2]грн!as190*1.07</f>
        <v>823.9</v>
      </c>
    </row>
    <row r="191" customFormat="false" ht="15" hidden="false" customHeight="false" outlineLevel="0" collapsed="false">
      <c r="A191" s="29" t="s">
        <v>139</v>
      </c>
      <c r="B191" s="18" t="s">
        <v>10</v>
      </c>
      <c r="C191" s="28" t="s">
        <v>142</v>
      </c>
      <c r="D191" s="15" t="n">
        <f aca="false">[2]грн!f191-[2]грн!aq191-[2]грн!ap191-[2]грн!ao191-[2]грн!an191-[2]грн!am191-[2]грн!al191-[2]грн!aj191-[2]грн!ai191-[2]грн!ah191-[2]грн!ag191-[2]грн!af191-[2]грн!ad191-[2]грн!ac191-[2]грн!ab191-[2]грн!aa191-[2]грн!z191-[2]грн!x191-[2]грн!w191-[2]грн!v191-[2]грн!u191-[2]грн!t191-[2]грн!r191-[2]грн!q191-[2]грн!p191-[2]грн!o191-[2]грн!n191-[2]грн!l191-[2]грн!k191-[2]грн!j191-[2]грн!i191-[2]грн!h191+[2]грн!g191+[2]грн!m191+[2]грн!s191+[2]грн!y191+[2]грн!ae191+[2]грн!ak191</f>
        <v>6</v>
      </c>
      <c r="E191" s="19" t="n">
        <f aca="false">[2]грн!as191*1.07</f>
        <v>1048.6</v>
      </c>
    </row>
    <row r="192" customFormat="false" ht="15" hidden="false" customHeight="false" outlineLevel="0" collapsed="false">
      <c r="A192" s="17" t="s">
        <v>139</v>
      </c>
      <c r="B192" s="18" t="s">
        <v>10</v>
      </c>
      <c r="C192" s="18" t="s">
        <v>143</v>
      </c>
      <c r="D192" s="15" t="n">
        <f aca="false">[2]грн!f192-[2]грн!aq192-[2]грн!ap192-[2]грн!ao192-[2]грн!an192-[2]грн!am192-[2]грн!al192-[2]грн!aj192-[2]грн!ai192-[2]грн!ah192-[2]грн!ag192-[2]грн!af192-[2]грн!ad192-[2]грн!ac192-[2]грн!ab192-[2]грн!aa192-[2]грн!z192-[2]грн!x192-[2]грн!w192-[2]грн!v192-[2]грн!u192-[2]грн!t192-[2]грн!r192-[2]грн!q192-[2]грн!p192-[2]грн!o192-[2]грн!n192-[2]грн!l192-[2]грн!k192-[2]грн!j192-[2]грн!i192-[2]грн!h192+[2]грн!g192+[2]грн!m192+[2]грн!s192+[2]грн!y192+[2]грн!ae192+[2]грн!ak192</f>
        <v>6</v>
      </c>
      <c r="E192" s="19" t="n">
        <f aca="false">[2]грн!as192*1.07</f>
        <v>1059.3</v>
      </c>
    </row>
    <row r="193" customFormat="false" ht="15" hidden="false" customHeight="false" outlineLevel="0" collapsed="false">
      <c r="A193" s="46" t="s">
        <v>139</v>
      </c>
      <c r="B193" s="24" t="s">
        <v>10</v>
      </c>
      <c r="C193" s="24" t="s">
        <v>144</v>
      </c>
      <c r="D193" s="15" t="n">
        <f aca="false">[2]грн!f193-[2]грн!aq193-[2]грн!ap193-[2]грн!ao193-[2]грн!an193-[2]грн!am193-[2]грн!al193-[2]грн!aj193-[2]грн!ai193-[2]грн!ah193-[2]грн!ag193-[2]грн!af193-[2]грн!ad193-[2]грн!ac193-[2]грн!ab193-[2]грн!aa193-[2]грн!z193-[2]грн!x193-[2]грн!w193-[2]грн!v193-[2]грн!u193-[2]грн!t193-[2]грн!r193-[2]грн!q193-[2]грн!p193-[2]грн!o193-[2]грн!n193-[2]грн!l193-[2]грн!k193-[2]грн!j193-[2]грн!i193-[2]грн!h193+[2]грн!g193+[2]грн!m193+[2]грн!s193+[2]грн!y193+[2]грн!ae193+[2]грн!ak193</f>
        <v>4</v>
      </c>
      <c r="E193" s="19" t="n">
        <f aca="false">[2]грн!as193*1.07</f>
        <v>1037.9</v>
      </c>
    </row>
    <row r="194" customFormat="false" ht="15" hidden="false" customHeight="false" outlineLevel="0" collapsed="false">
      <c r="A194" s="46" t="s">
        <v>139</v>
      </c>
      <c r="B194" s="24" t="s">
        <v>10</v>
      </c>
      <c r="C194" s="24" t="s">
        <v>141</v>
      </c>
      <c r="D194" s="15" t="n">
        <f aca="false">[2]грн!f194-[2]грн!aq194-[2]грн!ap194-[2]грн!ao194-[2]грн!an194-[2]грн!am194-[2]грн!al194-[2]грн!aj194-[2]грн!ai194-[2]грн!ah194-[2]грн!ag194-[2]грн!af194-[2]грн!ad194-[2]грн!ac194-[2]грн!ab194-[2]грн!aa194-[2]грн!z194-[2]грн!x194-[2]грн!w194-[2]грн!v194-[2]грн!u194-[2]грн!t194-[2]грн!r194-[2]грн!q194-[2]грн!p194-[2]грн!o194-[2]грн!n194-[2]грн!l194-[2]грн!k194-[2]грн!j194-[2]грн!i194-[2]грн!h194+[2]грн!g194+[2]грн!m194+[2]грн!s194+[2]грн!y194+[2]грн!ae194+[2]грн!ak194</f>
        <v>4</v>
      </c>
      <c r="E194" s="19" t="n">
        <f aca="false">[2]грн!as194*1.07</f>
        <v>1037.9</v>
      </c>
    </row>
    <row r="195" customFormat="false" ht="15" hidden="false" customHeight="false" outlineLevel="0" collapsed="false">
      <c r="A195" s="12" t="s">
        <v>145</v>
      </c>
      <c r="B195" s="20"/>
      <c r="C195" s="21"/>
      <c r="D195" s="15"/>
      <c r="E195" s="55"/>
    </row>
    <row r="196" customFormat="false" ht="15" hidden="false" customHeight="false" outlineLevel="0" collapsed="false">
      <c r="A196" s="17" t="s">
        <v>146</v>
      </c>
      <c r="B196" s="18" t="s">
        <v>10</v>
      </c>
      <c r="C196" s="40" t="s">
        <v>80</v>
      </c>
      <c r="D196" s="15" t="n">
        <f aca="false">[2]грн!f196-[2]грн!aq196-[2]грн!ap196-[2]грн!ao196-[2]грн!an196-[2]грн!am196-[2]грн!al196-[2]грн!aj196-[2]грн!ai196-[2]грн!ah196-[2]грн!ag196-[2]грн!af196-[2]грн!ad196-[2]грн!ac196-[2]грн!ab196-[2]грн!aa196-[2]грн!z196-[2]грн!x196-[2]грн!w196-[2]грн!v196-[2]грн!u196-[2]грн!t196-[2]грн!r196-[2]грн!q196-[2]грн!p196-[2]грн!o196-[2]грн!n196-[2]грн!l196-[2]грн!k196-[2]грн!j196-[2]грн!i196-[2]грн!h196+[2]грн!g196+[2]грн!m196+[2]грн!s196+[2]грн!y196+[2]грн!ae196+[2]грн!ak196</f>
        <v>4</v>
      </c>
      <c r="E196" s="19" t="n">
        <f aca="false">[2]грн!as196*1.07</f>
        <v>823.9</v>
      </c>
    </row>
    <row r="197" customFormat="false" ht="15" hidden="false" customHeight="false" outlineLevel="0" collapsed="false">
      <c r="A197" s="56" t="s">
        <v>147</v>
      </c>
      <c r="B197" s="18" t="s">
        <v>20</v>
      </c>
      <c r="C197" s="18" t="s">
        <v>148</v>
      </c>
      <c r="D197" s="15" t="n">
        <f aca="false">[2]грн!f197-[2]грн!aq197-[2]грн!ap197-[2]грн!ao197-[2]грн!an197-[2]грн!am197-[2]грн!al197-[2]грн!aj197-[2]грн!ai197-[2]грн!ah197-[2]грн!ag197-[2]грн!af197-[2]грн!ad197-[2]грн!ac197-[2]грн!ab197-[2]грн!aa197-[2]грн!z197-[2]грн!x197-[2]грн!w197-[2]грн!v197-[2]грн!u197-[2]грн!t197-[2]грн!r197-[2]грн!q197-[2]грн!p197-[2]грн!o197-[2]грн!n197-[2]грн!l197-[2]грн!k197-[2]грн!j197-[2]грн!i197-[2]грн!h197+[2]грн!g197+[2]грн!m197+[2]грн!s197+[2]грн!y197+[2]грн!ae197+[2]грн!ak197</f>
        <v>24</v>
      </c>
      <c r="E197" s="19" t="n">
        <f aca="false">[2]грн!as197*1.07</f>
        <v>791.8</v>
      </c>
    </row>
    <row r="198" customFormat="false" ht="15" hidden="true" customHeight="false" outlineLevel="0" collapsed="false">
      <c r="A198" s="57" t="s">
        <v>147</v>
      </c>
      <c r="B198" s="24" t="s">
        <v>20</v>
      </c>
      <c r="C198" s="24" t="s">
        <v>149</v>
      </c>
      <c r="D198" s="15" t="n">
        <f aca="false">[2]грн!f198-[2]грн!aq198-[2]грн!ap198-[2]грн!ao198-[2]грн!an198-[2]грн!am198-[2]грн!al198-[2]грн!aj198-[2]грн!ai198-[2]грн!ah198-[2]грн!ag198-[2]грн!af198-[2]грн!ad198-[2]грн!ac198-[2]грн!ab198-[2]грн!aa198-[2]грн!z198-[2]грн!x198-[2]грн!w198-[2]грн!v198-[2]грн!u198-[2]грн!t198-[2]грн!r198-[2]грн!q198-[2]грн!p198-[2]грн!o198-[2]грн!n198-[2]грн!l198-[2]грн!k198-[2]грн!j198-[2]грн!i198-[2]грн!h198+[2]грн!g198+[2]грн!m198+[2]грн!s198+[2]грн!y198+[2]грн!ae198+[2]грн!ak198</f>
        <v>0</v>
      </c>
      <c r="E198" s="19" t="n">
        <f aca="false">[2]грн!as198*1.07</f>
        <v>770.4</v>
      </c>
    </row>
    <row r="199" customFormat="false" ht="15" hidden="true" customHeight="false" outlineLevel="0" collapsed="false">
      <c r="A199" s="57" t="s">
        <v>147</v>
      </c>
      <c r="B199" s="24" t="s">
        <v>20</v>
      </c>
      <c r="C199" s="24" t="s">
        <v>150</v>
      </c>
      <c r="D199" s="15" t="n">
        <f aca="false">[2]грн!f199-[2]грн!aq199-[2]грн!ap199-[2]грн!ao199-[2]грн!an199-[2]грн!am199-[2]грн!al199-[2]грн!aj199-[2]грн!ai199-[2]грн!ah199-[2]грн!ag199-[2]грн!af199-[2]грн!ad199-[2]грн!ac199-[2]грн!ab199-[2]грн!aa199-[2]грн!z199-[2]грн!x199-[2]грн!w199-[2]грн!v199-[2]грн!u199-[2]грн!t199-[2]грн!r199-[2]грн!q199-[2]грн!p199-[2]грн!o199-[2]грн!n199-[2]грн!l199-[2]грн!k199-[2]грн!j199-[2]грн!i199-[2]грн!h199+[2]грн!g199+[2]грн!m199+[2]грн!s199+[2]грн!y199+[2]грн!ae199+[2]грн!ak199</f>
        <v>0</v>
      </c>
      <c r="E199" s="19" t="n">
        <f aca="false">[2]грн!as199*1.07</f>
        <v>770.4</v>
      </c>
    </row>
    <row r="200" customFormat="false" ht="15" hidden="false" customHeight="false" outlineLevel="0" collapsed="false">
      <c r="A200" s="57" t="s">
        <v>147</v>
      </c>
      <c r="B200" s="24" t="s">
        <v>151</v>
      </c>
      <c r="C200" s="24" t="s">
        <v>54</v>
      </c>
      <c r="D200" s="15" t="n">
        <f aca="false">[2]грн!f200-[2]грн!aq200-[2]грн!ap200-[2]грн!ao200-[2]грн!an200-[2]грн!am200-[2]грн!al200-[2]грн!aj200-[2]грн!ai200-[2]грн!ah200-[2]грн!ag200-[2]грн!af200-[2]грн!ad200-[2]грн!ac200-[2]грн!ab200-[2]грн!aa200-[2]грн!z200-[2]грн!x200-[2]грн!w200-[2]грн!v200-[2]грн!u200-[2]грн!t200-[2]грн!r200-[2]грн!q200-[2]грн!p200-[2]грн!o200-[2]грн!n200-[2]грн!l200-[2]грн!k200-[2]грн!j200-[2]грн!i200-[2]грн!h200+[2]грн!g200+[2]грн!m200+[2]грн!s200+[2]грн!y200+[2]грн!ae200+[2]грн!ak200</f>
        <v>6</v>
      </c>
      <c r="E200" s="19" t="n">
        <f aca="false">[2]грн!as200*1.07</f>
        <v>1230.5</v>
      </c>
    </row>
    <row r="201" customFormat="false" ht="15" hidden="true" customHeight="false" outlineLevel="0" collapsed="false">
      <c r="A201" s="58" t="s">
        <v>147</v>
      </c>
      <c r="B201" s="27" t="s">
        <v>151</v>
      </c>
      <c r="C201" s="27" t="s">
        <v>87</v>
      </c>
      <c r="D201" s="15" t="n">
        <f aca="false">[2]грн!f201-[2]грн!aq201-[2]грн!ap201-[2]грн!ao201-[2]грн!an201-[2]грн!am201-[2]грн!al201-[2]грн!aj201-[2]грн!ai201-[2]грн!ah201-[2]грн!ag201-[2]грн!af201-[2]грн!ad201-[2]грн!ac201-[2]грн!ab201-[2]грн!aa201-[2]грн!z201-[2]грн!x201-[2]грн!w201-[2]грн!v201-[2]грн!u201-[2]грн!t201-[2]грн!r201-[2]грн!q201-[2]грн!p201-[2]грн!o201-[2]грн!n201-[2]грн!l201-[2]грн!k201-[2]грн!j201-[2]грн!i201-[2]грн!h201+[2]грн!g201+[2]грн!m201+[2]грн!s201+[2]грн!y201+[2]грн!ae201+[2]грн!ak201</f>
        <v>0</v>
      </c>
      <c r="E201" s="19" t="n">
        <f aca="false">[2]грн!as201*1.07</f>
        <v>749</v>
      </c>
    </row>
    <row r="202" customFormat="false" ht="15" hidden="false" customHeight="false" outlineLevel="0" collapsed="false">
      <c r="A202" s="56" t="s">
        <v>147</v>
      </c>
      <c r="B202" s="18" t="s">
        <v>14</v>
      </c>
      <c r="C202" s="40" t="s">
        <v>119</v>
      </c>
      <c r="D202" s="15" t="n">
        <f aca="false">[2]грн!f202-[2]грн!aq202-[2]грн!ap202-[2]грн!ao202-[2]грн!an202-[2]грн!am202-[2]грн!al202-[2]грн!aj202-[2]грн!ai202-[2]грн!ah202-[2]грн!ag202-[2]грн!af202-[2]грн!ad202-[2]грн!ac202-[2]грн!ab202-[2]грн!aa202-[2]грн!z202-[2]грн!x202-[2]грн!w202-[2]грн!v202-[2]грн!u202-[2]грн!t202-[2]грн!r202-[2]грн!q202-[2]грн!p202-[2]грн!o202-[2]грн!n202-[2]грн!l202-[2]грн!k202-[2]грн!j202-[2]грн!i202-[2]грн!h202+[2]грн!g202+[2]грн!m202+[2]грн!s202+[2]грн!y202+[2]грн!ae202+[2]грн!ak202</f>
        <v>8</v>
      </c>
      <c r="E202" s="19" t="n">
        <f aca="false">[2]грн!as202*1.07</f>
        <v>909.5</v>
      </c>
    </row>
    <row r="203" customFormat="false" ht="15" hidden="false" customHeight="false" outlineLevel="0" collapsed="false">
      <c r="A203" s="56" t="s">
        <v>147</v>
      </c>
      <c r="B203" s="18" t="s">
        <v>10</v>
      </c>
      <c r="C203" s="40" t="s">
        <v>80</v>
      </c>
      <c r="D203" s="15" t="n">
        <f aca="false">[2]грн!f203-[2]грн!aq203-[2]грн!ap203-[2]грн!ao203-[2]грн!an203-[2]грн!am203-[2]грн!al203-[2]грн!aj203-[2]грн!ai203-[2]грн!ah203-[2]грн!ag203-[2]грн!af203-[2]грн!ad203-[2]грн!ac203-[2]грн!ab203-[2]грн!aa203-[2]грн!z203-[2]грн!x203-[2]грн!w203-[2]грн!v203-[2]грн!u203-[2]грн!t203-[2]грн!r203-[2]грн!q203-[2]грн!p203-[2]грн!o203-[2]грн!n203-[2]грн!l203-[2]грн!k203-[2]грн!j203-[2]грн!i203-[2]грн!h203+[2]грн!g203+[2]грн!m203+[2]грн!s203+[2]грн!y203+[2]грн!ae203+[2]грн!ak203</f>
        <v>7</v>
      </c>
      <c r="E203" s="19" t="n">
        <f aca="false">[2]грн!as203*1.07</f>
        <v>807.85</v>
      </c>
    </row>
    <row r="204" customFormat="false" ht="15" hidden="false" customHeight="false" outlineLevel="0" collapsed="false">
      <c r="A204" s="56" t="s">
        <v>147</v>
      </c>
      <c r="B204" s="18" t="s">
        <v>10</v>
      </c>
      <c r="C204" s="40" t="s">
        <v>65</v>
      </c>
      <c r="D204" s="15" t="n">
        <f aca="false">[2]грн!f204-[2]грн!aq204-[2]грн!ap204-[2]грн!ao204-[2]грн!an204-[2]грн!am204-[2]грн!al204-[2]грн!aj204-[2]грн!ai204-[2]грн!ah204-[2]грн!ag204-[2]грн!af204-[2]грн!ad204-[2]грн!ac204-[2]грн!ab204-[2]грн!aa204-[2]грн!z204-[2]грн!x204-[2]грн!w204-[2]грн!v204-[2]грн!u204-[2]грн!t204-[2]грн!r204-[2]грн!q204-[2]грн!p204-[2]грн!o204-[2]грн!n204-[2]грн!l204-[2]грн!k204-[2]грн!j204-[2]грн!i204-[2]грн!h204+[2]грн!g204+[2]грн!m204+[2]грн!s204+[2]грн!y204+[2]грн!ae204+[2]грн!ak204</f>
        <v>10</v>
      </c>
      <c r="E204" s="19" t="n">
        <f aca="false">[2]грн!as204*1.07</f>
        <v>802.5</v>
      </c>
    </row>
    <row r="205" customFormat="false" ht="15" hidden="false" customHeight="false" outlineLevel="0" collapsed="false">
      <c r="A205" s="57" t="s">
        <v>147</v>
      </c>
      <c r="B205" s="24" t="s">
        <v>10</v>
      </c>
      <c r="C205" s="34" t="s">
        <v>71</v>
      </c>
      <c r="D205" s="15" t="n">
        <f aca="false">[2]грн!f205-[2]грн!aq205-[2]грн!ap205-[2]грн!ao205-[2]грн!an205-[2]грн!am205-[2]грн!al205-[2]грн!aj205-[2]грн!ai205-[2]грн!ah205-[2]грн!ag205-[2]грн!af205-[2]грн!ad205-[2]грн!ac205-[2]грн!ab205-[2]грн!aa205-[2]грн!z205-[2]грн!x205-[2]грн!w205-[2]грн!v205-[2]грн!u205-[2]грн!t205-[2]грн!r205-[2]грн!q205-[2]грн!p205-[2]грн!o205-[2]грн!n205-[2]грн!l205-[2]грн!k205-[2]грн!j205-[2]грн!i205-[2]грн!h205+[2]грн!g205+[2]грн!m205+[2]грн!s205+[2]грн!y205+[2]грн!ae205+[2]грн!ak205</f>
        <v>28</v>
      </c>
      <c r="E205" s="19" t="n">
        <f aca="false">[2]грн!as205*1.07</f>
        <v>781.1</v>
      </c>
    </row>
    <row r="206" customFormat="false" ht="15" hidden="true" customHeight="false" outlineLevel="0" collapsed="false">
      <c r="A206" s="56" t="s">
        <v>152</v>
      </c>
      <c r="B206" s="18" t="s">
        <v>20</v>
      </c>
      <c r="C206" s="18" t="s">
        <v>153</v>
      </c>
      <c r="D206" s="15" t="n">
        <f aca="false">[2]грн!f206-[2]грн!aq206-[2]грн!ap206-[2]грн!ao206-[2]грн!an206-[2]грн!am206-[2]грн!al206-[2]грн!aj206-[2]грн!ai206-[2]грн!ah206-[2]грн!ag206-[2]грн!af206-[2]грн!ad206-[2]грн!ac206-[2]грн!ab206-[2]грн!aa206-[2]грн!z206-[2]грн!x206-[2]грн!w206-[2]грн!v206-[2]грн!u206-[2]грн!t206-[2]грн!r206-[2]грн!q206-[2]грн!p206-[2]грн!o206-[2]грн!n206-[2]грн!l206-[2]грн!k206-[2]грн!j206-[2]грн!i206-[2]грн!h206+[2]грн!g206+[2]грн!m206+[2]грн!s206+[2]грн!y206+[2]грн!ae206+[2]грн!ak206</f>
        <v>0</v>
      </c>
      <c r="E206" s="19" t="n">
        <f aca="false">[2]грн!as206*1.07</f>
        <v>941.6</v>
      </c>
    </row>
    <row r="207" customFormat="false" ht="15" hidden="false" customHeight="false" outlineLevel="0" collapsed="false">
      <c r="A207" s="23" t="s">
        <v>152</v>
      </c>
      <c r="B207" s="24" t="s">
        <v>20</v>
      </c>
      <c r="C207" s="24" t="s">
        <v>154</v>
      </c>
      <c r="D207" s="15" t="n">
        <f aca="false">[2]грн!f207-[2]грн!aq207-[2]грн!ap207-[2]грн!ao207-[2]грн!an207-[2]грн!am207-[2]грн!al207-[2]грн!aj207-[2]грн!ai207-[2]грн!ah207-[2]грн!ag207-[2]грн!af207-[2]грн!ad207-[2]грн!ac207-[2]грн!ab207-[2]грн!aa207-[2]грн!z207-[2]грн!x207-[2]грн!w207-[2]грн!v207-[2]грн!u207-[2]грн!t207-[2]грн!r207-[2]грн!q207-[2]грн!p207-[2]грн!o207-[2]грн!n207-[2]грн!l207-[2]грн!k207-[2]грн!j207-[2]грн!i207-[2]грн!h207+[2]грн!g207+[2]грн!m207+[2]грн!s207+[2]грн!y207+[2]грн!ae207+[2]грн!ak207</f>
        <v>20</v>
      </c>
      <c r="E207" s="19" t="n">
        <f aca="false">[2]грн!as207*1.07</f>
        <v>1027.2</v>
      </c>
    </row>
    <row r="208" customFormat="false" ht="15" hidden="true" customHeight="false" outlineLevel="0" collapsed="false">
      <c r="A208" s="56" t="s">
        <v>152</v>
      </c>
      <c r="B208" s="18" t="s">
        <v>17</v>
      </c>
      <c r="C208" s="18" t="s">
        <v>51</v>
      </c>
      <c r="D208" s="15" t="n">
        <f aca="false">[2]грн!f208-[2]грн!aq208-[2]грн!ap208-[2]грн!ao208-[2]грн!an208-[2]грн!am208-[2]грн!al208-[2]грн!aj208-[2]грн!ai208-[2]грн!ah208-[2]грн!ag208-[2]грн!af208-[2]грн!ad208-[2]грн!ac208-[2]грн!ab208-[2]грн!aa208-[2]грн!z208-[2]грн!x208-[2]грн!w208-[2]грн!v208-[2]грн!u208-[2]грн!t208-[2]грн!r208-[2]грн!q208-[2]грн!p208-[2]грн!o208-[2]грн!n208-[2]грн!l208-[2]грн!k208-[2]грн!j208-[2]грн!i208-[2]грн!h208+[2]грн!g208+[2]грн!m208+[2]грн!s208+[2]грн!y208+[2]грн!ae208+[2]грн!ak208</f>
        <v>0</v>
      </c>
      <c r="E208" s="19" t="n">
        <f aca="false">[2]грн!as208*1.07</f>
        <v>716.9</v>
      </c>
    </row>
    <row r="209" customFormat="false" ht="15" hidden="false" customHeight="false" outlineLevel="0" collapsed="false">
      <c r="A209" s="56" t="s">
        <v>152</v>
      </c>
      <c r="B209" s="18" t="s">
        <v>17</v>
      </c>
      <c r="C209" s="18" t="s">
        <v>22</v>
      </c>
      <c r="D209" s="15" t="n">
        <f aca="false">[2]грн!f209-[2]грн!aq209-[2]грн!ap209-[2]грн!ao209-[2]грн!an209-[2]грн!am209-[2]грн!al209-[2]грн!aj209-[2]грн!ai209-[2]грн!ah209-[2]грн!ag209-[2]грн!af209-[2]грн!ad209-[2]грн!ac209-[2]грн!ab209-[2]грн!aa209-[2]грн!z209-[2]грн!x209-[2]грн!w209-[2]грн!v209-[2]грн!u209-[2]грн!t209-[2]грн!r209-[2]грн!q209-[2]грн!p209-[2]грн!o209-[2]грн!n209-[2]грн!l209-[2]грн!k209-[2]грн!j209-[2]грн!i209-[2]грн!h209+[2]грн!g209+[2]грн!m209+[2]грн!s209+[2]грн!y209+[2]грн!ae209+[2]грн!ak209</f>
        <v>2</v>
      </c>
      <c r="E209" s="19" t="n">
        <f aca="false">[2]грн!as209*1.07</f>
        <v>963</v>
      </c>
    </row>
    <row r="210" customFormat="false" ht="15" hidden="true" customHeight="false" outlineLevel="0" collapsed="false">
      <c r="A210" s="57" t="s">
        <v>152</v>
      </c>
      <c r="B210" s="24" t="s">
        <v>17</v>
      </c>
      <c r="C210" s="24" t="s">
        <v>155</v>
      </c>
      <c r="D210" s="15" t="n">
        <f aca="false">[2]грн!f210-[2]грн!aq210-[2]грн!ap210-[2]грн!ao210-[2]грн!an210-[2]грн!am210-[2]грн!al210-[2]грн!aj210-[2]грн!ai210-[2]грн!ah210-[2]грн!ag210-[2]грн!af210-[2]грн!ad210-[2]грн!ac210-[2]грн!ab210-[2]грн!aa210-[2]грн!z210-[2]грн!x210-[2]грн!w210-[2]грн!v210-[2]грн!u210-[2]грн!t210-[2]грн!r210-[2]грн!q210-[2]грн!p210-[2]грн!o210-[2]грн!n210-[2]грн!l210-[2]грн!k210-[2]грн!j210-[2]грн!i210-[2]грн!h210+[2]грн!g210+[2]грн!m210+[2]грн!s210+[2]грн!y210+[2]грн!ae210+[2]грн!ak210</f>
        <v>0</v>
      </c>
      <c r="E210" s="19" t="n">
        <f aca="false">[2]грн!as210*1.07</f>
        <v>1230.5</v>
      </c>
    </row>
    <row r="211" customFormat="false" ht="15" hidden="false" customHeight="false" outlineLevel="0" collapsed="false">
      <c r="A211" s="57" t="s">
        <v>152</v>
      </c>
      <c r="B211" s="24" t="s">
        <v>17</v>
      </c>
      <c r="C211" s="24" t="s">
        <v>23</v>
      </c>
      <c r="D211" s="15" t="n">
        <f aca="false">[2]грн!f211-[2]грн!aq211-[2]грн!ap211-[2]грн!ao211-[2]грн!an211-[2]грн!am211-[2]грн!al211-[2]грн!aj211-[2]грн!ai211-[2]грн!ah211-[2]грн!ag211-[2]грн!af211-[2]грн!ad211-[2]грн!ac211-[2]грн!ab211-[2]грн!aa211-[2]грн!z211-[2]грн!x211-[2]грн!w211-[2]грн!v211-[2]грн!u211-[2]грн!t211-[2]грн!r211-[2]грн!q211-[2]грн!p211-[2]грн!o211-[2]грн!n211-[2]грн!l211-[2]грн!k211-[2]грн!j211-[2]грн!i211-[2]грн!h211+[2]грн!g211+[2]грн!m211+[2]грн!s211+[2]грн!y211+[2]грн!ae211+[2]грн!ak211</f>
        <v>16</v>
      </c>
      <c r="E211" s="19" t="n">
        <f aca="false">[2]грн!as211*1.07</f>
        <v>973.7</v>
      </c>
    </row>
    <row r="212" customFormat="false" ht="15" hidden="false" customHeight="false" outlineLevel="0" collapsed="false">
      <c r="A212" s="57" t="s">
        <v>152</v>
      </c>
      <c r="B212" s="24" t="s">
        <v>17</v>
      </c>
      <c r="C212" s="24" t="s">
        <v>156</v>
      </c>
      <c r="D212" s="15" t="n">
        <f aca="false">[2]грн!f212-[2]грн!aq212-[2]грн!ap212-[2]грн!ao212-[2]грн!an212-[2]грн!am212-[2]грн!al212-[2]грн!aj212-[2]грн!ai212-[2]грн!ah212-[2]грн!ag212-[2]грн!af212-[2]грн!ad212-[2]грн!ac212-[2]грн!ab212-[2]грн!aa212-[2]грн!z212-[2]грн!x212-[2]грн!w212-[2]грн!v212-[2]грн!u212-[2]грн!t212-[2]грн!r212-[2]грн!q212-[2]грн!p212-[2]грн!o212-[2]грн!n212-[2]грн!l212-[2]грн!k212-[2]грн!j212-[2]грн!i212-[2]грн!h212+[2]грн!g212+[2]грн!m212+[2]грн!s212+[2]грн!y212+[2]грн!ae212+[2]грн!ak212</f>
        <v>4</v>
      </c>
      <c r="E212" s="19" t="n">
        <f aca="false">[2]грн!as212*1.07</f>
        <v>973.7</v>
      </c>
    </row>
    <row r="213" customFormat="false" ht="15" hidden="false" customHeight="false" outlineLevel="0" collapsed="false">
      <c r="A213" s="56" t="s">
        <v>152</v>
      </c>
      <c r="B213" s="18" t="s">
        <v>14</v>
      </c>
      <c r="C213" s="40" t="s">
        <v>119</v>
      </c>
      <c r="D213" s="15" t="n">
        <f aca="false">[2]грн!f213-[2]грн!aq213-[2]грн!ap213-[2]грн!ao213-[2]грн!an213-[2]грн!am213-[2]грн!al213-[2]грн!aj213-[2]грн!ai213-[2]грн!ah213-[2]грн!ag213-[2]грн!af213-[2]грн!ad213-[2]грн!ac213-[2]грн!ab213-[2]грн!aa213-[2]грн!z213-[2]грн!x213-[2]грн!w213-[2]грн!v213-[2]грн!u213-[2]грн!t213-[2]грн!r213-[2]грн!q213-[2]грн!p213-[2]грн!o213-[2]грн!n213-[2]грн!l213-[2]грн!k213-[2]грн!j213-[2]грн!i213-[2]грн!h213+[2]грн!g213+[2]грн!m213+[2]грн!s213+[2]грн!y213+[2]грн!ae213+[2]грн!ak213</f>
        <v>8</v>
      </c>
      <c r="E213" s="19" t="n">
        <f aca="false">[2]грн!as213*1.07</f>
        <v>963</v>
      </c>
    </row>
    <row r="214" customFormat="false" ht="15" hidden="false" customHeight="false" outlineLevel="0" collapsed="false">
      <c r="A214" s="57" t="s">
        <v>152</v>
      </c>
      <c r="B214" s="24" t="s">
        <v>14</v>
      </c>
      <c r="C214" s="24" t="s">
        <v>157</v>
      </c>
      <c r="D214" s="15" t="n">
        <f aca="false">[2]грн!f214-[2]грн!aq214-[2]грн!ap214-[2]грн!ao214-[2]грн!an214-[2]грн!am214-[2]грн!al214-[2]грн!aj214-[2]грн!ai214-[2]грн!ah214-[2]грн!ag214-[2]грн!af214-[2]грн!ad214-[2]грн!ac214-[2]грн!ab214-[2]грн!aa214-[2]грн!z214-[2]грн!x214-[2]грн!w214-[2]грн!v214-[2]грн!u214-[2]грн!t214-[2]грн!r214-[2]грн!q214-[2]грн!p214-[2]грн!o214-[2]грн!n214-[2]грн!l214-[2]грн!k214-[2]грн!j214-[2]грн!i214-[2]грн!h214+[2]грн!g214+[2]грн!m214+[2]грн!s214+[2]грн!y214+[2]грн!ae214+[2]грн!ak214</f>
        <v>2</v>
      </c>
      <c r="E214" s="19" t="n">
        <f aca="false">[2]грн!as214*1.07</f>
        <v>1037.9</v>
      </c>
    </row>
    <row r="215" customFormat="false" ht="15" hidden="false" customHeight="false" outlineLevel="0" collapsed="false">
      <c r="A215" s="57" t="s">
        <v>152</v>
      </c>
      <c r="B215" s="24" t="s">
        <v>14</v>
      </c>
      <c r="C215" s="24" t="s">
        <v>60</v>
      </c>
      <c r="D215" s="15" t="n">
        <f aca="false">[2]грн!f215-[2]грн!aq215-[2]грн!ap215-[2]грн!ao215-[2]грн!an215-[2]грн!am215-[2]грн!al215-[2]грн!aj215-[2]грн!ai215-[2]грн!ah215-[2]грн!ag215-[2]грн!af215-[2]грн!ad215-[2]грн!ac215-[2]грн!ab215-[2]грн!aa215-[2]грн!z215-[2]грн!x215-[2]грн!w215-[2]грн!v215-[2]грн!u215-[2]грн!t215-[2]грн!r215-[2]грн!q215-[2]грн!p215-[2]грн!o215-[2]грн!n215-[2]грн!l215-[2]грн!k215-[2]грн!j215-[2]грн!i215-[2]грн!h215+[2]грн!g215+[2]грн!m215+[2]грн!s215+[2]грн!y215+[2]грн!ae215+[2]грн!ak215</f>
        <v>4</v>
      </c>
      <c r="E215" s="19" t="n">
        <f aca="false">[2]грн!as215*1.07</f>
        <v>1230.5</v>
      </c>
    </row>
    <row r="216" customFormat="false" ht="15" hidden="true" customHeight="false" outlineLevel="0" collapsed="false">
      <c r="A216" s="17" t="s">
        <v>152</v>
      </c>
      <c r="B216" s="18" t="s">
        <v>10</v>
      </c>
      <c r="C216" s="18" t="s">
        <v>63</v>
      </c>
      <c r="D216" s="15" t="n">
        <f aca="false">[2]грн!f216-[2]грн!aq216-[2]грн!ap216-[2]грн!ao216-[2]грн!an216-[2]грн!am216-[2]грн!al216-[2]грн!aj216-[2]грн!ai216-[2]грн!ah216-[2]грн!ag216-[2]грн!af216-[2]грн!ad216-[2]грн!ac216-[2]грн!ab216-[2]грн!aa216-[2]грн!z216-[2]грн!x216-[2]грн!w216-[2]грн!v216-[2]грн!u216-[2]грн!t216-[2]грн!r216-[2]грн!q216-[2]грн!p216-[2]грн!o216-[2]грн!n216-[2]грн!l216-[2]грн!k216-[2]грн!j216-[2]грн!i216-[2]грн!h216+[2]грн!g216+[2]грн!m216+[2]грн!s216+[2]грн!y216+[2]грн!ae216+[2]грн!ak216</f>
        <v>0</v>
      </c>
      <c r="E216" s="19" t="n">
        <f aca="false">[2]грн!as216*1.07</f>
        <v>674.1</v>
      </c>
    </row>
    <row r="217" customFormat="false" ht="15" hidden="false" customHeight="false" outlineLevel="0" collapsed="false">
      <c r="A217" s="49" t="s">
        <v>152</v>
      </c>
      <c r="B217" s="27" t="s">
        <v>10</v>
      </c>
      <c r="C217" s="27" t="s">
        <v>62</v>
      </c>
      <c r="D217" s="15" t="n">
        <f aca="false">[2]грн!f217-[2]грн!aq217-[2]грн!ap217-[2]грн!ao217-[2]грн!an217-[2]грн!am217-[2]грн!al217-[2]грн!aj217-[2]грн!ai217-[2]грн!ah217-[2]грн!ag217-[2]грн!af217-[2]грн!ad217-[2]грн!ac217-[2]грн!ab217-[2]грн!aa217-[2]грн!z217-[2]грн!x217-[2]грн!w217-[2]грн!v217-[2]грн!u217-[2]грн!t217-[2]грн!r217-[2]грн!q217-[2]грн!p217-[2]грн!o217-[2]грн!n217-[2]грн!l217-[2]грн!k217-[2]грн!j217-[2]грн!i217-[2]грн!h217+[2]грн!g217+[2]грн!m217+[2]грн!s217+[2]грн!y217+[2]грн!ae217+[2]грн!ak217</f>
        <v>12</v>
      </c>
      <c r="E217" s="19" t="n">
        <f aca="false">[2]грн!as217*1.07</f>
        <v>791.8</v>
      </c>
    </row>
    <row r="218" customFormat="false" ht="15" hidden="false" customHeight="false" outlineLevel="0" collapsed="false">
      <c r="A218" s="49" t="s">
        <v>152</v>
      </c>
      <c r="B218" s="27" t="s">
        <v>10</v>
      </c>
      <c r="C218" s="27" t="s">
        <v>65</v>
      </c>
      <c r="D218" s="15" t="n">
        <f aca="false">[2]грн!f218-[2]грн!aq218-[2]грн!ap218-[2]грн!ao218-[2]грн!an218-[2]грн!am218-[2]грн!al218-[2]грн!aj218-[2]грн!ai218-[2]грн!ah218-[2]грн!ag218-[2]грн!af218-[2]грн!ad218-[2]грн!ac218-[2]грн!ab218-[2]грн!aa218-[2]грн!z218-[2]грн!x218-[2]грн!w218-[2]грн!v218-[2]грн!u218-[2]грн!t218-[2]грн!r218-[2]грн!q218-[2]грн!p218-[2]грн!o218-[2]грн!n218-[2]грн!l218-[2]грн!k218-[2]грн!j218-[2]грн!i218-[2]грн!h218+[2]грн!g218+[2]грн!m218+[2]грн!s218+[2]грн!y218+[2]грн!ae218+[2]грн!ak218</f>
        <v>40</v>
      </c>
      <c r="E218" s="19" t="n">
        <f aca="false">[2]грн!as218*1.07</f>
        <v>813.2</v>
      </c>
    </row>
    <row r="219" customFormat="false" ht="15" hidden="false" customHeight="false" outlineLevel="0" collapsed="false">
      <c r="A219" s="57" t="s">
        <v>152</v>
      </c>
      <c r="B219" s="24" t="s">
        <v>10</v>
      </c>
      <c r="C219" s="33" t="s">
        <v>158</v>
      </c>
      <c r="D219" s="15" t="n">
        <f aca="false">[2]грн!f219-[2]грн!aq219-[2]грн!ap219-[2]грн!ao219-[2]грн!an219-[2]грн!am219-[2]грн!al219-[2]грн!aj219-[2]грн!ai219-[2]грн!ah219-[2]грн!ag219-[2]грн!af219-[2]грн!ad219-[2]грн!ac219-[2]грн!ab219-[2]грн!aa219-[2]грн!z219-[2]грн!x219-[2]грн!w219-[2]грн!v219-[2]грн!u219-[2]грн!t219-[2]грн!r219-[2]грн!q219-[2]грн!p219-[2]грн!o219-[2]грн!n219-[2]грн!l219-[2]грн!k219-[2]грн!j219-[2]грн!i219-[2]грн!h219+[2]грн!g219+[2]грн!m219+[2]грн!s219+[2]грн!y219+[2]грн!ae219+[2]грн!ak219</f>
        <v>14</v>
      </c>
      <c r="E219" s="19" t="n">
        <f aca="false">[2]грн!as219*1.07</f>
        <v>813.2</v>
      </c>
    </row>
    <row r="220" customFormat="false" ht="15" hidden="false" customHeight="false" outlineLevel="0" collapsed="false">
      <c r="A220" s="57" t="s">
        <v>152</v>
      </c>
      <c r="B220" s="24" t="s">
        <v>10</v>
      </c>
      <c r="C220" s="33" t="s">
        <v>70</v>
      </c>
      <c r="D220" s="15" t="n">
        <f aca="false">[2]грн!f220-[2]грн!aq220-[2]грн!ap220-[2]грн!ao220-[2]грн!an220-[2]грн!am220-[2]грн!al220-[2]грн!aj220-[2]грн!ai220-[2]грн!ah220-[2]грн!ag220-[2]грн!af220-[2]грн!ad220-[2]грн!ac220-[2]грн!ab220-[2]грн!aa220-[2]грн!z220-[2]грн!x220-[2]грн!w220-[2]грн!v220-[2]грн!u220-[2]грн!t220-[2]грн!r220-[2]грн!q220-[2]грн!p220-[2]грн!o220-[2]грн!n220-[2]грн!l220-[2]грн!k220-[2]грн!j220-[2]грн!i220-[2]грн!h220+[2]грн!g220+[2]грн!m220+[2]грн!s220+[2]грн!y220+[2]грн!ae220+[2]грн!ak220</f>
        <v>8</v>
      </c>
      <c r="E220" s="19" t="n">
        <f aca="false">[2]грн!as220*1.07</f>
        <v>963</v>
      </c>
    </row>
    <row r="221" customFormat="false" ht="15" hidden="false" customHeight="false" outlineLevel="0" collapsed="false">
      <c r="A221" s="57" t="s">
        <v>152</v>
      </c>
      <c r="B221" s="24" t="s">
        <v>10</v>
      </c>
      <c r="C221" s="33" t="s">
        <v>27</v>
      </c>
      <c r="D221" s="15" t="n">
        <f aca="false">[2]грн!f221-[2]грн!aq221-[2]грн!ap221-[2]грн!ao221-[2]грн!an221-[2]грн!am221-[2]грн!al221-[2]грн!aj221-[2]грн!ai221-[2]грн!ah221-[2]грн!ag221-[2]грн!af221-[2]грн!ad221-[2]грн!ac221-[2]грн!ab221-[2]грн!aa221-[2]грн!z221-[2]грн!x221-[2]грн!w221-[2]грн!v221-[2]грн!u221-[2]грн!t221-[2]грн!r221-[2]грн!q221-[2]грн!p221-[2]грн!o221-[2]грн!n221-[2]грн!l221-[2]грн!k221-[2]грн!j221-[2]грн!i221-[2]грн!h221+[2]грн!g221+[2]грн!m221+[2]грн!s221+[2]грн!y221+[2]грн!ae221+[2]грн!ak221</f>
        <v>6</v>
      </c>
      <c r="E221" s="19" t="n">
        <f aca="false">[2]грн!as221*1.07</f>
        <v>856</v>
      </c>
    </row>
    <row r="222" customFormat="false" ht="15" hidden="true" customHeight="false" outlineLevel="0" collapsed="false">
      <c r="A222" s="58" t="s">
        <v>152</v>
      </c>
      <c r="B222" s="27" t="s">
        <v>74</v>
      </c>
      <c r="C222" s="27" t="s">
        <v>112</v>
      </c>
      <c r="D222" s="15" t="n">
        <f aca="false">[2]грн!f222-[2]грн!aq222-[2]грн!ap222-[2]грн!ao222-[2]грн!an222-[2]грн!am222-[2]грн!al222-[2]грн!aj222-[2]грн!ai222-[2]грн!ah222-[2]грн!ag222-[2]грн!af222-[2]грн!ad222-[2]грн!ac222-[2]грн!ab222-[2]грн!aa222-[2]грн!z222-[2]грн!x222-[2]грн!w222-[2]грн!v222-[2]грн!u222-[2]грн!t222-[2]грн!r222-[2]грн!q222-[2]грн!p222-[2]грн!o222-[2]грн!n222-[2]грн!l222-[2]грн!k222-[2]грн!j222-[2]грн!i222-[2]грн!h222+[2]грн!g222+[2]грн!m222+[2]грн!s222+[2]грн!y222+[2]грн!ae222+[2]грн!ak222</f>
        <v>0</v>
      </c>
      <c r="E222" s="19" t="n">
        <f aca="false">[2]грн!as222*1.07</f>
        <v>834.6</v>
      </c>
    </row>
    <row r="223" customFormat="false" ht="15" hidden="true" customHeight="false" outlineLevel="0" collapsed="false">
      <c r="A223" s="57" t="s">
        <v>152</v>
      </c>
      <c r="B223" s="24" t="s">
        <v>74</v>
      </c>
      <c r="C223" s="24" t="s">
        <v>113</v>
      </c>
      <c r="D223" s="15" t="n">
        <f aca="false">[2]грн!f223-[2]грн!aq223-[2]грн!ap223-[2]грн!ao223-[2]грн!an223-[2]грн!am223-[2]грн!al223-[2]грн!aj223-[2]грн!ai223-[2]грн!ah223-[2]грн!ag223-[2]грн!af223-[2]грн!ad223-[2]грн!ac223-[2]грн!ab223-[2]грн!aa223-[2]грн!z223-[2]грн!x223-[2]грн!w223-[2]грн!v223-[2]грн!u223-[2]грн!t223-[2]грн!r223-[2]грн!q223-[2]грн!p223-[2]грн!o223-[2]грн!n223-[2]грн!l223-[2]грн!k223-[2]грн!j223-[2]грн!i223-[2]грн!h223+[2]грн!g223+[2]грн!m223+[2]грн!s223+[2]грн!y223+[2]грн!ae223+[2]грн!ak223</f>
        <v>0</v>
      </c>
      <c r="E223" s="19" t="n">
        <f aca="false">[2]грн!as223*1.07</f>
        <v>920.2</v>
      </c>
    </row>
    <row r="224" customFormat="false" ht="15" hidden="false" customHeight="false" outlineLevel="0" collapsed="false">
      <c r="A224" s="57" t="s">
        <v>152</v>
      </c>
      <c r="B224" s="24" t="s">
        <v>74</v>
      </c>
      <c r="C224" s="24" t="s">
        <v>94</v>
      </c>
      <c r="D224" s="15" t="n">
        <f aca="false">[2]грн!f224-[2]грн!aq224-[2]грн!ap224-[2]грн!ao224-[2]грн!an224-[2]грн!am224-[2]грн!al224-[2]грн!aj224-[2]грн!ai224-[2]грн!ah224-[2]грн!ag224-[2]грн!af224-[2]грн!ad224-[2]грн!ac224-[2]грн!ab224-[2]грн!aa224-[2]грн!z224-[2]грн!x224-[2]грн!w224-[2]грн!v224-[2]грн!u224-[2]грн!t224-[2]грн!r224-[2]грн!q224-[2]грн!p224-[2]грн!o224-[2]грн!n224-[2]грн!l224-[2]грн!k224-[2]грн!j224-[2]грн!i224-[2]грн!h224+[2]грн!g224+[2]грн!m224+[2]грн!s224+[2]грн!y224+[2]грн!ae224+[2]грн!ak224</f>
        <v>4</v>
      </c>
      <c r="E224" s="19" t="n">
        <f aca="false">[2]грн!as224*1.07</f>
        <v>1070</v>
      </c>
    </row>
    <row r="225" customFormat="false" ht="15" hidden="true" customHeight="false" outlineLevel="0" collapsed="false">
      <c r="A225" s="58" t="s">
        <v>159</v>
      </c>
      <c r="B225" s="27" t="s">
        <v>17</v>
      </c>
      <c r="C225" s="26" t="s">
        <v>160</v>
      </c>
      <c r="D225" s="15" t="n">
        <f aca="false">[2]грн!f225-[2]грн!aq225-[2]грн!ap225-[2]грн!ao225-[2]грн!an225-[2]грн!am225-[2]грн!al225-[2]грн!aj225-[2]грн!ai225-[2]грн!ah225-[2]грн!ag225-[2]грн!af225-[2]грн!ad225-[2]грн!ac225-[2]грн!ab225-[2]грн!aa225-[2]грн!z225-[2]грн!x225-[2]грн!w225-[2]грн!v225-[2]грн!u225-[2]грн!t225-[2]грн!r225-[2]грн!q225-[2]грн!p225-[2]грн!o225-[2]грн!n225-[2]грн!l225-[2]грн!k225-[2]грн!j225-[2]грн!i225-[2]грн!h225+[2]грн!g225+[2]грн!m225+[2]грн!s225+[2]грн!y225+[2]грн!ae225+[2]грн!ak225</f>
        <v>0</v>
      </c>
      <c r="E225" s="19" t="n">
        <f aca="false">[2]грн!as225*1.07</f>
        <v>941.6</v>
      </c>
    </row>
    <row r="226" customFormat="false" ht="15" hidden="true" customHeight="false" outlineLevel="0" collapsed="false">
      <c r="A226" s="57" t="s">
        <v>159</v>
      </c>
      <c r="B226" s="24" t="s">
        <v>17</v>
      </c>
      <c r="C226" s="33" t="s">
        <v>23</v>
      </c>
      <c r="D226" s="15" t="n">
        <f aca="false">[2]грн!f226-[2]грн!aq226-[2]грн!ap226-[2]грн!ao226-[2]грн!an226-[2]грн!am226-[2]грн!al226-[2]грн!aj226-[2]грн!ai226-[2]грн!ah226-[2]грн!ag226-[2]грн!af226-[2]грн!ad226-[2]грн!ac226-[2]грн!ab226-[2]грн!aa226-[2]грн!z226-[2]грн!x226-[2]грн!w226-[2]грн!v226-[2]грн!u226-[2]грн!t226-[2]грн!r226-[2]грн!q226-[2]грн!p226-[2]грн!o226-[2]грн!n226-[2]грн!l226-[2]грн!k226-[2]грн!j226-[2]грн!i226-[2]грн!h226+[2]грн!g226+[2]грн!m226+[2]грн!s226+[2]грн!y226+[2]грн!ae226+[2]грн!ak226</f>
        <v>0</v>
      </c>
      <c r="E226" s="19" t="n">
        <f aca="false">[2]грн!as226*1.07</f>
        <v>856</v>
      </c>
    </row>
    <row r="227" customFormat="false" ht="15" hidden="true" customHeight="false" outlineLevel="0" collapsed="false">
      <c r="A227" s="58" t="s">
        <v>159</v>
      </c>
      <c r="B227" s="18" t="s">
        <v>14</v>
      </c>
      <c r="C227" s="40" t="s">
        <v>57</v>
      </c>
      <c r="D227" s="15" t="n">
        <f aca="false">[2]грн!f227-[2]грн!aq227-[2]грн!ap227-[2]грн!ao227-[2]грн!an227-[2]грн!am227-[2]грн!al227-[2]грн!aj227-[2]грн!ai227-[2]грн!ah227-[2]грн!ag227-[2]грн!af227-[2]грн!ad227-[2]грн!ac227-[2]грн!ab227-[2]грн!aa227-[2]грн!z227-[2]грн!x227-[2]грн!w227-[2]грн!v227-[2]грн!u227-[2]грн!t227-[2]грн!r227-[2]грн!q227-[2]грн!p227-[2]грн!o227-[2]грн!n227-[2]грн!l227-[2]грн!k227-[2]грн!j227-[2]грн!i227-[2]грн!h227+[2]грн!g227+[2]грн!m227+[2]грн!s227+[2]грн!y227+[2]грн!ae227+[2]грн!ak227</f>
        <v>0</v>
      </c>
      <c r="E227" s="19" t="n">
        <f aca="false">[2]грн!as227*1.07</f>
        <v>898.8</v>
      </c>
    </row>
    <row r="228" customFormat="false" ht="15" hidden="true" customHeight="false" outlineLevel="0" collapsed="false">
      <c r="A228" s="57" t="s">
        <v>159</v>
      </c>
      <c r="B228" s="24" t="s">
        <v>14</v>
      </c>
      <c r="C228" s="34" t="s">
        <v>161</v>
      </c>
      <c r="D228" s="15" t="n">
        <f aca="false">[2]грн!f228-[2]грн!aq228-[2]грн!ap228-[2]грн!ao228-[2]грн!an228-[2]грн!am228-[2]грн!al228-[2]грн!aj228-[2]грн!ai228-[2]грн!ah228-[2]грн!ag228-[2]грн!af228-[2]грн!ad228-[2]грн!ac228-[2]грн!ab228-[2]грн!aa228-[2]грн!z228-[2]грн!x228-[2]грн!w228-[2]грн!v228-[2]грн!u228-[2]грн!t228-[2]грн!r228-[2]грн!q228-[2]грн!p228-[2]грн!o228-[2]грн!n228-[2]грн!l228-[2]грн!k228-[2]грн!j228-[2]грн!i228-[2]грн!h228+[2]грн!g228+[2]грн!m228+[2]грн!s228+[2]грн!y228+[2]грн!ae228+[2]грн!ak228</f>
        <v>0</v>
      </c>
      <c r="E228" s="19" t="n">
        <f aca="false">[2]грн!as228*1.07</f>
        <v>856</v>
      </c>
    </row>
    <row r="229" customFormat="false" ht="15" hidden="true" customHeight="false" outlineLevel="0" collapsed="false">
      <c r="A229" s="57" t="s">
        <v>159</v>
      </c>
      <c r="B229" s="24" t="s">
        <v>14</v>
      </c>
      <c r="C229" s="34" t="s">
        <v>162</v>
      </c>
      <c r="D229" s="15" t="n">
        <f aca="false">[2]грн!f229-[2]грн!aq229-[2]грн!ap229-[2]грн!ao229-[2]грн!an229-[2]грн!am229-[2]грн!al229-[2]грн!aj229-[2]грн!ai229-[2]грн!ah229-[2]грн!ag229-[2]грн!af229-[2]грн!ad229-[2]грн!ac229-[2]грн!ab229-[2]грн!aa229-[2]грн!z229-[2]грн!x229-[2]грн!w229-[2]грн!v229-[2]грн!u229-[2]грн!t229-[2]грн!r229-[2]грн!q229-[2]грн!p229-[2]грн!o229-[2]грн!n229-[2]грн!l229-[2]грн!k229-[2]грн!j229-[2]грн!i229-[2]грн!h229+[2]грн!g229+[2]грн!m229+[2]грн!s229+[2]грн!y229+[2]грн!ae229+[2]грн!ak229</f>
        <v>0</v>
      </c>
      <c r="E229" s="19" t="n">
        <f aca="false">[2]грн!as229*1.07</f>
        <v>1016.5</v>
      </c>
    </row>
    <row r="230" customFormat="false" ht="15" hidden="true" customHeight="false" outlineLevel="0" collapsed="false">
      <c r="A230" s="58" t="s">
        <v>159</v>
      </c>
      <c r="B230" s="18" t="s">
        <v>10</v>
      </c>
      <c r="C230" s="40" t="s">
        <v>80</v>
      </c>
      <c r="D230" s="15" t="n">
        <f aca="false">[2]грн!f230-[2]грн!aq230-[2]грн!ap230-[2]грн!ao230-[2]грн!an230-[2]грн!am230-[2]грн!al230-[2]грн!aj230-[2]грн!ai230-[2]грн!ah230-[2]грн!ag230-[2]грн!af230-[2]грн!ad230-[2]грн!ac230-[2]грн!ab230-[2]грн!aa230-[2]грн!z230-[2]грн!x230-[2]грн!w230-[2]грн!v230-[2]грн!u230-[2]грн!t230-[2]грн!r230-[2]грн!q230-[2]грн!p230-[2]грн!o230-[2]грн!n230-[2]грн!l230-[2]грн!k230-[2]грн!j230-[2]грн!i230-[2]грн!h230+[2]грн!g230+[2]грн!m230+[2]грн!s230+[2]грн!y230+[2]грн!ae230+[2]грн!ak230</f>
        <v>0</v>
      </c>
      <c r="E230" s="19" t="n">
        <f aca="false">[2]грн!as230*1.07</f>
        <v>856</v>
      </c>
    </row>
    <row r="231" customFormat="false" ht="15" hidden="false" customHeight="false" outlineLevel="0" collapsed="false">
      <c r="A231" s="57" t="s">
        <v>159</v>
      </c>
      <c r="B231" s="24" t="s">
        <v>10</v>
      </c>
      <c r="C231" s="34" t="s">
        <v>71</v>
      </c>
      <c r="D231" s="15" t="n">
        <f aca="false">[2]грн!f231-[2]грн!aq231-[2]грн!ap231-[2]грн!ao231-[2]грн!an231-[2]грн!am231-[2]грн!al231-[2]грн!aj231-[2]грн!ai231-[2]грн!ah231-[2]грн!ag231-[2]грн!af231-[2]грн!ad231-[2]грн!ac231-[2]грн!ab231-[2]грн!aa231-[2]грн!z231-[2]грн!x231-[2]грн!w231-[2]грн!v231-[2]грн!u231-[2]грн!t231-[2]грн!r231-[2]грн!q231-[2]грн!p231-[2]грн!o231-[2]грн!n231-[2]грн!l231-[2]грн!k231-[2]грн!j231-[2]грн!i231-[2]грн!h231+[2]грн!g231+[2]грн!m231+[2]грн!s231+[2]грн!y231+[2]грн!ae231+[2]грн!ak231</f>
        <v>4</v>
      </c>
      <c r="E231" s="19" t="n">
        <f aca="false">[2]грн!as231*1.07</f>
        <v>856</v>
      </c>
    </row>
    <row r="232" customFormat="false" ht="15" hidden="false" customHeight="false" outlineLevel="0" collapsed="false">
      <c r="A232" s="57" t="s">
        <v>163</v>
      </c>
      <c r="B232" s="24" t="s">
        <v>82</v>
      </c>
      <c r="C232" s="59" t="s">
        <v>164</v>
      </c>
      <c r="D232" s="15" t="n">
        <f aca="false">[2]грн!f232-[2]грн!aq232-[2]грн!ap232-[2]грн!ao232-[2]грн!an232-[2]грн!am232-[2]грн!al232-[2]грн!aj232-[2]грн!ai232-[2]грн!ah232-[2]грн!ag232-[2]грн!af232-[2]грн!ad232-[2]грн!ac232-[2]грн!ab232-[2]грн!aa232-[2]грн!z232-[2]грн!x232-[2]грн!w232-[2]грн!v232-[2]грн!u232-[2]грн!t232-[2]грн!r232-[2]грн!q232-[2]грн!p232-[2]грн!o232-[2]грн!n232-[2]грн!l232-[2]грн!k232-[2]грн!j232-[2]грн!i232-[2]грн!h232+[2]грн!g232+[2]грн!m232+[2]грн!s232+[2]грн!y232+[2]грн!ae232+[2]грн!ak232</f>
        <v>2</v>
      </c>
      <c r="E232" s="19" t="n">
        <f aca="false">[2]грн!as232*1.07</f>
        <v>909.5</v>
      </c>
    </row>
    <row r="233" customFormat="false" ht="15" hidden="true" customHeight="false" outlineLevel="0" collapsed="false">
      <c r="A233" s="58" t="s">
        <v>163</v>
      </c>
      <c r="B233" s="27" t="s">
        <v>20</v>
      </c>
      <c r="C233" s="27" t="s">
        <v>165</v>
      </c>
      <c r="D233" s="15" t="n">
        <f aca="false">[2]грн!f233-[2]грн!aq233-[2]грн!ap233-[2]грн!ao233-[2]грн!an233-[2]грн!am233-[2]грн!al233-[2]грн!aj233-[2]грн!ai233-[2]грн!ah233-[2]грн!ag233-[2]грн!af233-[2]грн!ad233-[2]грн!ac233-[2]грн!ab233-[2]грн!aa233-[2]грн!z233-[2]грн!x233-[2]грн!w233-[2]грн!v233-[2]грн!u233-[2]грн!t233-[2]грн!r233-[2]грн!q233-[2]грн!p233-[2]грн!o233-[2]грн!n233-[2]грн!l233-[2]грн!k233-[2]грн!j233-[2]грн!i233-[2]грн!h233+[2]грн!g233+[2]грн!m233+[2]грн!s233+[2]грн!y233+[2]грн!ae233+[2]грн!ak233</f>
        <v>0</v>
      </c>
      <c r="E233" s="19" t="n">
        <f aca="false">[2]грн!as233*1.07</f>
        <v>995.1</v>
      </c>
    </row>
    <row r="234" customFormat="false" ht="15" hidden="false" customHeight="false" outlineLevel="0" collapsed="false">
      <c r="A234" s="57" t="s">
        <v>163</v>
      </c>
      <c r="B234" s="24" t="s">
        <v>20</v>
      </c>
      <c r="C234" s="24" t="s">
        <v>166</v>
      </c>
      <c r="D234" s="15" t="n">
        <f aca="false">[2]грн!f234-[2]грн!aq234-[2]грн!ap234-[2]грн!ao234-[2]грн!an234-[2]грн!am234-[2]грн!al234-[2]грн!aj234-[2]грн!ai234-[2]грн!ah234-[2]грн!ag234-[2]грн!af234-[2]грн!ad234-[2]грн!ac234-[2]грн!ab234-[2]грн!aa234-[2]грн!z234-[2]грн!x234-[2]грн!w234-[2]грн!v234-[2]грн!u234-[2]грн!t234-[2]грн!r234-[2]грн!q234-[2]грн!p234-[2]грн!o234-[2]грн!n234-[2]грн!l234-[2]грн!k234-[2]грн!j234-[2]грн!i234-[2]грн!h234+[2]грн!g234+[2]грн!m234+[2]грн!s234+[2]грн!y234+[2]грн!ae234+[2]грн!ak234</f>
        <v>16</v>
      </c>
      <c r="E234" s="19" t="n">
        <f aca="false">[2]грн!as234*1.07</f>
        <v>989.75</v>
      </c>
    </row>
    <row r="235" customFormat="false" ht="15" hidden="true" customHeight="false" outlineLevel="0" collapsed="false">
      <c r="A235" s="58" t="s">
        <v>163</v>
      </c>
      <c r="B235" s="36" t="s">
        <v>17</v>
      </c>
      <c r="C235" s="18" t="s">
        <v>87</v>
      </c>
      <c r="D235" s="15" t="n">
        <f aca="false">[2]грн!f235-[2]грн!aq235-[2]грн!ap235-[2]грн!ao235-[2]грн!an235-[2]грн!am235-[2]грн!al235-[2]грн!aj235-[2]грн!ai235-[2]грн!ah235-[2]грн!ag235-[2]грн!af235-[2]грн!ad235-[2]грн!ac235-[2]грн!ab235-[2]грн!aa235-[2]грн!z235-[2]грн!x235-[2]грн!w235-[2]грн!v235-[2]грн!u235-[2]грн!t235-[2]грн!r235-[2]грн!q235-[2]грн!p235-[2]грн!o235-[2]грн!n235-[2]грн!l235-[2]грн!k235-[2]грн!j235-[2]грн!i235-[2]грн!h235+[2]грн!g235+[2]грн!m235+[2]грн!s235+[2]грн!y235+[2]грн!ae235+[2]грн!ak235</f>
        <v>0</v>
      </c>
      <c r="E235" s="19" t="n">
        <f aca="false">[2]грн!as235*1.07</f>
        <v>856</v>
      </c>
    </row>
    <row r="236" customFormat="false" ht="15" hidden="true" customHeight="false" outlineLevel="0" collapsed="false">
      <c r="A236" s="58" t="s">
        <v>163</v>
      </c>
      <c r="B236" s="36" t="s">
        <v>17</v>
      </c>
      <c r="C236" s="18" t="s">
        <v>167</v>
      </c>
      <c r="D236" s="15" t="n">
        <f aca="false">[2]грн!f236-[2]грн!aq236-[2]грн!ap236-[2]грн!ao236-[2]грн!an236-[2]грн!am236-[2]грн!al236-[2]грн!aj236-[2]грн!ai236-[2]грн!ah236-[2]грн!ag236-[2]грн!af236-[2]грн!ad236-[2]грн!ac236-[2]грн!ab236-[2]грн!aa236-[2]грн!z236-[2]грн!x236-[2]грн!w236-[2]грн!v236-[2]грн!u236-[2]грн!t236-[2]грн!r236-[2]грн!q236-[2]грн!p236-[2]грн!o236-[2]грн!n236-[2]грн!l236-[2]грн!k236-[2]грн!j236-[2]грн!i236-[2]грн!h236+[2]грн!g236+[2]грн!m236+[2]грн!s236+[2]грн!y236+[2]грн!ae236+[2]грн!ak236</f>
        <v>0</v>
      </c>
      <c r="E236" s="19" t="n">
        <f aca="false">[2]грн!as236*1.07</f>
        <v>749</v>
      </c>
    </row>
    <row r="237" customFormat="false" ht="15" hidden="true" customHeight="false" outlineLevel="0" collapsed="false">
      <c r="A237" s="57" t="s">
        <v>163</v>
      </c>
      <c r="B237" s="38" t="s">
        <v>17</v>
      </c>
      <c r="C237" s="39" t="s">
        <v>53</v>
      </c>
      <c r="D237" s="15" t="n">
        <f aca="false">[2]грн!f237-[2]грн!aq237-[2]грн!ap237-[2]грн!ao237-[2]грн!an237-[2]грн!am237-[2]грн!al237-[2]грн!aj237-[2]грн!ai237-[2]грн!ah237-[2]грн!ag237-[2]грн!af237-[2]грн!ad237-[2]грн!ac237-[2]грн!ab237-[2]грн!aa237-[2]грн!z237-[2]грн!x237-[2]грн!w237-[2]грн!v237-[2]грн!u237-[2]грн!t237-[2]грн!r237-[2]грн!q237-[2]грн!p237-[2]грн!o237-[2]грн!n237-[2]грн!l237-[2]грн!k237-[2]грн!j237-[2]грн!i237-[2]грн!h237+[2]грн!g237+[2]грн!m237+[2]грн!s237+[2]грн!y237+[2]грн!ae237+[2]грн!ak237</f>
        <v>0</v>
      </c>
      <c r="E237" s="19" t="n">
        <f aca="false">[2]грн!as237*1.07</f>
        <v>823.9</v>
      </c>
    </row>
    <row r="238" customFormat="false" ht="15" hidden="true" customHeight="false" outlineLevel="0" collapsed="false">
      <c r="A238" s="57" t="s">
        <v>163</v>
      </c>
      <c r="B238" s="38" t="s">
        <v>17</v>
      </c>
      <c r="C238" s="39" t="s">
        <v>168</v>
      </c>
      <c r="D238" s="15" t="n">
        <f aca="false">[2]грн!f238-[2]грн!aq238-[2]грн!ap238-[2]грн!ao238-[2]грн!an238-[2]грн!am238-[2]грн!al238-[2]грн!aj238-[2]грн!ai238-[2]грн!ah238-[2]грн!ag238-[2]грн!af238-[2]грн!ad238-[2]грн!ac238-[2]грн!ab238-[2]грн!aa238-[2]грн!z238-[2]грн!x238-[2]грн!w238-[2]грн!v238-[2]грн!u238-[2]грн!t238-[2]грн!r238-[2]грн!q238-[2]грн!p238-[2]грн!o238-[2]грн!n238-[2]грн!l238-[2]грн!k238-[2]грн!j238-[2]грн!i238-[2]грн!h238+[2]грн!g238+[2]грн!m238+[2]грн!s238+[2]грн!y238+[2]грн!ae238+[2]грн!ak238</f>
        <v>0</v>
      </c>
      <c r="E238" s="19" t="n">
        <f aca="false">[2]грн!as238*1.07</f>
        <v>909.5</v>
      </c>
    </row>
    <row r="239" customFormat="false" ht="15" hidden="false" customHeight="false" outlineLevel="0" collapsed="false">
      <c r="A239" s="57" t="s">
        <v>163</v>
      </c>
      <c r="B239" s="38" t="s">
        <v>17</v>
      </c>
      <c r="C239" s="39" t="s">
        <v>23</v>
      </c>
      <c r="D239" s="15" t="n">
        <f aca="false">[2]грн!f239-[2]грн!aq239-[2]грн!ap239-[2]грн!ao239-[2]грн!an239-[2]грн!am239-[2]грн!al239-[2]грн!aj239-[2]грн!ai239-[2]грн!ah239-[2]грн!ag239-[2]грн!af239-[2]грн!ad239-[2]грн!ac239-[2]грн!ab239-[2]грн!aa239-[2]грн!z239-[2]грн!x239-[2]грн!w239-[2]грн!v239-[2]грн!u239-[2]грн!t239-[2]грн!r239-[2]грн!q239-[2]грн!p239-[2]грн!o239-[2]грн!n239-[2]грн!l239-[2]грн!k239-[2]грн!j239-[2]грн!i239-[2]грн!h239+[2]грн!g239+[2]грн!m239+[2]грн!s239+[2]грн!y239+[2]грн!ae239+[2]грн!ak239</f>
        <v>38</v>
      </c>
      <c r="E239" s="19" t="n">
        <f aca="false">[2]грн!as239*1.07</f>
        <v>1016.5</v>
      </c>
    </row>
    <row r="240" customFormat="false" ht="15" hidden="true" customHeight="false" outlineLevel="0" collapsed="false">
      <c r="A240" s="57" t="s">
        <v>163</v>
      </c>
      <c r="B240" s="24" t="s">
        <v>14</v>
      </c>
      <c r="C240" s="33" t="s">
        <v>60</v>
      </c>
      <c r="D240" s="15" t="n">
        <f aca="false">[2]грн!f240-[2]грн!aq240-[2]грн!ap240-[2]грн!ao240-[2]грн!an240-[2]грн!am240-[2]грн!al240-[2]грн!aj240-[2]грн!ai240-[2]грн!ah240-[2]грн!ag240-[2]грн!af240-[2]грн!ad240-[2]грн!ac240-[2]грн!ab240-[2]грн!aa240-[2]грн!z240-[2]грн!x240-[2]грн!w240-[2]грн!v240-[2]грн!u240-[2]грн!t240-[2]грн!r240-[2]грн!q240-[2]грн!p240-[2]грн!o240-[2]грн!n240-[2]грн!l240-[2]грн!k240-[2]грн!j240-[2]грн!i240-[2]грн!h240+[2]грн!g240+[2]грн!m240+[2]грн!s240+[2]грн!y240+[2]грн!ae240+[2]грн!ak240</f>
        <v>0</v>
      </c>
      <c r="E240" s="19" t="n">
        <f aca="false">[2]грн!as240*1.07</f>
        <v>963</v>
      </c>
    </row>
    <row r="241" customFormat="false" ht="15" hidden="true" customHeight="false" outlineLevel="0" collapsed="false">
      <c r="A241" s="57" t="s">
        <v>163</v>
      </c>
      <c r="B241" s="24" t="s">
        <v>14</v>
      </c>
      <c r="C241" s="33" t="s">
        <v>157</v>
      </c>
      <c r="D241" s="15" t="n">
        <f aca="false">[2]грн!f241-[2]грн!aq241-[2]грн!ap241-[2]грн!ao241-[2]грн!an241-[2]грн!am241-[2]грн!al241-[2]грн!aj241-[2]грн!ai241-[2]грн!ah241-[2]грн!ag241-[2]грн!af241-[2]грн!ad241-[2]грн!ac241-[2]грн!ab241-[2]грн!aa241-[2]грн!z241-[2]грн!x241-[2]грн!w241-[2]грн!v241-[2]грн!u241-[2]грн!t241-[2]грн!r241-[2]грн!q241-[2]грн!p241-[2]грн!o241-[2]грн!n241-[2]грн!l241-[2]грн!k241-[2]грн!j241-[2]грн!i241-[2]грн!h241+[2]грн!g241+[2]грн!m241+[2]грн!s241+[2]грн!y241+[2]грн!ae241+[2]грн!ak241</f>
        <v>0</v>
      </c>
      <c r="E241" s="19" t="n">
        <f aca="false">[2]грн!as241*1.07</f>
        <v>963</v>
      </c>
    </row>
    <row r="242" customFormat="false" ht="15" hidden="false" customHeight="false" outlineLevel="0" collapsed="false">
      <c r="A242" s="58" t="s">
        <v>163</v>
      </c>
      <c r="B242" s="18" t="s">
        <v>10</v>
      </c>
      <c r="C242" s="25" t="s">
        <v>62</v>
      </c>
      <c r="D242" s="15" t="n">
        <f aca="false">[2]грн!f242-[2]грн!aq242-[2]грн!ap242-[2]грн!ao242-[2]грн!an242-[2]грн!am242-[2]грн!al242-[2]грн!aj242-[2]грн!ai242-[2]грн!ah242-[2]грн!ag242-[2]грн!af242-[2]грн!ad242-[2]грн!ac242-[2]грн!ab242-[2]грн!aa242-[2]грн!z242-[2]грн!x242-[2]грн!w242-[2]грн!v242-[2]грн!u242-[2]грн!t242-[2]грн!r242-[2]грн!q242-[2]грн!p242-[2]грн!o242-[2]грн!n242-[2]грн!l242-[2]грн!k242-[2]грн!j242-[2]грн!i242-[2]грн!h242+[2]грн!g242+[2]грн!m242+[2]грн!s242+[2]грн!y242+[2]грн!ae242+[2]грн!ak242</f>
        <v>14</v>
      </c>
      <c r="E242" s="19" t="n">
        <f aca="false">[2]грн!as242*1.07</f>
        <v>823.9</v>
      </c>
    </row>
    <row r="243" customFormat="false" ht="15" hidden="true" customHeight="false" outlineLevel="0" collapsed="false">
      <c r="A243" s="58" t="s">
        <v>163</v>
      </c>
      <c r="B243" s="18" t="s">
        <v>10</v>
      </c>
      <c r="C243" s="25" t="s">
        <v>80</v>
      </c>
      <c r="D243" s="15" t="n">
        <f aca="false">[2]грн!f243-[2]грн!aq243-[2]грн!ap243-[2]грн!ao243-[2]грн!an243-[2]грн!am243-[2]грн!al243-[2]грн!aj243-[2]грн!ai243-[2]грн!ah243-[2]грн!ag243-[2]грн!af243-[2]грн!ad243-[2]грн!ac243-[2]грн!ab243-[2]грн!aa243-[2]грн!z243-[2]грн!x243-[2]грн!w243-[2]грн!v243-[2]грн!u243-[2]грн!t243-[2]грн!r243-[2]грн!q243-[2]грн!p243-[2]грн!o243-[2]грн!n243-[2]грн!l243-[2]грн!k243-[2]грн!j243-[2]грн!i243-[2]грн!h243+[2]грн!g243+[2]грн!m243+[2]грн!s243+[2]грн!y243+[2]грн!ae243+[2]грн!ak243</f>
        <v>0</v>
      </c>
      <c r="E243" s="19" t="n">
        <f aca="false">[2]грн!as243*1.07</f>
        <v>866.7</v>
      </c>
    </row>
    <row r="244" customFormat="false" ht="15" hidden="false" customHeight="false" outlineLevel="0" collapsed="false">
      <c r="A244" s="57" t="s">
        <v>163</v>
      </c>
      <c r="B244" s="24" t="s">
        <v>10</v>
      </c>
      <c r="C244" s="33" t="s">
        <v>71</v>
      </c>
      <c r="D244" s="15" t="n">
        <f aca="false">[2]грн!f244-[2]грн!aq244-[2]грн!ap244-[2]грн!ao244-[2]грн!an244-[2]грн!am244-[2]грн!al244-[2]грн!aj244-[2]грн!ai244-[2]грн!ah244-[2]грн!ag244-[2]грн!af244-[2]грн!ad244-[2]грн!ac244-[2]грн!ab244-[2]грн!aa244-[2]грн!z244-[2]грн!x244-[2]грн!w244-[2]грн!v244-[2]грн!u244-[2]грн!t244-[2]грн!r244-[2]грн!q244-[2]грн!p244-[2]грн!o244-[2]грн!n244-[2]грн!l244-[2]грн!k244-[2]грн!j244-[2]грн!i244-[2]грн!h244+[2]грн!g244+[2]грн!m244+[2]грн!s244+[2]грн!y244+[2]грн!ae244+[2]грн!ak244</f>
        <v>26</v>
      </c>
      <c r="E244" s="19" t="n">
        <f aca="false">[2]грн!as244*1.07</f>
        <v>823.9</v>
      </c>
    </row>
    <row r="245" customFormat="false" ht="15" hidden="false" customHeight="false" outlineLevel="0" collapsed="false">
      <c r="A245" s="57" t="s">
        <v>163</v>
      </c>
      <c r="B245" s="38" t="s">
        <v>74</v>
      </c>
      <c r="C245" s="39" t="s">
        <v>169</v>
      </c>
      <c r="D245" s="15" t="n">
        <f aca="false">[2]грн!f245-[2]грн!aq245-[2]грн!ap245-[2]грн!ao245-[2]грн!an245-[2]грн!am245-[2]грн!al245-[2]грн!aj245-[2]грн!ai245-[2]грн!ah245-[2]грн!ag245-[2]грн!af245-[2]грн!ad245-[2]грн!ac245-[2]грн!ab245-[2]грн!aa245-[2]грн!z245-[2]грн!x245-[2]грн!w245-[2]грн!v245-[2]грн!u245-[2]грн!t245-[2]грн!r245-[2]грн!q245-[2]грн!p245-[2]грн!o245-[2]грн!n245-[2]грн!l245-[2]грн!k245-[2]грн!j245-[2]грн!i245-[2]грн!h245+[2]грн!g245+[2]грн!m245+[2]грн!s245+[2]грн!y245+[2]грн!ae245+[2]грн!ak245</f>
        <v>4</v>
      </c>
      <c r="E245" s="19" t="n">
        <f aca="false">[2]грн!as245*1.07</f>
        <v>984.4</v>
      </c>
    </row>
    <row r="246" customFormat="false" ht="15" hidden="false" customHeight="false" outlineLevel="0" collapsed="false">
      <c r="A246" s="17" t="s">
        <v>170</v>
      </c>
      <c r="B246" s="18" t="s">
        <v>20</v>
      </c>
      <c r="C246" s="18" t="s">
        <v>171</v>
      </c>
      <c r="D246" s="15" t="n">
        <f aca="false">[2]грн!f246-[2]грн!aq246-[2]грн!ap246-[2]грн!ao246-[2]грн!an246-[2]грн!am246-[2]грн!al246-[2]грн!aj246-[2]грн!ai246-[2]грн!ah246-[2]грн!ag246-[2]грн!af246-[2]грн!ad246-[2]грн!ac246-[2]грн!ab246-[2]грн!aa246-[2]грн!z246-[2]грн!x246-[2]грн!w246-[2]грн!v246-[2]грн!u246-[2]грн!t246-[2]грн!r246-[2]грн!q246-[2]грн!p246-[2]грн!o246-[2]грн!n246-[2]грн!l246-[2]грн!k246-[2]грн!j246-[2]грн!i246-[2]грн!h246+[2]грн!g246+[2]грн!m246+[2]грн!s246+[2]грн!y246+[2]грн!ae246+[2]грн!ak246</f>
        <v>11</v>
      </c>
      <c r="E246" s="19" t="n">
        <f aca="false">[2]грн!as246*1.07</f>
        <v>898.8</v>
      </c>
    </row>
    <row r="247" customFormat="false" ht="15" hidden="false" customHeight="false" outlineLevel="0" collapsed="false">
      <c r="A247" s="17" t="s">
        <v>170</v>
      </c>
      <c r="B247" s="18" t="s">
        <v>20</v>
      </c>
      <c r="C247" s="18" t="s">
        <v>172</v>
      </c>
      <c r="D247" s="15" t="n">
        <f aca="false">[2]грн!f247-[2]грн!aq247-[2]грн!ap247-[2]грн!ao247-[2]грн!an247-[2]грн!am247-[2]грн!al247-[2]грн!aj247-[2]грн!ai247-[2]грн!ah247-[2]грн!ag247-[2]грн!af247-[2]грн!ad247-[2]грн!ac247-[2]грн!ab247-[2]грн!aa247-[2]грн!z247-[2]грн!x247-[2]грн!w247-[2]грн!v247-[2]грн!u247-[2]грн!t247-[2]грн!r247-[2]грн!q247-[2]грн!p247-[2]грн!o247-[2]грн!n247-[2]грн!l247-[2]грн!k247-[2]грн!j247-[2]грн!i247-[2]грн!h247+[2]грн!g247+[2]грн!m247+[2]грн!s247+[2]грн!y247+[2]грн!ae247+[2]грн!ak247</f>
        <v>38</v>
      </c>
      <c r="E247" s="19" t="n">
        <f aca="false">[2]грн!as247*1.07</f>
        <v>920.2</v>
      </c>
    </row>
    <row r="248" customFormat="false" ht="15" hidden="false" customHeight="false" outlineLevel="0" collapsed="false">
      <c r="A248" s="23" t="s">
        <v>170</v>
      </c>
      <c r="B248" s="24" t="s">
        <v>20</v>
      </c>
      <c r="C248" s="24" t="s">
        <v>173</v>
      </c>
      <c r="D248" s="15" t="n">
        <f aca="false">[2]грн!f248-[2]грн!aq248-[2]грн!ap248-[2]грн!ao248-[2]грн!an248-[2]грн!am248-[2]грн!al248-[2]грн!aj248-[2]грн!ai248-[2]грн!ah248-[2]грн!ag248-[2]грн!af248-[2]грн!ad248-[2]грн!ac248-[2]грн!ab248-[2]грн!aa248-[2]грн!z248-[2]грн!x248-[2]грн!w248-[2]грн!v248-[2]грн!u248-[2]грн!t248-[2]грн!r248-[2]грн!q248-[2]грн!p248-[2]грн!o248-[2]грн!n248-[2]грн!l248-[2]грн!k248-[2]грн!j248-[2]грн!i248-[2]грн!h248+[2]грн!g248+[2]грн!m248+[2]грн!s248+[2]грн!y248+[2]грн!ae248+[2]грн!ak248</f>
        <v>20</v>
      </c>
      <c r="E248" s="19" t="n">
        <f aca="false">[2]грн!as248*1.07</f>
        <v>909.5</v>
      </c>
    </row>
    <row r="249" customFormat="false" ht="15" hidden="true" customHeight="false" outlineLevel="0" collapsed="false">
      <c r="A249" s="23" t="s">
        <v>170</v>
      </c>
      <c r="B249" s="24" t="s">
        <v>20</v>
      </c>
      <c r="C249" s="24" t="s">
        <v>174</v>
      </c>
      <c r="D249" s="15" t="n">
        <f aca="false">[2]грн!f249-[2]грн!aq249-[2]грн!ap249-[2]грн!ao249-[2]грн!an249-[2]грн!am249-[2]грн!al249-[2]грн!aj249-[2]грн!ai249-[2]грн!ah249-[2]грн!ag249-[2]грн!af249-[2]грн!ad249-[2]грн!ac249-[2]грн!ab249-[2]грн!aa249-[2]грн!z249-[2]грн!x249-[2]грн!w249-[2]грн!v249-[2]грн!u249-[2]грн!t249-[2]грн!r249-[2]грн!q249-[2]грн!p249-[2]грн!o249-[2]грн!n249-[2]грн!l249-[2]грн!k249-[2]грн!j249-[2]грн!i249-[2]грн!h249+[2]грн!g249+[2]грн!m249+[2]грн!s249+[2]грн!y249+[2]грн!ae249+[2]грн!ak249</f>
        <v>0</v>
      </c>
      <c r="E249" s="19" t="n">
        <f aca="false">[2]грн!as249*1.07</f>
        <v>674.1</v>
      </c>
    </row>
    <row r="250" customFormat="false" ht="15" hidden="true" customHeight="false" outlineLevel="0" collapsed="false">
      <c r="A250" s="17" t="s">
        <v>170</v>
      </c>
      <c r="B250" s="27" t="s">
        <v>17</v>
      </c>
      <c r="C250" s="28" t="s">
        <v>51</v>
      </c>
      <c r="D250" s="15" t="n">
        <f aca="false">[2]грн!f250-[2]грн!aq250-[2]грн!ap250-[2]грн!ao250-[2]грн!an250-[2]грн!am250-[2]грн!al250-[2]грн!aj250-[2]грн!ai250-[2]грн!ah250-[2]грн!ag250-[2]грн!af250-[2]грн!ad250-[2]грн!ac250-[2]грн!ab250-[2]грн!aa250-[2]грн!z250-[2]грн!x250-[2]грн!w250-[2]грн!v250-[2]грн!u250-[2]грн!t250-[2]грн!r250-[2]грн!q250-[2]грн!p250-[2]грн!o250-[2]грн!n250-[2]грн!l250-[2]грн!k250-[2]грн!j250-[2]грн!i250-[2]грн!h250+[2]грн!g250+[2]грн!m250+[2]грн!s250+[2]грн!y250+[2]грн!ae250+[2]грн!ak250</f>
        <v>0</v>
      </c>
      <c r="E250" s="19" t="n">
        <f aca="false">[2]грн!as250*1.07</f>
        <v>802.5</v>
      </c>
    </row>
    <row r="251" customFormat="false" ht="15" hidden="false" customHeight="false" outlineLevel="0" collapsed="false">
      <c r="A251" s="17" t="s">
        <v>170</v>
      </c>
      <c r="B251" s="27" t="s">
        <v>17</v>
      </c>
      <c r="C251" s="28" t="s">
        <v>22</v>
      </c>
      <c r="D251" s="15" t="n">
        <f aca="false">[2]грн!f251-[2]грн!aq251-[2]грн!ap251-[2]грн!ao251-[2]грн!an251-[2]грн!am251-[2]грн!al251-[2]грн!aj251-[2]грн!ai251-[2]грн!ah251-[2]грн!ag251-[2]грн!af251-[2]грн!ad251-[2]грн!ac251-[2]грн!ab251-[2]грн!aa251-[2]грн!z251-[2]грн!x251-[2]грн!w251-[2]грн!v251-[2]грн!u251-[2]грн!t251-[2]грн!r251-[2]грн!q251-[2]грн!p251-[2]грн!o251-[2]грн!n251-[2]грн!l251-[2]грн!k251-[2]грн!j251-[2]грн!i251-[2]грн!h251+[2]грн!g251+[2]грн!m251+[2]грн!s251+[2]грн!y251+[2]грн!ae251+[2]грн!ak251</f>
        <v>2</v>
      </c>
      <c r="E251" s="19" t="n">
        <f aca="false">[2]грн!as251*1.07</f>
        <v>984.4</v>
      </c>
    </row>
    <row r="252" customFormat="false" ht="15" hidden="false" customHeight="false" outlineLevel="0" collapsed="false">
      <c r="A252" s="17" t="s">
        <v>170</v>
      </c>
      <c r="B252" s="27" t="s">
        <v>17</v>
      </c>
      <c r="C252" s="28" t="s">
        <v>175</v>
      </c>
      <c r="D252" s="15" t="n">
        <f aca="false">[2]грн!f252-[2]грн!aq252-[2]грн!ap252-[2]грн!ao252-[2]грн!an252-[2]грн!am252-[2]грн!al252-[2]грн!aj252-[2]грн!ai252-[2]грн!ah252-[2]грн!ag252-[2]грн!af252-[2]грн!ad252-[2]грн!ac252-[2]грн!ab252-[2]грн!aa252-[2]грн!z252-[2]грн!x252-[2]грн!w252-[2]грн!v252-[2]грн!u252-[2]грн!t252-[2]грн!r252-[2]грн!q252-[2]грн!p252-[2]грн!o252-[2]грн!n252-[2]грн!l252-[2]грн!k252-[2]грн!j252-[2]грн!i252-[2]грн!h252+[2]грн!g252+[2]грн!m252+[2]грн!s252+[2]грн!y252+[2]грн!ae252+[2]грн!ak252</f>
        <v>4</v>
      </c>
      <c r="E252" s="19" t="n">
        <f aca="false">[2]грн!as252*1.07</f>
        <v>984.4</v>
      </c>
    </row>
    <row r="253" customFormat="false" ht="15" hidden="false" customHeight="false" outlineLevel="0" collapsed="false">
      <c r="A253" s="23" t="s">
        <v>170</v>
      </c>
      <c r="B253" s="24" t="s">
        <v>17</v>
      </c>
      <c r="C253" s="39" t="s">
        <v>52</v>
      </c>
      <c r="D253" s="15" t="n">
        <f aca="false">[2]грн!f253-[2]грн!aq253-[2]грн!ap253-[2]грн!ao253-[2]грн!an253-[2]грн!am253-[2]грн!al253-[2]грн!aj253-[2]грн!ai253-[2]грн!ah253-[2]грн!ag253-[2]грн!af253-[2]грн!ad253-[2]грн!ac253-[2]грн!ab253-[2]грн!aa253-[2]грн!z253-[2]грн!x253-[2]грн!w253-[2]грн!v253-[2]грн!u253-[2]грн!t253-[2]грн!r253-[2]грн!q253-[2]грн!p253-[2]грн!o253-[2]грн!n253-[2]грн!l253-[2]грн!k253-[2]грн!j253-[2]грн!i253-[2]грн!h253+[2]грн!g253+[2]грн!m253+[2]грн!s253+[2]грн!y253+[2]грн!ae253+[2]грн!ak253</f>
        <v>12</v>
      </c>
      <c r="E253" s="19" t="n">
        <f aca="false">[2]грн!as253*1.07</f>
        <v>1070</v>
      </c>
    </row>
    <row r="254" customFormat="false" ht="15" hidden="true" customHeight="false" outlineLevel="0" collapsed="false">
      <c r="A254" s="23" t="s">
        <v>170</v>
      </c>
      <c r="B254" s="24" t="s">
        <v>17</v>
      </c>
      <c r="C254" s="39" t="s">
        <v>54</v>
      </c>
      <c r="D254" s="15" t="n">
        <f aca="false">[2]грн!f254-[2]грн!aq254-[2]грн!ap254-[2]грн!ao254-[2]грн!an254-[2]грн!am254-[2]грн!al254-[2]грн!aj254-[2]грн!ai254-[2]грн!ah254-[2]грн!ag254-[2]грн!af254-[2]грн!ad254-[2]грн!ac254-[2]грн!ab254-[2]грн!aa254-[2]грн!z254-[2]грн!x254-[2]грн!w254-[2]грн!v254-[2]грн!u254-[2]грн!t254-[2]грн!r254-[2]грн!q254-[2]грн!p254-[2]грн!o254-[2]грн!n254-[2]грн!l254-[2]грн!k254-[2]грн!j254-[2]грн!i254-[2]грн!h254+[2]грн!g254+[2]грн!m254+[2]грн!s254+[2]грн!y254+[2]грн!ae254+[2]грн!ak254</f>
        <v>0</v>
      </c>
      <c r="E254" s="19" t="n">
        <f aca="false">[2]грн!as254*1.07</f>
        <v>1177</v>
      </c>
    </row>
    <row r="255" customFormat="false" ht="15" hidden="true" customHeight="false" outlineLevel="0" collapsed="false">
      <c r="A255" s="23" t="s">
        <v>170</v>
      </c>
      <c r="B255" s="24" t="s">
        <v>17</v>
      </c>
      <c r="C255" s="39" t="s">
        <v>18</v>
      </c>
      <c r="D255" s="15" t="n">
        <f aca="false">[2]грн!f255-[2]грн!aq255-[2]грн!ap255-[2]грн!ao255-[2]грн!an255-[2]грн!am255-[2]грн!al255-[2]грн!aj255-[2]грн!ai255-[2]грн!ah255-[2]грн!ag255-[2]грн!af255-[2]грн!ad255-[2]грн!ac255-[2]грн!ab255-[2]грн!aa255-[2]грн!z255-[2]грн!x255-[2]грн!w255-[2]грн!v255-[2]грн!u255-[2]грн!t255-[2]грн!r255-[2]грн!q255-[2]грн!p255-[2]грн!o255-[2]грн!n255-[2]грн!l255-[2]грн!k255-[2]грн!j255-[2]грн!i255-[2]грн!h255+[2]грн!g255+[2]грн!m255+[2]грн!s255+[2]грн!y255+[2]грн!ae255+[2]грн!ak255</f>
        <v>0</v>
      </c>
      <c r="E255" s="19" t="n">
        <f aca="false">[2]грн!as255*1.07</f>
        <v>1048.6</v>
      </c>
    </row>
    <row r="256" customFormat="false" ht="15" hidden="false" customHeight="false" outlineLevel="0" collapsed="false">
      <c r="A256" s="23" t="s">
        <v>170</v>
      </c>
      <c r="B256" s="24" t="s">
        <v>17</v>
      </c>
      <c r="C256" s="39" t="s">
        <v>23</v>
      </c>
      <c r="D256" s="15" t="n">
        <f aca="false">[2]грн!f256-[2]грн!aq256-[2]грн!ap256-[2]грн!ao256-[2]грн!an256-[2]грн!am256-[2]грн!al256-[2]грн!aj256-[2]грн!ai256-[2]грн!ah256-[2]грн!ag256-[2]грн!af256-[2]грн!ad256-[2]грн!ac256-[2]грн!ab256-[2]грн!aa256-[2]грн!z256-[2]грн!x256-[2]грн!w256-[2]грн!v256-[2]грн!u256-[2]грн!t256-[2]грн!r256-[2]грн!q256-[2]грн!p256-[2]грн!o256-[2]грн!n256-[2]грн!l256-[2]грн!k256-[2]грн!j256-[2]грн!i256-[2]грн!h256+[2]грн!g256+[2]грн!m256+[2]грн!s256+[2]грн!y256+[2]грн!ae256+[2]грн!ak256</f>
        <v>4</v>
      </c>
      <c r="E256" s="19" t="n">
        <f aca="false">[2]грн!as256*1.07</f>
        <v>1123.5</v>
      </c>
    </row>
    <row r="257" customFormat="false" ht="15" hidden="false" customHeight="false" outlineLevel="0" collapsed="false">
      <c r="A257" s="17" t="s">
        <v>170</v>
      </c>
      <c r="B257" s="18" t="s">
        <v>14</v>
      </c>
      <c r="C257" s="18" t="s">
        <v>176</v>
      </c>
      <c r="D257" s="15" t="n">
        <f aca="false">[2]грн!f257-[2]грн!aq257-[2]грн!ap257-[2]грн!ao257-[2]грн!an257-[2]грн!am257-[2]грн!al257-[2]грн!aj257-[2]грн!ai257-[2]грн!ah257-[2]грн!ag257-[2]грн!af257-[2]грн!ad257-[2]грн!ac257-[2]грн!ab257-[2]грн!aa257-[2]грн!z257-[2]грн!x257-[2]грн!w257-[2]грн!v257-[2]грн!u257-[2]грн!t257-[2]грн!r257-[2]грн!q257-[2]грн!p257-[2]грн!o257-[2]грн!n257-[2]грн!l257-[2]грн!k257-[2]грн!j257-[2]грн!i257-[2]грн!h257+[2]грн!g257+[2]грн!m257+[2]грн!s257+[2]грн!y257+[2]грн!ae257+[2]грн!ak257</f>
        <v>4</v>
      </c>
      <c r="E257" s="19" t="n">
        <f aca="false">[2]грн!as257*1.07</f>
        <v>995.1</v>
      </c>
    </row>
    <row r="258" customFormat="false" ht="15" hidden="false" customHeight="false" outlineLevel="0" collapsed="false">
      <c r="A258" s="17" t="s">
        <v>170</v>
      </c>
      <c r="B258" s="18" t="s">
        <v>14</v>
      </c>
      <c r="C258" s="18" t="s">
        <v>120</v>
      </c>
      <c r="D258" s="15" t="n">
        <f aca="false">[2]грн!f258-[2]грн!aq258-[2]грн!ap258-[2]грн!ao258-[2]грн!an258-[2]грн!am258-[2]грн!al258-[2]грн!aj258-[2]грн!ai258-[2]грн!ah258-[2]грн!ag258-[2]грн!af258-[2]грн!ad258-[2]грн!ac258-[2]грн!ab258-[2]грн!aa258-[2]грн!z258-[2]грн!x258-[2]грн!w258-[2]грн!v258-[2]грн!u258-[2]грн!t258-[2]грн!r258-[2]грн!q258-[2]грн!p258-[2]грн!o258-[2]грн!n258-[2]грн!l258-[2]грн!k258-[2]грн!j258-[2]грн!i258-[2]грн!h258+[2]грн!g258+[2]грн!m258+[2]грн!s258+[2]грн!y258+[2]грн!ae258+[2]грн!ak258</f>
        <v>8</v>
      </c>
      <c r="E258" s="19" t="n">
        <f aca="false">[2]грн!as258*1.07</f>
        <v>984.4</v>
      </c>
    </row>
    <row r="259" customFormat="false" ht="15" hidden="false" customHeight="false" outlineLevel="0" collapsed="false">
      <c r="A259" s="17" t="s">
        <v>170</v>
      </c>
      <c r="B259" s="18" t="s">
        <v>14</v>
      </c>
      <c r="C259" s="18" t="s">
        <v>177</v>
      </c>
      <c r="D259" s="15" t="n">
        <f aca="false">[2]грн!f259-[2]грн!aq259-[2]грн!ap259-[2]грн!ao259-[2]грн!an259-[2]грн!am259-[2]грн!al259-[2]грн!aj259-[2]грн!ai259-[2]грн!ah259-[2]грн!ag259-[2]грн!af259-[2]грн!ad259-[2]грн!ac259-[2]грн!ab259-[2]грн!aa259-[2]грн!z259-[2]грн!x259-[2]грн!w259-[2]грн!v259-[2]грн!u259-[2]грн!t259-[2]грн!r259-[2]грн!q259-[2]грн!p259-[2]грн!o259-[2]грн!n259-[2]грн!l259-[2]грн!k259-[2]грн!j259-[2]грн!i259-[2]грн!h259+[2]грн!g259+[2]грн!m259+[2]грн!s259+[2]грн!y259+[2]грн!ae259+[2]грн!ak259</f>
        <v>8</v>
      </c>
      <c r="E259" s="19" t="n">
        <f aca="false">[2]грн!as259*1.07</f>
        <v>952.3</v>
      </c>
    </row>
    <row r="260" customFormat="false" ht="15" hidden="true" customHeight="false" outlineLevel="0" collapsed="false">
      <c r="A260" s="23" t="s">
        <v>170</v>
      </c>
      <c r="B260" s="24" t="s">
        <v>14</v>
      </c>
      <c r="C260" s="24" t="n">
        <v>501</v>
      </c>
      <c r="D260" s="15" t="n">
        <f aca="false">[2]грн!f260-[2]грн!aq260-[2]грн!ap260-[2]грн!ao260-[2]грн!an260-[2]грн!am260-[2]грн!al260-[2]грн!aj260-[2]грн!ai260-[2]грн!ah260-[2]грн!ag260-[2]грн!af260-[2]грн!ad260-[2]грн!ac260-[2]грн!ab260-[2]грн!aa260-[2]грн!z260-[2]грн!x260-[2]грн!w260-[2]грн!v260-[2]грн!u260-[2]грн!t260-[2]грн!r260-[2]грн!q260-[2]грн!p260-[2]грн!o260-[2]грн!n260-[2]грн!l260-[2]грн!k260-[2]грн!j260-[2]грн!i260-[2]грн!h260+[2]грн!g260+[2]грн!m260+[2]грн!s260+[2]грн!y260+[2]грн!ae260+[2]грн!ak260</f>
        <v>0</v>
      </c>
      <c r="E260" s="19" t="n">
        <f aca="false">[2]грн!as260*1.07</f>
        <v>321</v>
      </c>
    </row>
    <row r="261" customFormat="false" ht="15" hidden="true" customHeight="false" outlineLevel="0" collapsed="false">
      <c r="A261" s="57" t="s">
        <v>178</v>
      </c>
      <c r="B261" s="24" t="s">
        <v>14</v>
      </c>
      <c r="C261" s="33" t="s">
        <v>179</v>
      </c>
      <c r="D261" s="15" t="n">
        <f aca="false">[2]грн!f261-[2]грн!aq261-[2]грн!ap261-[2]грн!ao261-[2]грн!an261-[2]грн!am261-[2]грн!al261-[2]грн!aj261-[2]грн!ai261-[2]грн!ah261-[2]грн!ag261-[2]грн!af261-[2]грн!ad261-[2]грн!ac261-[2]грн!ab261-[2]грн!aa261-[2]грн!z261-[2]грн!x261-[2]грн!w261-[2]грн!v261-[2]грн!u261-[2]грн!t261-[2]грн!r261-[2]грн!q261-[2]грн!p261-[2]грн!o261-[2]грн!n261-[2]грн!l261-[2]грн!k261-[2]грн!j261-[2]грн!i261-[2]грн!h261+[2]грн!g261+[2]грн!m261+[2]грн!s261+[2]грн!y261+[2]грн!ae261+[2]грн!ak261</f>
        <v>0</v>
      </c>
      <c r="E261" s="19" t="n">
        <f aca="false">[2]грн!as261*1.07</f>
        <v>909.5</v>
      </c>
    </row>
    <row r="262" customFormat="false" ht="15" hidden="true" customHeight="false" outlineLevel="0" collapsed="false">
      <c r="A262" s="23" t="s">
        <v>178</v>
      </c>
      <c r="B262" s="24" t="s">
        <v>14</v>
      </c>
      <c r="C262" s="24" t="s">
        <v>157</v>
      </c>
      <c r="D262" s="15" t="n">
        <f aca="false">[2]грн!f262-[2]грн!aq262-[2]грн!ap262-[2]грн!ao262-[2]грн!an262-[2]грн!am262-[2]грн!al262-[2]грн!aj262-[2]грн!ai262-[2]грн!ah262-[2]грн!ag262-[2]грн!af262-[2]грн!ad262-[2]грн!ac262-[2]грн!ab262-[2]грн!aa262-[2]грн!z262-[2]грн!x262-[2]грн!w262-[2]грн!v262-[2]грн!u262-[2]грн!t262-[2]грн!r262-[2]грн!q262-[2]грн!p262-[2]грн!o262-[2]грн!n262-[2]грн!l262-[2]грн!k262-[2]грн!j262-[2]грн!i262-[2]грн!h262+[2]грн!g262+[2]грн!m262+[2]грн!s262+[2]грн!y262+[2]грн!ae262+[2]грн!ak262</f>
        <v>0</v>
      </c>
      <c r="E262" s="19" t="n">
        <f aca="false">[2]грн!as262*1.07</f>
        <v>898.8</v>
      </c>
    </row>
    <row r="263" customFormat="false" ht="15" hidden="true" customHeight="false" outlineLevel="0" collapsed="false">
      <c r="A263" s="23" t="s">
        <v>178</v>
      </c>
      <c r="B263" s="24" t="s">
        <v>14</v>
      </c>
      <c r="C263" s="24" t="s">
        <v>60</v>
      </c>
      <c r="D263" s="15" t="n">
        <f aca="false">[2]грн!f263-[2]грн!aq263-[2]грн!ap263-[2]грн!ao263-[2]грн!an263-[2]грн!am263-[2]грн!al263-[2]грн!aj263-[2]грн!ai263-[2]грн!ah263-[2]грн!ag263-[2]грн!af263-[2]грн!ad263-[2]грн!ac263-[2]грн!ab263-[2]грн!aa263-[2]грн!z263-[2]грн!x263-[2]грн!w263-[2]грн!v263-[2]грн!u263-[2]грн!t263-[2]грн!r263-[2]грн!q263-[2]грн!p263-[2]грн!o263-[2]грн!n263-[2]грн!l263-[2]грн!k263-[2]грн!j263-[2]грн!i263-[2]грн!h263+[2]грн!g263+[2]грн!m263+[2]грн!s263+[2]грн!y263+[2]грн!ae263+[2]грн!ak263</f>
        <v>0</v>
      </c>
      <c r="E263" s="19" t="n">
        <f aca="false">[2]грн!as263*1.07</f>
        <v>695.5</v>
      </c>
    </row>
    <row r="264" customFormat="false" ht="15" hidden="false" customHeight="false" outlineLevel="0" collapsed="false">
      <c r="A264" s="17" t="s">
        <v>170</v>
      </c>
      <c r="B264" s="18" t="s">
        <v>10</v>
      </c>
      <c r="C264" s="18" t="s">
        <v>62</v>
      </c>
      <c r="D264" s="15" t="n">
        <f aca="false">[2]грн!f264-[2]грн!aq264-[2]грн!ap264-[2]грн!ao264-[2]грн!an264-[2]грн!am264-[2]грн!al264-[2]грн!aj264-[2]грн!ai264-[2]грн!ah264-[2]грн!ag264-[2]грн!af264-[2]грн!ad264-[2]грн!ac264-[2]грн!ab264-[2]грн!aa264-[2]грн!z264-[2]грн!x264-[2]грн!w264-[2]грн!v264-[2]грн!u264-[2]грн!t264-[2]грн!r264-[2]грн!q264-[2]грн!p264-[2]грн!o264-[2]грн!n264-[2]грн!l264-[2]грн!k264-[2]грн!j264-[2]грн!i264-[2]грн!h264+[2]грн!g264+[2]грн!m264+[2]грн!s264+[2]грн!y264+[2]грн!ae264+[2]грн!ak264</f>
        <v>10</v>
      </c>
      <c r="E264" s="19" t="n">
        <f aca="false">[2]грн!as264*1.07</f>
        <v>856</v>
      </c>
    </row>
    <row r="265" customFormat="false" ht="15" hidden="false" customHeight="false" outlineLevel="0" collapsed="false">
      <c r="A265" s="49" t="s">
        <v>170</v>
      </c>
      <c r="B265" s="18" t="s">
        <v>10</v>
      </c>
      <c r="C265" s="27" t="s">
        <v>63</v>
      </c>
      <c r="D265" s="15" t="n">
        <f aca="false">[2]грн!f265-[2]грн!aq265-[2]грн!ap265-[2]грн!ao265-[2]грн!an265-[2]грн!am265-[2]грн!al265-[2]грн!aj265-[2]грн!ai265-[2]грн!ah265-[2]грн!ag265-[2]грн!af265-[2]грн!ad265-[2]грн!ac265-[2]грн!ab265-[2]грн!aa265-[2]грн!z265-[2]грн!x265-[2]грн!w265-[2]грн!v265-[2]грн!u265-[2]грн!t265-[2]грн!r265-[2]грн!q265-[2]грн!p265-[2]грн!o265-[2]грн!n265-[2]грн!l265-[2]грн!k265-[2]грн!j265-[2]грн!i265-[2]грн!h265+[2]грн!g265+[2]грн!m265+[2]грн!s265+[2]грн!y265+[2]грн!ae265+[2]грн!ak265</f>
        <v>1</v>
      </c>
      <c r="E265" s="19" t="n">
        <f aca="false">[2]грн!as265*1.07</f>
        <v>856</v>
      </c>
    </row>
    <row r="266" customFormat="false" ht="15" hidden="false" customHeight="false" outlineLevel="0" collapsed="false">
      <c r="A266" s="49" t="s">
        <v>170</v>
      </c>
      <c r="B266" s="18" t="s">
        <v>10</v>
      </c>
      <c r="C266" s="27" t="s">
        <v>80</v>
      </c>
      <c r="D266" s="15" t="n">
        <f aca="false">[2]грн!f266-[2]грн!aq266-[2]грн!ap266-[2]грн!ao266-[2]грн!an266-[2]грн!am266-[2]грн!al266-[2]грн!aj266-[2]грн!ai266-[2]грн!ah266-[2]грн!ag266-[2]грн!af266-[2]грн!ad266-[2]грн!ac266-[2]грн!ab266-[2]грн!aa266-[2]грн!z266-[2]грн!x266-[2]грн!w266-[2]грн!v266-[2]грн!u266-[2]грн!t266-[2]грн!r266-[2]грн!q266-[2]грн!p266-[2]грн!o266-[2]грн!n266-[2]грн!l266-[2]грн!k266-[2]грн!j266-[2]грн!i266-[2]грн!h266+[2]грн!g266+[2]грн!m266+[2]грн!s266+[2]грн!y266+[2]грн!ae266+[2]грн!ak266</f>
        <v>4</v>
      </c>
      <c r="E266" s="19" t="n">
        <f aca="false">[2]грн!as266*1.07</f>
        <v>866.7</v>
      </c>
    </row>
    <row r="267" customFormat="false" ht="15" hidden="false" customHeight="false" outlineLevel="0" collapsed="false">
      <c r="A267" s="60" t="s">
        <v>170</v>
      </c>
      <c r="B267" s="43" t="s">
        <v>10</v>
      </c>
      <c r="C267" s="61" t="s">
        <v>80</v>
      </c>
      <c r="D267" s="15" t="n">
        <f aca="false">[2]грн!f267-[2]грн!aq267-[2]грн!ap267-[2]грн!ao267-[2]грн!an267-[2]грн!am267-[2]грн!al267-[2]грн!aj267-[2]грн!ai267-[2]грн!ah267-[2]грн!ag267-[2]грн!af267-[2]грн!ad267-[2]грн!ac267-[2]грн!ab267-[2]грн!aa267-[2]грн!z267-[2]грн!x267-[2]грн!w267-[2]грн!v267-[2]грн!u267-[2]грн!t267-[2]грн!r267-[2]грн!q267-[2]грн!p267-[2]грн!o267-[2]грн!n267-[2]грн!l267-[2]грн!k267-[2]грн!j267-[2]грн!i267-[2]грн!h267+[2]грн!g267+[2]грн!m267+[2]грн!s267+[2]грн!y267+[2]грн!ae267+[2]грн!ak267</f>
        <v>3</v>
      </c>
      <c r="E267" s="44" t="n">
        <f aca="false">[2]грн!as267*1.07</f>
        <v>759.7</v>
      </c>
    </row>
    <row r="268" customFormat="false" ht="15" hidden="false" customHeight="false" outlineLevel="0" collapsed="false">
      <c r="A268" s="49" t="s">
        <v>170</v>
      </c>
      <c r="B268" s="18" t="s">
        <v>10</v>
      </c>
      <c r="C268" s="27" t="s">
        <v>65</v>
      </c>
      <c r="D268" s="15" t="n">
        <f aca="false">[2]грн!f268-[2]грн!aq268-[2]грн!ap268-[2]грн!ao268-[2]грн!an268-[2]грн!am268-[2]грн!al268-[2]грн!aj268-[2]грн!ai268-[2]грн!ah268-[2]грн!ag268-[2]грн!af268-[2]грн!ad268-[2]грн!ac268-[2]грн!ab268-[2]грн!aa268-[2]грн!z268-[2]грн!x268-[2]грн!w268-[2]грн!v268-[2]грн!u268-[2]грн!t268-[2]грн!r268-[2]грн!q268-[2]грн!p268-[2]грн!o268-[2]грн!n268-[2]грн!l268-[2]грн!k268-[2]грн!j268-[2]грн!i268-[2]грн!h268+[2]грн!g268+[2]грн!m268+[2]грн!s268+[2]грн!y268+[2]грн!ae268+[2]грн!ak268</f>
        <v>4</v>
      </c>
      <c r="E268" s="19" t="n">
        <f aca="false">[2]грн!as268*1.07</f>
        <v>882.75</v>
      </c>
    </row>
    <row r="269" customFormat="false" ht="15" hidden="false" customHeight="false" outlineLevel="0" collapsed="false">
      <c r="A269" s="49" t="s">
        <v>170</v>
      </c>
      <c r="B269" s="18" t="s">
        <v>10</v>
      </c>
      <c r="C269" s="27" t="s">
        <v>180</v>
      </c>
      <c r="D269" s="15" t="n">
        <f aca="false">[2]грн!f269-[2]грн!aq269-[2]грн!ap269-[2]грн!ao269-[2]грн!an269-[2]грн!am269-[2]грн!al269-[2]грн!aj269-[2]грн!ai269-[2]грн!ah269-[2]грн!ag269-[2]грн!af269-[2]грн!ad269-[2]грн!ac269-[2]грн!ab269-[2]грн!aa269-[2]грн!z269-[2]грн!x269-[2]грн!w269-[2]грн!v269-[2]грн!u269-[2]грн!t269-[2]грн!r269-[2]грн!q269-[2]грн!p269-[2]грн!o269-[2]грн!n269-[2]грн!l269-[2]грн!k269-[2]грн!j269-[2]грн!i269-[2]грн!h269+[2]грн!g269+[2]грн!m269+[2]грн!s269+[2]грн!y269+[2]грн!ae269+[2]грн!ak269</f>
        <v>3</v>
      </c>
      <c r="E269" s="19" t="n">
        <f aca="false">[2]грн!as269*1.07</f>
        <v>856</v>
      </c>
    </row>
    <row r="270" customFormat="false" ht="15" hidden="false" customHeight="false" outlineLevel="0" collapsed="false">
      <c r="A270" s="23" t="s">
        <v>170</v>
      </c>
      <c r="B270" s="24" t="s">
        <v>10</v>
      </c>
      <c r="C270" s="24" t="s">
        <v>181</v>
      </c>
      <c r="D270" s="15" t="n">
        <f aca="false">[2]грн!f270-[2]грн!aq270-[2]грн!ap270-[2]грн!ao270-[2]грн!an270-[2]грн!am270-[2]грн!al270-[2]грн!aj270-[2]грн!ai270-[2]грн!ah270-[2]грн!ag270-[2]грн!af270-[2]грн!ad270-[2]грн!ac270-[2]грн!ab270-[2]грн!aa270-[2]грн!z270-[2]грн!x270-[2]грн!w270-[2]грн!v270-[2]грн!u270-[2]грн!t270-[2]грн!r270-[2]грн!q270-[2]грн!p270-[2]грн!o270-[2]грн!n270-[2]грн!l270-[2]грн!k270-[2]грн!j270-[2]грн!i270-[2]грн!h270+[2]грн!g270+[2]грн!m270+[2]грн!s270+[2]грн!y270+[2]грн!ae270+[2]грн!ak270</f>
        <v>6</v>
      </c>
      <c r="E270" s="19" t="n">
        <f aca="false">[2]грн!as270*1.07</f>
        <v>856</v>
      </c>
    </row>
    <row r="271" customFormat="false" ht="15" hidden="false" customHeight="false" outlineLevel="0" collapsed="false">
      <c r="A271" s="62" t="s">
        <v>170</v>
      </c>
      <c r="B271" s="63" t="s">
        <v>10</v>
      </c>
      <c r="C271" s="63" t="s">
        <v>181</v>
      </c>
      <c r="D271" s="15" t="n">
        <f aca="false">[2]грн!f271-[2]грн!aq271-[2]грн!ap271-[2]грн!ao271-[2]грн!an271-[2]грн!am271-[2]грн!al271-[2]грн!aj271-[2]грн!ai271-[2]грн!ah271-[2]грн!ag271-[2]грн!af271-[2]грн!ad271-[2]грн!ac271-[2]грн!ab271-[2]грн!aa271-[2]грн!z271-[2]грн!x271-[2]грн!w271-[2]грн!v271-[2]грн!u271-[2]грн!t271-[2]грн!r271-[2]грн!q271-[2]грн!p271-[2]грн!o271-[2]грн!n271-[2]грн!l271-[2]грн!k271-[2]грн!j271-[2]грн!i271-[2]грн!h271+[2]грн!g271+[2]грн!m271+[2]грн!s271+[2]грн!y271+[2]грн!ae271+[2]грн!ak271</f>
        <v>1</v>
      </c>
      <c r="E271" s="44" t="n">
        <f aca="false">[2]грн!as271*1.07</f>
        <v>749</v>
      </c>
    </row>
    <row r="272" customFormat="false" ht="15" hidden="false" customHeight="false" outlineLevel="0" collapsed="false">
      <c r="A272" s="23" t="s">
        <v>170</v>
      </c>
      <c r="B272" s="24" t="s">
        <v>10</v>
      </c>
      <c r="C272" s="24" t="s">
        <v>182</v>
      </c>
      <c r="D272" s="15" t="n">
        <f aca="false">[2]грн!f272-[2]грн!aq272-[2]грн!ap272-[2]грн!ao272-[2]грн!an272-[2]грн!am272-[2]грн!al272-[2]грн!aj272-[2]грн!ai272-[2]грн!ah272-[2]грн!ag272-[2]грн!af272-[2]грн!ad272-[2]грн!ac272-[2]грн!ab272-[2]грн!aa272-[2]грн!z272-[2]грн!x272-[2]грн!w272-[2]грн!v272-[2]грн!u272-[2]грн!t272-[2]грн!r272-[2]грн!q272-[2]грн!p272-[2]грн!o272-[2]грн!n272-[2]грн!l272-[2]грн!k272-[2]грн!j272-[2]грн!i272-[2]грн!h272+[2]грн!g272+[2]грн!m272+[2]грн!s272+[2]грн!y272+[2]грн!ae272+[2]грн!ak272</f>
        <v>8</v>
      </c>
      <c r="E272" s="19" t="n">
        <f aca="false">[2]грн!as272*1.07</f>
        <v>856</v>
      </c>
    </row>
    <row r="273" customFormat="false" ht="15" hidden="false" customHeight="false" outlineLevel="0" collapsed="false">
      <c r="A273" s="23" t="s">
        <v>170</v>
      </c>
      <c r="B273" s="24" t="s">
        <v>10</v>
      </c>
      <c r="C273" s="24" t="s">
        <v>183</v>
      </c>
      <c r="D273" s="15" t="n">
        <f aca="false">[2]грн!f273-[2]грн!aq273-[2]грн!ap273-[2]грн!ao273-[2]грн!an273-[2]грн!am273-[2]грн!al273-[2]грн!aj273-[2]грн!ai273-[2]грн!ah273-[2]грн!ag273-[2]грн!af273-[2]грн!ad273-[2]грн!ac273-[2]грн!ab273-[2]грн!aa273-[2]грн!z273-[2]грн!x273-[2]грн!w273-[2]грн!v273-[2]грн!u273-[2]грн!t273-[2]грн!r273-[2]грн!q273-[2]грн!p273-[2]грн!o273-[2]грн!n273-[2]грн!l273-[2]грн!k273-[2]грн!j273-[2]грн!i273-[2]грн!h273+[2]грн!g273+[2]грн!m273+[2]грн!s273+[2]грн!y273+[2]грн!ae273+[2]грн!ak273</f>
        <v>22</v>
      </c>
      <c r="E273" s="19" t="n">
        <f aca="false">[2]грн!as273*1.07</f>
        <v>909.5</v>
      </c>
    </row>
    <row r="274" customFormat="false" ht="15" hidden="false" customHeight="false" outlineLevel="0" collapsed="false">
      <c r="A274" s="23" t="s">
        <v>170</v>
      </c>
      <c r="B274" s="24" t="s">
        <v>10</v>
      </c>
      <c r="C274" s="24" t="s">
        <v>70</v>
      </c>
      <c r="D274" s="15" t="n">
        <f aca="false">[2]грн!f274-[2]грн!aq274-[2]грн!ap274-[2]грн!ao274-[2]грн!an274-[2]грн!am274-[2]грн!al274-[2]грн!aj274-[2]грн!ai274-[2]грн!ah274-[2]грн!ag274-[2]грн!af274-[2]грн!ad274-[2]грн!ac274-[2]грн!ab274-[2]грн!aa274-[2]грн!z274-[2]грн!x274-[2]грн!w274-[2]грн!v274-[2]грн!u274-[2]грн!t274-[2]грн!r274-[2]грн!q274-[2]грн!p274-[2]грн!o274-[2]грн!n274-[2]грн!l274-[2]грн!k274-[2]грн!j274-[2]грн!i274-[2]грн!h274+[2]грн!g274+[2]грн!m274+[2]грн!s274+[2]грн!y274+[2]грн!ae274+[2]грн!ak274</f>
        <v>4</v>
      </c>
      <c r="E274" s="19" t="n">
        <f aca="false">[2]грн!as274*1.07</f>
        <v>1070</v>
      </c>
    </row>
    <row r="275" customFormat="false" ht="15" hidden="false" customHeight="false" outlineLevel="0" collapsed="false">
      <c r="A275" s="23" t="s">
        <v>170</v>
      </c>
      <c r="B275" s="24" t="s">
        <v>10</v>
      </c>
      <c r="C275" s="24" t="s">
        <v>71</v>
      </c>
      <c r="D275" s="15" t="n">
        <f aca="false">[2]грн!f275-[2]грн!aq275-[2]грн!ap275-[2]грн!ao275-[2]грн!an275-[2]грн!am275-[2]грн!al275-[2]грн!aj275-[2]грн!ai275-[2]грн!ah275-[2]грн!ag275-[2]грн!af275-[2]грн!ad275-[2]грн!ac275-[2]грн!ab275-[2]грн!aa275-[2]грн!z275-[2]грн!x275-[2]грн!w275-[2]грн!v275-[2]грн!u275-[2]грн!t275-[2]грн!r275-[2]грн!q275-[2]грн!p275-[2]грн!o275-[2]грн!n275-[2]грн!l275-[2]грн!k275-[2]грн!j275-[2]грн!i275-[2]грн!h275+[2]грн!g275+[2]грн!m275+[2]грн!s275+[2]грн!y275+[2]грн!ae275+[2]грн!ak275</f>
        <v>14</v>
      </c>
      <c r="E275" s="19" t="n">
        <f aca="false">[2]грн!as275*1.07</f>
        <v>856</v>
      </c>
    </row>
    <row r="276" customFormat="false" ht="15" hidden="false" customHeight="false" outlineLevel="0" collapsed="false">
      <c r="A276" s="23" t="s">
        <v>170</v>
      </c>
      <c r="B276" s="24" t="s">
        <v>10</v>
      </c>
      <c r="C276" s="24" t="s">
        <v>184</v>
      </c>
      <c r="D276" s="15" t="n">
        <f aca="false">[2]грн!f276-[2]грн!aq276-[2]грн!ap276-[2]грн!ao276-[2]грн!an276-[2]грн!am276-[2]грн!al276-[2]грн!aj276-[2]грн!ai276-[2]грн!ah276-[2]грн!ag276-[2]грн!af276-[2]грн!ad276-[2]грн!ac276-[2]грн!ab276-[2]грн!aa276-[2]грн!z276-[2]грн!x276-[2]грн!w276-[2]грн!v276-[2]грн!u276-[2]грн!t276-[2]грн!r276-[2]грн!q276-[2]грн!p276-[2]грн!o276-[2]грн!n276-[2]грн!l276-[2]грн!k276-[2]грн!j276-[2]грн!i276-[2]грн!h276+[2]грн!g276+[2]грн!m276+[2]грн!s276+[2]грн!y276+[2]грн!ae276+[2]грн!ak276</f>
        <v>20</v>
      </c>
      <c r="E276" s="19" t="n">
        <f aca="false">[2]грн!as276*1.07</f>
        <v>877.4</v>
      </c>
    </row>
    <row r="277" customFormat="false" ht="15" hidden="true" customHeight="false" outlineLevel="0" collapsed="false">
      <c r="A277" s="45" t="s">
        <v>185</v>
      </c>
      <c r="B277" s="36" t="s">
        <v>17</v>
      </c>
      <c r="C277" s="51" t="s">
        <v>22</v>
      </c>
      <c r="D277" s="15" t="n">
        <f aca="false">[2]грн!f277-[2]грн!aq277-[2]грн!ap277-[2]грн!ao277-[2]грн!an277-[2]грн!am277-[2]грн!al277-[2]грн!aj277-[2]грн!ai277-[2]грн!ah277-[2]грн!ag277-[2]грн!af277-[2]грн!ad277-[2]грн!ac277-[2]грн!ab277-[2]грн!aa277-[2]грн!z277-[2]грн!x277-[2]грн!w277-[2]грн!v277-[2]грн!u277-[2]грн!t277-[2]грн!r277-[2]грн!q277-[2]грн!p277-[2]грн!o277-[2]грн!n277-[2]грн!l277-[2]грн!k277-[2]грн!j277-[2]грн!i277-[2]грн!h277+[2]грн!g277+[2]грн!m277+[2]грн!s277+[2]грн!y277+[2]грн!ae277+[2]грн!ak277</f>
        <v>0</v>
      </c>
      <c r="E277" s="19" t="n">
        <f aca="false">[2]грн!as277*1.07</f>
        <v>1155.6</v>
      </c>
    </row>
    <row r="278" customFormat="false" ht="15" hidden="true" customHeight="false" outlineLevel="0" collapsed="false">
      <c r="A278" s="45" t="s">
        <v>185</v>
      </c>
      <c r="B278" s="18" t="s">
        <v>10</v>
      </c>
      <c r="C278" s="27" t="s">
        <v>65</v>
      </c>
      <c r="D278" s="15" t="n">
        <f aca="false">[2]грн!f278-[2]грн!aq278-[2]грн!ap278-[2]грн!ao278-[2]грн!an278-[2]грн!am278-[2]грн!al278-[2]грн!aj278-[2]грн!ai278-[2]грн!ah278-[2]грн!ag278-[2]грн!af278-[2]грн!ad278-[2]грн!ac278-[2]грн!ab278-[2]грн!aa278-[2]грн!z278-[2]грн!x278-[2]грн!w278-[2]грн!v278-[2]грн!u278-[2]грн!t278-[2]грн!r278-[2]грн!q278-[2]грн!p278-[2]грн!o278-[2]грн!n278-[2]грн!l278-[2]грн!k278-[2]грн!j278-[2]грн!i278-[2]грн!h278+[2]грн!g278+[2]грн!m278+[2]грн!s278+[2]грн!y278+[2]грн!ae278+[2]грн!ak278</f>
        <v>0</v>
      </c>
      <c r="E278" s="19" t="n">
        <f aca="false">[2]грн!as278*1.07</f>
        <v>995.1</v>
      </c>
    </row>
    <row r="279" customFormat="false" ht="15" hidden="false" customHeight="false" outlineLevel="0" collapsed="false">
      <c r="A279" s="29" t="s">
        <v>186</v>
      </c>
      <c r="B279" s="18" t="s">
        <v>20</v>
      </c>
      <c r="C279" s="28" t="s">
        <v>187</v>
      </c>
      <c r="D279" s="15" t="n">
        <f aca="false">[2]грн!f279-[2]грн!aq279-[2]грн!ap279-[2]грн!ao279-[2]грн!an279-[2]грн!am279-[2]грн!al279-[2]грн!aj279-[2]грн!ai279-[2]грн!ah279-[2]грн!ag279-[2]грн!af279-[2]грн!ad279-[2]грн!ac279-[2]грн!ab279-[2]грн!aa279-[2]грн!z279-[2]грн!x279-[2]грн!w279-[2]грн!v279-[2]грн!u279-[2]грн!t279-[2]грн!r279-[2]грн!q279-[2]грн!p279-[2]грн!o279-[2]грн!n279-[2]грн!l279-[2]грн!k279-[2]грн!j279-[2]грн!i279-[2]грн!h279+[2]грн!g279+[2]грн!m279+[2]грн!s279+[2]грн!y279+[2]грн!ae279+[2]грн!ak279</f>
        <v>12</v>
      </c>
      <c r="E279" s="19" t="n">
        <f aca="false">[2]грн!as279*1.07</f>
        <v>1155.6</v>
      </c>
    </row>
    <row r="280" customFormat="false" ht="15" hidden="true" customHeight="false" outlineLevel="0" collapsed="false">
      <c r="A280" s="29" t="s">
        <v>186</v>
      </c>
      <c r="B280" s="18" t="s">
        <v>20</v>
      </c>
      <c r="C280" s="28" t="s">
        <v>188</v>
      </c>
      <c r="D280" s="15" t="n">
        <f aca="false">[2]грн!f280-[2]грн!aq280-[2]грн!ap280-[2]грн!ao280-[2]грн!an280-[2]грн!am280-[2]грн!al280-[2]грн!aj280-[2]грн!ai280-[2]грн!ah280-[2]грн!ag280-[2]грн!af280-[2]грн!ad280-[2]грн!ac280-[2]грн!ab280-[2]грн!aa280-[2]грн!z280-[2]грн!x280-[2]грн!w280-[2]грн!v280-[2]грн!u280-[2]грн!t280-[2]грн!r280-[2]грн!q280-[2]грн!p280-[2]грн!o280-[2]грн!n280-[2]грн!l280-[2]грн!k280-[2]грн!j280-[2]грн!i280-[2]грн!h280+[2]грн!g280+[2]грн!m280+[2]грн!s280+[2]грн!y280+[2]грн!ae280+[2]грн!ak280</f>
        <v>0</v>
      </c>
      <c r="E280" s="19" t="n">
        <f aca="false">[2]грн!as280*1.07</f>
        <v>1016.5</v>
      </c>
    </row>
    <row r="281" customFormat="false" ht="15" hidden="false" customHeight="false" outlineLevel="0" collapsed="false">
      <c r="A281" s="23" t="s">
        <v>186</v>
      </c>
      <c r="B281" s="24" t="s">
        <v>20</v>
      </c>
      <c r="C281" s="39" t="s">
        <v>189</v>
      </c>
      <c r="D281" s="15" t="n">
        <f aca="false">[2]грн!f281-[2]грн!aq281-[2]грн!ap281-[2]грн!ao281-[2]грн!an281-[2]грн!am281-[2]грн!al281-[2]грн!aj281-[2]грн!ai281-[2]грн!ah281-[2]грн!ag281-[2]грн!af281-[2]грн!ad281-[2]грн!ac281-[2]грн!ab281-[2]грн!aa281-[2]грн!z281-[2]грн!x281-[2]грн!w281-[2]грн!v281-[2]грн!u281-[2]грн!t281-[2]грн!r281-[2]грн!q281-[2]грн!p281-[2]грн!o281-[2]грн!n281-[2]грн!l281-[2]грн!k281-[2]грн!j281-[2]грн!i281-[2]грн!h281+[2]грн!g281+[2]грн!m281+[2]грн!s281+[2]грн!y281+[2]грн!ae281+[2]грн!ak281</f>
        <v>48</v>
      </c>
      <c r="E281" s="19" t="n">
        <f aca="false">[2]грн!as281*1.07</f>
        <v>1091.4</v>
      </c>
    </row>
    <row r="282" customFormat="false" ht="15" hidden="true" customHeight="false" outlineLevel="0" collapsed="false">
      <c r="A282" s="17" t="s">
        <v>186</v>
      </c>
      <c r="B282" s="36" t="s">
        <v>17</v>
      </c>
      <c r="C282" s="28" t="s">
        <v>87</v>
      </c>
      <c r="D282" s="15" t="n">
        <f aca="false">[2]грн!f282-[2]грн!aq282-[2]грн!ap282-[2]грн!ao282-[2]грн!an282-[2]грн!am282-[2]грн!al282-[2]грн!aj282-[2]грн!ai282-[2]грн!ah282-[2]грн!ag282-[2]грн!af282-[2]грн!ad282-[2]грн!ac282-[2]грн!ab282-[2]грн!aa282-[2]грн!z282-[2]грн!x282-[2]грн!w282-[2]грн!v282-[2]грн!u282-[2]грн!t282-[2]грн!r282-[2]грн!q282-[2]грн!p282-[2]грн!o282-[2]грн!n282-[2]грн!l282-[2]грн!k282-[2]грн!j282-[2]грн!i282-[2]грн!h282+[2]грн!g282+[2]грн!m282+[2]грн!s282+[2]грн!y282+[2]грн!ae282+[2]грн!ak282</f>
        <v>0</v>
      </c>
      <c r="E282" s="19" t="n">
        <f aca="false">[2]грн!as282*1.07</f>
        <v>856</v>
      </c>
    </row>
    <row r="283" customFormat="false" ht="15" hidden="true" customHeight="false" outlineLevel="0" collapsed="false">
      <c r="A283" s="17" t="s">
        <v>186</v>
      </c>
      <c r="B283" s="36" t="s">
        <v>17</v>
      </c>
      <c r="C283" s="28" t="s">
        <v>160</v>
      </c>
      <c r="D283" s="15" t="n">
        <f aca="false">[2]грн!f283-[2]грн!aq283-[2]грн!ap283-[2]грн!ao283-[2]грн!an283-[2]грн!am283-[2]грн!al283-[2]грн!aj283-[2]грн!ai283-[2]грн!ah283-[2]грн!ag283-[2]грн!af283-[2]грн!ad283-[2]грн!ac283-[2]грн!ab283-[2]грн!aa283-[2]грн!z283-[2]грн!x283-[2]грн!w283-[2]грн!v283-[2]грн!u283-[2]грн!t283-[2]грн!r283-[2]грн!q283-[2]грн!p283-[2]грн!o283-[2]грн!n283-[2]грн!l283-[2]грн!k283-[2]грн!j283-[2]грн!i283-[2]грн!h283+[2]грн!g283+[2]грн!m283+[2]грн!s283+[2]грн!y283+[2]грн!ae283+[2]грн!ak283</f>
        <v>0</v>
      </c>
      <c r="E283" s="19" t="n">
        <f aca="false">[2]грн!as283*1.07</f>
        <v>877.4</v>
      </c>
    </row>
    <row r="284" customFormat="false" ht="15" hidden="false" customHeight="false" outlineLevel="0" collapsed="false">
      <c r="A284" s="17" t="s">
        <v>186</v>
      </c>
      <c r="B284" s="36" t="s">
        <v>17</v>
      </c>
      <c r="C284" s="28" t="s">
        <v>22</v>
      </c>
      <c r="D284" s="15" t="n">
        <f aca="false">[2]грн!f284-[2]грн!aq284-[2]грн!ap284-[2]грн!ao284-[2]грн!an284-[2]грн!am284-[2]грн!al284-[2]грн!aj284-[2]грн!ai284-[2]грн!ah284-[2]грн!ag284-[2]грн!af284-[2]грн!ad284-[2]грн!ac284-[2]грн!ab284-[2]грн!aa284-[2]грн!z284-[2]грн!x284-[2]грн!w284-[2]грн!v284-[2]грн!u284-[2]грн!t284-[2]грн!r284-[2]грн!q284-[2]грн!p284-[2]грн!o284-[2]грн!n284-[2]грн!l284-[2]грн!k284-[2]грн!j284-[2]грн!i284-[2]грн!h284+[2]грн!g284+[2]грн!m284+[2]грн!s284+[2]грн!y284+[2]грн!ae284+[2]грн!ak284</f>
        <v>6</v>
      </c>
      <c r="E284" s="19" t="n">
        <f aca="false">[2]грн!as284*1.07</f>
        <v>1155.6</v>
      </c>
    </row>
    <row r="285" customFormat="false" ht="15" hidden="true" customHeight="false" outlineLevel="0" collapsed="false">
      <c r="A285" s="23" t="s">
        <v>186</v>
      </c>
      <c r="B285" s="38" t="s">
        <v>17</v>
      </c>
      <c r="C285" s="39" t="s">
        <v>55</v>
      </c>
      <c r="D285" s="15" t="n">
        <f aca="false">[2]грн!f285-[2]грн!aq285-[2]грн!ap285-[2]грн!ao285-[2]грн!an285-[2]грн!am285-[2]грн!al285-[2]грн!aj285-[2]грн!ai285-[2]грн!ah285-[2]грн!ag285-[2]грн!af285-[2]грн!ad285-[2]грн!ac285-[2]грн!ab285-[2]грн!aa285-[2]грн!z285-[2]грн!x285-[2]грн!w285-[2]грн!v285-[2]грн!u285-[2]грн!t285-[2]грн!r285-[2]грн!q285-[2]грн!p285-[2]грн!o285-[2]грн!n285-[2]грн!l285-[2]грн!k285-[2]грн!j285-[2]грн!i285-[2]грн!h285+[2]грн!g285+[2]грн!m285+[2]грн!s285+[2]грн!y285+[2]грн!ae285+[2]грн!ak285</f>
        <v>0</v>
      </c>
      <c r="E285" s="19" t="n">
        <f aca="false">[2]грн!as285*1.07</f>
        <v>930.9</v>
      </c>
    </row>
    <row r="286" customFormat="false" ht="15" hidden="true" customHeight="false" outlineLevel="0" collapsed="false">
      <c r="A286" s="23" t="s">
        <v>186</v>
      </c>
      <c r="B286" s="38" t="s">
        <v>17</v>
      </c>
      <c r="C286" s="39" t="s">
        <v>190</v>
      </c>
      <c r="D286" s="15" t="n">
        <f aca="false">[2]грн!f286-[2]грн!aq286-[2]грн!ap286-[2]грн!ao286-[2]грн!an286-[2]грн!am286-[2]грн!al286-[2]грн!aj286-[2]грн!ai286-[2]грн!ah286-[2]грн!ag286-[2]грн!af286-[2]грн!ad286-[2]грн!ac286-[2]грн!ab286-[2]грн!aa286-[2]грн!z286-[2]грн!x286-[2]грн!w286-[2]грн!v286-[2]грн!u286-[2]грн!t286-[2]грн!r286-[2]грн!q286-[2]грн!p286-[2]грн!o286-[2]грн!n286-[2]грн!l286-[2]грн!k286-[2]грн!j286-[2]грн!i286-[2]грн!h286+[2]грн!g286+[2]грн!m286+[2]грн!s286+[2]грн!y286+[2]грн!ae286+[2]грн!ak286</f>
        <v>0</v>
      </c>
      <c r="E286" s="19" t="n">
        <f aca="false">[2]грн!as286*1.07</f>
        <v>856</v>
      </c>
    </row>
    <row r="287" customFormat="false" ht="15" hidden="false" customHeight="false" outlineLevel="0" collapsed="false">
      <c r="A287" s="64" t="s">
        <v>186</v>
      </c>
      <c r="B287" s="38" t="s">
        <v>17</v>
      </c>
      <c r="C287" s="39" t="s">
        <v>191</v>
      </c>
      <c r="D287" s="15" t="n">
        <f aca="false">[2]грн!f287-[2]грн!aq287-[2]грн!ap287-[2]грн!ao287-[2]грн!an287-[2]грн!am287-[2]грн!al287-[2]грн!aj287-[2]грн!ai287-[2]грн!ah287-[2]грн!ag287-[2]грн!af287-[2]грн!ad287-[2]грн!ac287-[2]грн!ab287-[2]грн!aa287-[2]грн!z287-[2]грн!x287-[2]грн!w287-[2]грн!v287-[2]грн!u287-[2]грн!t287-[2]грн!r287-[2]грн!q287-[2]грн!p287-[2]грн!o287-[2]грн!n287-[2]грн!l287-[2]грн!k287-[2]грн!j287-[2]грн!i287-[2]грн!h287+[2]грн!g287+[2]грн!m287+[2]грн!s287+[2]грн!y287+[2]грн!ae287+[2]грн!ak287</f>
        <v>12</v>
      </c>
      <c r="E287" s="19" t="n">
        <f aca="false">[2]грн!as287*1.07</f>
        <v>1230.5</v>
      </c>
    </row>
    <row r="288" customFormat="false" ht="15" hidden="true" customHeight="false" outlineLevel="0" collapsed="false">
      <c r="A288" s="29" t="s">
        <v>186</v>
      </c>
      <c r="B288" s="18" t="s">
        <v>10</v>
      </c>
      <c r="C288" s="28" t="s">
        <v>63</v>
      </c>
      <c r="D288" s="15" t="n">
        <f aca="false">[2]грн!f288-[2]грн!aq288-[2]грн!ap288-[2]грн!ao288-[2]грн!an288-[2]грн!am288-[2]грн!al288-[2]грн!aj288-[2]грн!ai288-[2]грн!ah288-[2]грн!ag288-[2]грн!af288-[2]грн!ad288-[2]грн!ac288-[2]грн!ab288-[2]грн!aa288-[2]грн!z288-[2]грн!x288-[2]грн!w288-[2]грн!v288-[2]грн!u288-[2]грн!t288-[2]грн!r288-[2]грн!q288-[2]грн!p288-[2]грн!o288-[2]грн!n288-[2]грн!l288-[2]грн!k288-[2]грн!j288-[2]грн!i288-[2]грн!h288+[2]грн!g288+[2]грн!m288+[2]грн!s288+[2]грн!y288+[2]грн!ae288+[2]грн!ak288</f>
        <v>0</v>
      </c>
      <c r="E288" s="19" t="n">
        <f aca="false">[2]грн!as288*1.07</f>
        <v>732.95</v>
      </c>
    </row>
    <row r="289" customFormat="false" ht="15" hidden="false" customHeight="false" outlineLevel="0" collapsed="false">
      <c r="A289" s="17" t="s">
        <v>186</v>
      </c>
      <c r="B289" s="18" t="s">
        <v>10</v>
      </c>
      <c r="C289" s="28" t="s">
        <v>62</v>
      </c>
      <c r="D289" s="15" t="n">
        <f aca="false">[2]грн!f289-[2]грн!aq289-[2]грн!ap289-[2]грн!ao289-[2]грн!an289-[2]грн!am289-[2]грн!al289-[2]грн!aj289-[2]грн!ai289-[2]грн!ah289-[2]грн!ag289-[2]грн!af289-[2]грн!ad289-[2]грн!ac289-[2]грн!ab289-[2]грн!aa289-[2]грн!z289-[2]грн!x289-[2]грн!w289-[2]грн!v289-[2]грн!u289-[2]грн!t289-[2]грн!r289-[2]грн!q289-[2]грн!p289-[2]грн!o289-[2]грн!n289-[2]грн!l289-[2]грн!k289-[2]грн!j289-[2]грн!i289-[2]грн!h289+[2]грн!g289+[2]грн!m289+[2]грн!s289+[2]грн!y289+[2]грн!ae289+[2]грн!ak289</f>
        <v>6</v>
      </c>
      <c r="E289" s="19" t="n">
        <f aca="false">[2]грн!as289*1.07</f>
        <v>984.4</v>
      </c>
    </row>
    <row r="290" customFormat="false" ht="15" hidden="false" customHeight="false" outlineLevel="0" collapsed="false">
      <c r="A290" s="46" t="s">
        <v>186</v>
      </c>
      <c r="B290" s="24" t="s">
        <v>10</v>
      </c>
      <c r="C290" s="24" t="s">
        <v>28</v>
      </c>
      <c r="D290" s="15" t="n">
        <f aca="false">[2]грн!f290-[2]грн!aq290-[2]грн!ap290-[2]грн!ao290-[2]грн!an290-[2]грн!am290-[2]грн!al290-[2]грн!aj290-[2]грн!ai290-[2]грн!ah290-[2]грн!ag290-[2]грн!af290-[2]грн!ad290-[2]грн!ac290-[2]грн!ab290-[2]грн!aa290-[2]грн!z290-[2]грн!x290-[2]грн!w290-[2]грн!v290-[2]грн!u290-[2]грн!t290-[2]грн!r290-[2]грн!q290-[2]грн!p290-[2]грн!o290-[2]грн!n290-[2]грн!l290-[2]грн!k290-[2]грн!j290-[2]грн!i290-[2]грн!h290+[2]грн!g290+[2]грн!m290+[2]грн!s290+[2]грн!y290+[2]грн!ae290+[2]грн!ak290</f>
        <v>12</v>
      </c>
      <c r="E290" s="19" t="n">
        <f aca="false">[2]грн!as290*1.07</f>
        <v>920.2</v>
      </c>
    </row>
    <row r="291" customFormat="false" ht="15" hidden="false" customHeight="false" outlineLevel="0" collapsed="false">
      <c r="A291" s="46" t="s">
        <v>186</v>
      </c>
      <c r="B291" s="24" t="s">
        <v>10</v>
      </c>
      <c r="C291" s="39" t="s">
        <v>69</v>
      </c>
      <c r="D291" s="15" t="n">
        <f aca="false">[2]грн!f291-[2]грн!aq291-[2]грн!ap291-[2]грн!ao291-[2]грн!an291-[2]грн!am291-[2]грн!al291-[2]грн!aj291-[2]грн!ai291-[2]грн!ah291-[2]грн!ag291-[2]грн!af291-[2]грн!ad291-[2]грн!ac291-[2]грн!ab291-[2]грн!aa291-[2]грн!z291-[2]грн!x291-[2]грн!w291-[2]грн!v291-[2]грн!u291-[2]грн!t291-[2]грн!r291-[2]грн!q291-[2]грн!p291-[2]грн!o291-[2]грн!n291-[2]грн!l291-[2]грн!k291-[2]грн!j291-[2]грн!i291-[2]грн!h291+[2]грн!g291+[2]грн!m291+[2]грн!s291+[2]грн!y291+[2]грн!ae291+[2]грн!ak291</f>
        <v>10</v>
      </c>
      <c r="E291" s="19" t="n">
        <f aca="false">[2]грн!as291*1.07</f>
        <v>963</v>
      </c>
    </row>
    <row r="292" customFormat="false" ht="15" hidden="false" customHeight="false" outlineLevel="0" collapsed="false">
      <c r="A292" s="46" t="s">
        <v>186</v>
      </c>
      <c r="B292" s="24" t="s">
        <v>10</v>
      </c>
      <c r="C292" s="39" t="s">
        <v>70</v>
      </c>
      <c r="D292" s="15" t="n">
        <f aca="false">[2]грн!f292-[2]грн!aq292-[2]грн!ap292-[2]грн!ao292-[2]грн!an292-[2]грн!am292-[2]грн!al292-[2]грн!aj292-[2]грн!ai292-[2]грн!ah292-[2]грн!ag292-[2]грн!af292-[2]грн!ad292-[2]грн!ac292-[2]грн!ab292-[2]грн!aa292-[2]грн!z292-[2]грн!x292-[2]грн!w292-[2]грн!v292-[2]грн!u292-[2]грн!t292-[2]грн!r292-[2]грн!q292-[2]грн!p292-[2]грн!o292-[2]грн!n292-[2]грн!l292-[2]грн!k292-[2]грн!j292-[2]грн!i292-[2]грн!h292+[2]грн!g292+[2]грн!m292+[2]грн!s292+[2]грн!y292+[2]грн!ae292+[2]грн!ak292</f>
        <v>2</v>
      </c>
      <c r="E292" s="19" t="n">
        <f aca="false">[2]грн!as292*1.07</f>
        <v>1123.5</v>
      </c>
    </row>
    <row r="293" customFormat="false" ht="15" hidden="true" customHeight="false" outlineLevel="0" collapsed="false">
      <c r="A293" s="29" t="s">
        <v>186</v>
      </c>
      <c r="B293" s="18" t="s">
        <v>14</v>
      </c>
      <c r="C293" s="28" t="s">
        <v>192</v>
      </c>
      <c r="D293" s="15" t="n">
        <f aca="false">[2]грн!f293-[2]грн!aq293-[2]грн!ap293-[2]грн!ao293-[2]грн!an293-[2]грн!am293-[2]грн!al293-[2]грн!aj293-[2]грн!ai293-[2]грн!ah293-[2]грн!ag293-[2]грн!af293-[2]грн!ad293-[2]грн!ac293-[2]грн!ab293-[2]грн!aa293-[2]грн!z293-[2]грн!x293-[2]грн!w293-[2]грн!v293-[2]грн!u293-[2]грн!t293-[2]грн!r293-[2]грн!q293-[2]грн!p293-[2]грн!o293-[2]грн!n293-[2]грн!l293-[2]грн!k293-[2]грн!j293-[2]грн!i293-[2]грн!h293+[2]грн!g293+[2]грн!m293+[2]грн!s293+[2]грн!y293+[2]грн!ae293+[2]грн!ak293</f>
        <v>0</v>
      </c>
      <c r="E293" s="19" t="n">
        <f aca="false">[2]грн!as293*1.07</f>
        <v>695.5</v>
      </c>
    </row>
    <row r="294" customFormat="false" ht="15" hidden="true" customHeight="false" outlineLevel="0" collapsed="false">
      <c r="A294" s="46" t="s">
        <v>186</v>
      </c>
      <c r="B294" s="24" t="s">
        <v>14</v>
      </c>
      <c r="C294" s="39" t="s">
        <v>193</v>
      </c>
      <c r="D294" s="15" t="n">
        <f aca="false">[2]грн!f294-[2]грн!aq294-[2]грн!ap294-[2]грн!ao294-[2]грн!an294-[2]грн!am294-[2]грн!al294-[2]грн!aj294-[2]грн!ai294-[2]грн!ah294-[2]грн!ag294-[2]грн!af294-[2]грн!ad294-[2]грн!ac294-[2]грн!ab294-[2]грн!aa294-[2]грн!z294-[2]грн!x294-[2]грн!w294-[2]грн!v294-[2]грн!u294-[2]грн!t294-[2]грн!r294-[2]грн!q294-[2]грн!p294-[2]грн!o294-[2]грн!n294-[2]грн!l294-[2]грн!k294-[2]грн!j294-[2]грн!i294-[2]грн!h294+[2]грн!g294+[2]грн!m294+[2]грн!s294+[2]грн!y294+[2]грн!ae294+[2]грн!ak294</f>
        <v>0</v>
      </c>
      <c r="E294" s="19" t="n">
        <f aca="false">[2]грн!as294*1.07</f>
        <v>856</v>
      </c>
    </row>
    <row r="295" customFormat="false" ht="15" hidden="false" customHeight="false" outlineLevel="0" collapsed="false">
      <c r="A295" s="29" t="s">
        <v>194</v>
      </c>
      <c r="B295" s="18" t="s">
        <v>20</v>
      </c>
      <c r="C295" s="28" t="s">
        <v>195</v>
      </c>
      <c r="D295" s="15" t="n">
        <f aca="false">[2]грн!f295-[2]грн!aq295-[2]грн!ap295-[2]грн!ao295-[2]грн!an295-[2]грн!am295-[2]грн!al295-[2]грн!aj295-[2]грн!ai295-[2]грн!ah295-[2]грн!ag295-[2]грн!af295-[2]грн!ad295-[2]грн!ac295-[2]грн!ab295-[2]грн!aa295-[2]грн!z295-[2]грн!x295-[2]грн!w295-[2]грн!v295-[2]грн!u295-[2]грн!t295-[2]грн!r295-[2]грн!q295-[2]грн!p295-[2]грн!o295-[2]грн!n295-[2]грн!l295-[2]грн!k295-[2]грн!j295-[2]грн!i295-[2]грн!h295+[2]грн!g295+[2]грн!m295+[2]грн!s295+[2]грн!y295+[2]грн!ae295+[2]грн!ak295</f>
        <v>13</v>
      </c>
      <c r="E295" s="19" t="n">
        <f aca="false">[2]грн!as295*1.07</f>
        <v>1284</v>
      </c>
    </row>
    <row r="296" customFormat="false" ht="15" hidden="false" customHeight="false" outlineLevel="0" collapsed="false">
      <c r="A296" s="29" t="s">
        <v>194</v>
      </c>
      <c r="B296" s="18" t="s">
        <v>14</v>
      </c>
      <c r="C296" s="28" t="n">
        <v>232</v>
      </c>
      <c r="D296" s="15" t="n">
        <f aca="false">[2]грн!f296-[2]грн!aq296-[2]грн!ap296-[2]грн!ao296-[2]грн!an296-[2]грн!am296-[2]грн!al296-[2]грн!aj296-[2]грн!ai296-[2]грн!ah296-[2]грн!ag296-[2]грн!af296-[2]грн!ad296-[2]грн!ac296-[2]грн!ab296-[2]грн!aa296-[2]грн!z296-[2]грн!x296-[2]грн!w296-[2]грн!v296-[2]грн!u296-[2]грн!t296-[2]грн!r296-[2]грн!q296-[2]грн!p296-[2]грн!o296-[2]грн!n296-[2]грн!l296-[2]грн!k296-[2]грн!j296-[2]грн!i296-[2]грн!h296+[2]грн!g296+[2]грн!m296+[2]грн!s296+[2]грн!y296+[2]грн!ae296+[2]грн!ak296</f>
        <v>2</v>
      </c>
      <c r="E296" s="19" t="n">
        <f aca="false">[2]грн!as296*1.07</f>
        <v>1444.5</v>
      </c>
    </row>
    <row r="297" customFormat="false" ht="15" hidden="true" customHeight="false" outlineLevel="0" collapsed="false">
      <c r="A297" s="29" t="s">
        <v>194</v>
      </c>
      <c r="B297" s="18" t="s">
        <v>10</v>
      </c>
      <c r="C297" s="28" t="s">
        <v>196</v>
      </c>
      <c r="D297" s="15" t="n">
        <f aca="false">[2]грн!f297-[2]грн!aq297-[2]грн!ap297-[2]грн!ao297-[2]грн!an297-[2]грн!am297-[2]грн!al297-[2]грн!aj297-[2]грн!ai297-[2]грн!ah297-[2]грн!ag297-[2]грн!af297-[2]грн!ad297-[2]грн!ac297-[2]грн!ab297-[2]грн!aa297-[2]грн!z297-[2]грн!x297-[2]грн!w297-[2]грн!v297-[2]грн!u297-[2]грн!t297-[2]грн!r297-[2]грн!q297-[2]грн!p297-[2]грн!o297-[2]грн!n297-[2]грн!l297-[2]грн!k297-[2]грн!j297-[2]грн!i297-[2]грн!h297+[2]грн!g297+[2]грн!m297+[2]грн!s297+[2]грн!y297+[2]грн!ae297+[2]грн!ak297</f>
        <v>0</v>
      </c>
      <c r="E297" s="19" t="n">
        <f aca="false">[2]грн!as297*1.07</f>
        <v>1102.1</v>
      </c>
    </row>
    <row r="298" customFormat="false" ht="15" hidden="false" customHeight="false" outlineLevel="0" collapsed="false">
      <c r="A298" s="64" t="s">
        <v>194</v>
      </c>
      <c r="B298" s="24" t="s">
        <v>10</v>
      </c>
      <c r="C298" s="59" t="s">
        <v>197</v>
      </c>
      <c r="D298" s="15" t="n">
        <f aca="false">[2]грн!f298-[2]грн!aq298-[2]грн!ap298-[2]грн!ao298-[2]грн!an298-[2]грн!am298-[2]грн!al298-[2]грн!aj298-[2]грн!ai298-[2]грн!ah298-[2]грн!ag298-[2]грн!af298-[2]грн!ad298-[2]грн!ac298-[2]грн!ab298-[2]грн!aa298-[2]грн!z298-[2]грн!x298-[2]грн!w298-[2]грн!v298-[2]грн!u298-[2]грн!t298-[2]грн!r298-[2]грн!q298-[2]грн!p298-[2]грн!o298-[2]грн!n298-[2]грн!l298-[2]грн!k298-[2]грн!j298-[2]грн!i298-[2]грн!h298+[2]грн!g298+[2]грн!m298+[2]грн!s298+[2]грн!y298+[2]грн!ae298+[2]грн!ak298</f>
        <v>11</v>
      </c>
      <c r="E298" s="19" t="n">
        <f aca="false">[2]грн!as298*1.07</f>
        <v>1070</v>
      </c>
    </row>
    <row r="299" customFormat="false" ht="15" hidden="true" customHeight="false" outlineLevel="0" collapsed="false">
      <c r="A299" s="17" t="s">
        <v>198</v>
      </c>
      <c r="B299" s="18" t="s">
        <v>14</v>
      </c>
      <c r="C299" s="18" t="s">
        <v>199</v>
      </c>
      <c r="D299" s="15" t="n">
        <f aca="false">[2]грн!f299-[2]грн!aq299-[2]грн!ap299-[2]грн!ao299-[2]грн!an299-[2]грн!am299-[2]грн!al299-[2]грн!aj299-[2]грн!ai299-[2]грн!ah299-[2]грн!ag299-[2]грн!af299-[2]грн!ad299-[2]грн!ac299-[2]грн!ab299-[2]грн!aa299-[2]грн!z299-[2]грн!x299-[2]грн!w299-[2]грн!v299-[2]грн!u299-[2]грн!t299-[2]грн!r299-[2]грн!q299-[2]грн!p299-[2]грн!o299-[2]грн!n299-[2]грн!l299-[2]грн!k299-[2]грн!j299-[2]грн!i299-[2]грн!h299+[2]грн!g299+[2]грн!m299+[2]грн!s299+[2]грн!y299+[2]грн!ae299+[2]грн!ak299</f>
        <v>0</v>
      </c>
      <c r="E299" s="19" t="n">
        <f aca="false">[2]грн!as299*1.07</f>
        <v>1230.5</v>
      </c>
    </row>
    <row r="300" customFormat="false" ht="15" hidden="false" customHeight="false" outlineLevel="0" collapsed="false">
      <c r="A300" s="49" t="s">
        <v>198</v>
      </c>
      <c r="B300" s="27" t="s">
        <v>200</v>
      </c>
      <c r="C300" s="27" t="s">
        <v>201</v>
      </c>
      <c r="D300" s="15" t="n">
        <f aca="false">[2]грн!f300-[2]грн!aq300-[2]грн!ap300-[2]грн!ao300-[2]грн!an300-[2]грн!am300-[2]грн!al300-[2]грн!aj300-[2]грн!ai300-[2]грн!ah300-[2]грн!ag300-[2]грн!af300-[2]грн!ad300-[2]грн!ac300-[2]грн!ab300-[2]грн!aa300-[2]грн!z300-[2]грн!x300-[2]грн!w300-[2]грн!v300-[2]грн!u300-[2]грн!t300-[2]грн!r300-[2]грн!q300-[2]грн!p300-[2]грн!o300-[2]грн!n300-[2]грн!l300-[2]грн!k300-[2]грн!j300-[2]грн!i300-[2]грн!h300+[2]грн!g300+[2]грн!m300+[2]грн!s300+[2]грн!y300+[2]грн!ae300+[2]грн!ak300</f>
        <v>4</v>
      </c>
      <c r="E300" s="19" t="n">
        <f aca="false">[2]грн!as300*1.07</f>
        <v>1626.4</v>
      </c>
    </row>
    <row r="301" customFormat="false" ht="15" hidden="true" customHeight="false" outlineLevel="0" collapsed="false">
      <c r="A301" s="23" t="s">
        <v>198</v>
      </c>
      <c r="B301" s="24" t="s">
        <v>14</v>
      </c>
      <c r="C301" s="24" t="n">
        <v>515</v>
      </c>
      <c r="D301" s="15" t="n">
        <f aca="false">[2]грн!f301-[2]грн!aq301-[2]грн!ap301-[2]грн!ao301-[2]грн!an301-[2]грн!am301-[2]грн!al301-[2]грн!aj301-[2]грн!ai301-[2]грн!ah301-[2]грн!ag301-[2]грн!af301-[2]грн!ad301-[2]грн!ac301-[2]грн!ab301-[2]грн!aa301-[2]грн!z301-[2]грн!x301-[2]грн!w301-[2]грн!v301-[2]грн!u301-[2]грн!t301-[2]грн!r301-[2]грн!q301-[2]грн!p301-[2]грн!o301-[2]грн!n301-[2]грн!l301-[2]грн!k301-[2]грн!j301-[2]грн!i301-[2]грн!h301+[2]грн!g301+[2]грн!m301+[2]грн!s301+[2]грн!y301+[2]грн!ae301+[2]грн!ak301</f>
        <v>0</v>
      </c>
      <c r="E301" s="19" t="n">
        <f aca="false">[2]грн!as301*1.07</f>
        <v>1102.1</v>
      </c>
    </row>
    <row r="302" customFormat="false" ht="15" hidden="true" customHeight="false" outlineLevel="0" collapsed="false">
      <c r="A302" s="23" t="s">
        <v>198</v>
      </c>
      <c r="B302" s="24" t="s">
        <v>14</v>
      </c>
      <c r="C302" s="24" t="s">
        <v>202</v>
      </c>
      <c r="D302" s="15" t="n">
        <f aca="false">[2]грн!f302-[2]грн!aq302-[2]грн!ap302-[2]грн!ao302-[2]грн!an302-[2]грн!am302-[2]грн!al302-[2]грн!aj302-[2]грн!ai302-[2]грн!ah302-[2]грн!ag302-[2]грн!af302-[2]грн!ad302-[2]грн!ac302-[2]грн!ab302-[2]грн!aa302-[2]грн!z302-[2]грн!x302-[2]грн!w302-[2]грн!v302-[2]грн!u302-[2]грн!t302-[2]грн!r302-[2]грн!q302-[2]грн!p302-[2]грн!o302-[2]грн!n302-[2]грн!l302-[2]грн!k302-[2]грн!j302-[2]грн!i302-[2]грн!h302+[2]грн!g302+[2]грн!m302+[2]грн!s302+[2]грн!y302+[2]грн!ae302+[2]грн!ak302</f>
        <v>0</v>
      </c>
      <c r="E302" s="19" t="n">
        <f aca="false">[2]грн!as302*1.07</f>
        <v>1070</v>
      </c>
    </row>
    <row r="303" customFormat="false" ht="15" hidden="false" customHeight="false" outlineLevel="0" collapsed="false">
      <c r="A303" s="29" t="s">
        <v>203</v>
      </c>
      <c r="B303" s="27" t="s">
        <v>204</v>
      </c>
      <c r="C303" s="51" t="s">
        <v>205</v>
      </c>
      <c r="D303" s="15" t="n">
        <f aca="false">[2]грн!f303-[2]грн!aq303-[2]грн!ap303-[2]грн!ao303-[2]грн!an303-[2]грн!am303-[2]грн!al303-[2]грн!aj303-[2]грн!ai303-[2]грн!ah303-[2]грн!ag303-[2]грн!af303-[2]грн!ad303-[2]грн!ac303-[2]грн!ab303-[2]грн!aa303-[2]грн!z303-[2]грн!x303-[2]грн!w303-[2]грн!v303-[2]грн!u303-[2]грн!t303-[2]грн!r303-[2]грн!q303-[2]грн!p303-[2]грн!o303-[2]грн!n303-[2]грн!l303-[2]грн!k303-[2]грн!j303-[2]грн!i303-[2]грн!h303+[2]грн!g303+[2]грн!m303+[2]грн!s303+[2]грн!y303+[2]грн!ae303+[2]грн!ak303</f>
        <v>8</v>
      </c>
      <c r="E303" s="19" t="n">
        <f aca="false">[2]грн!as303*1.07</f>
        <v>1722.7</v>
      </c>
    </row>
    <row r="304" customFormat="false" ht="15" hidden="false" customHeight="false" outlineLevel="0" collapsed="false">
      <c r="A304" s="46" t="s">
        <v>206</v>
      </c>
      <c r="B304" s="24" t="s">
        <v>17</v>
      </c>
      <c r="C304" s="39" t="s">
        <v>207</v>
      </c>
      <c r="D304" s="15" t="n">
        <f aca="false">[2]грн!f304-[2]грн!aq304-[2]грн!ap304-[2]грн!ao304-[2]грн!an304-[2]грн!am304-[2]грн!al304-[2]грн!aj304-[2]грн!ai304-[2]грн!ah304-[2]грн!ag304-[2]грн!af304-[2]грн!ad304-[2]грн!ac304-[2]грн!ab304-[2]грн!aa304-[2]грн!z304-[2]грн!x304-[2]грн!w304-[2]грн!v304-[2]грн!u304-[2]грн!t304-[2]грн!r304-[2]грн!q304-[2]грн!p304-[2]грн!o304-[2]грн!n304-[2]грн!l304-[2]грн!k304-[2]грн!j304-[2]грн!i304-[2]грн!h304+[2]грн!g304+[2]грн!m304+[2]грн!s304+[2]грн!y304+[2]грн!ae304+[2]грн!ak304</f>
        <v>4</v>
      </c>
      <c r="E304" s="19" t="n">
        <f aca="false">[2]грн!as304*1.07</f>
        <v>1712</v>
      </c>
    </row>
    <row r="305" customFormat="false" ht="15" hidden="false" customHeight="false" outlineLevel="0" collapsed="false">
      <c r="A305" s="46" t="s">
        <v>206</v>
      </c>
      <c r="B305" s="24" t="s">
        <v>74</v>
      </c>
      <c r="C305" s="39" t="s">
        <v>208</v>
      </c>
      <c r="D305" s="15" t="n">
        <f aca="false">[2]грн!f305-[2]грн!aq305-[2]грн!ap305-[2]грн!ao305-[2]грн!an305-[2]грн!am305-[2]грн!al305-[2]грн!aj305-[2]грн!ai305-[2]грн!ah305-[2]грн!ag305-[2]грн!af305-[2]грн!ad305-[2]грн!ac305-[2]грн!ab305-[2]грн!aa305-[2]грн!z305-[2]грн!x305-[2]грн!w305-[2]грн!v305-[2]грн!u305-[2]грн!t305-[2]грн!r305-[2]грн!q305-[2]грн!p305-[2]грн!o305-[2]грн!n305-[2]грн!l305-[2]грн!k305-[2]грн!j305-[2]грн!i305-[2]грн!h305+[2]грн!g305+[2]грн!m305+[2]грн!s305+[2]грн!y305+[2]грн!ae305+[2]грн!ak305</f>
        <v>2</v>
      </c>
      <c r="E305" s="19" t="n">
        <f aca="false">[2]грн!as305*1.07</f>
        <v>1712</v>
      </c>
    </row>
    <row r="306" customFormat="false" ht="15" hidden="false" customHeight="false" outlineLevel="0" collapsed="false">
      <c r="A306" s="46" t="s">
        <v>206</v>
      </c>
      <c r="B306" s="24" t="s">
        <v>74</v>
      </c>
      <c r="C306" s="39" t="s">
        <v>128</v>
      </c>
      <c r="D306" s="15" t="n">
        <f aca="false">[2]грн!f306-[2]грн!aq306-[2]грн!ap306-[2]грн!ao306-[2]грн!an306-[2]грн!am306-[2]грн!al306-[2]грн!aj306-[2]грн!ai306-[2]грн!ah306-[2]грн!ag306-[2]грн!af306-[2]грн!ad306-[2]грн!ac306-[2]грн!ab306-[2]грн!aa306-[2]грн!z306-[2]грн!x306-[2]грн!w306-[2]грн!v306-[2]грн!u306-[2]грн!t306-[2]грн!r306-[2]грн!q306-[2]грн!p306-[2]грн!o306-[2]грн!n306-[2]грн!l306-[2]грн!k306-[2]грн!j306-[2]грн!i306-[2]грн!h306+[2]грн!g306+[2]грн!m306+[2]грн!s306+[2]грн!y306+[2]грн!ae306+[2]грн!ak306</f>
        <v>2</v>
      </c>
      <c r="E306" s="19" t="n">
        <f aca="false">[2]грн!as306*1.07</f>
        <v>1626.4</v>
      </c>
    </row>
    <row r="307" customFormat="false" ht="15" hidden="false" customHeight="false" outlineLevel="0" collapsed="false">
      <c r="A307" s="17" t="s">
        <v>206</v>
      </c>
      <c r="B307" s="18" t="s">
        <v>10</v>
      </c>
      <c r="C307" s="18" t="s">
        <v>209</v>
      </c>
      <c r="D307" s="15" t="n">
        <f aca="false">[2]грн!f307-[2]грн!aq307-[2]грн!ap307-[2]грн!ao307-[2]грн!an307-[2]грн!am307-[2]грн!al307-[2]грн!aj307-[2]грн!ai307-[2]грн!ah307-[2]грн!ag307-[2]грн!af307-[2]грн!ad307-[2]грн!ac307-[2]грн!ab307-[2]грн!aa307-[2]грн!z307-[2]грн!x307-[2]грн!w307-[2]грн!v307-[2]грн!u307-[2]грн!t307-[2]грн!r307-[2]грн!q307-[2]грн!p307-[2]грн!o307-[2]грн!n307-[2]грн!l307-[2]грн!k307-[2]грн!j307-[2]грн!i307-[2]грн!h307+[2]грн!g307+[2]грн!m307+[2]грн!s307+[2]грн!y307+[2]грн!ae307+[2]грн!ak307</f>
        <v>4</v>
      </c>
      <c r="E307" s="19" t="n">
        <f aca="false">[2]грн!as307*1.07</f>
        <v>1508.7</v>
      </c>
    </row>
    <row r="308" customFormat="false" ht="15" hidden="true" customHeight="false" outlineLevel="0" collapsed="false">
      <c r="A308" s="17" t="s">
        <v>206</v>
      </c>
      <c r="B308" s="18" t="s">
        <v>10</v>
      </c>
      <c r="C308" s="18" t="s">
        <v>210</v>
      </c>
      <c r="D308" s="15" t="n">
        <f aca="false">[2]грн!f308-[2]грн!aq308-[2]грн!ap308-[2]грн!ao308-[2]грн!an308-[2]грн!am308-[2]грн!al308-[2]грн!aj308-[2]грн!ai308-[2]грн!ah308-[2]грн!ag308-[2]грн!af308-[2]грн!ad308-[2]грн!ac308-[2]грн!ab308-[2]грн!aa308-[2]грн!z308-[2]грн!x308-[2]грн!w308-[2]грн!v308-[2]грн!u308-[2]грн!t308-[2]грн!r308-[2]грн!q308-[2]грн!p308-[2]грн!o308-[2]грн!n308-[2]грн!l308-[2]грн!k308-[2]грн!j308-[2]грн!i308-[2]грн!h308+[2]грн!g308+[2]грн!m308+[2]грн!s308+[2]грн!y308+[2]грн!ae308+[2]грн!ak308</f>
        <v>0</v>
      </c>
      <c r="E308" s="19" t="n">
        <f aca="false">[2]грн!as308*1.07</f>
        <v>1508.7</v>
      </c>
    </row>
    <row r="309" customFormat="false" ht="15" hidden="true" customHeight="false" outlineLevel="0" collapsed="false">
      <c r="A309" s="17" t="s">
        <v>206</v>
      </c>
      <c r="B309" s="18" t="s">
        <v>14</v>
      </c>
      <c r="C309" s="28" t="s">
        <v>211</v>
      </c>
      <c r="D309" s="15" t="n">
        <f aca="false">[2]грн!f309-[2]грн!aq309-[2]грн!ap309-[2]грн!ao309-[2]грн!an309-[2]грн!am309-[2]грн!al309-[2]грн!aj309-[2]грн!ai309-[2]грн!ah309-[2]грн!ag309-[2]грн!af309-[2]грн!ad309-[2]грн!ac309-[2]грн!ab309-[2]грн!aa309-[2]грн!z309-[2]грн!x309-[2]грн!w309-[2]грн!v309-[2]грн!u309-[2]грн!t309-[2]грн!r309-[2]грн!q309-[2]грн!p309-[2]грн!o309-[2]грн!n309-[2]грн!l309-[2]грн!k309-[2]грн!j309-[2]грн!i309-[2]грн!h309+[2]грн!g309+[2]грн!m309+[2]грн!s309+[2]грн!y309+[2]грн!ae309+[2]грн!ak309</f>
        <v>0</v>
      </c>
      <c r="E309" s="19" t="n">
        <f aca="false">[2]грн!as309*1.07</f>
        <v>1926</v>
      </c>
    </row>
    <row r="310" customFormat="false" ht="15" hidden="true" customHeight="false" outlineLevel="0" collapsed="false">
      <c r="A310" s="17" t="s">
        <v>206</v>
      </c>
      <c r="B310" s="18" t="s">
        <v>8</v>
      </c>
      <c r="C310" s="29" t="s">
        <v>212</v>
      </c>
      <c r="D310" s="15" t="n">
        <f aca="false">[2]грн!f310-[2]грн!aq310-[2]грн!ap310-[2]грн!ao310-[2]грн!an310-[2]грн!am310-[2]грн!al310-[2]грн!aj310-[2]грн!ai310-[2]грн!ah310-[2]грн!ag310-[2]грн!af310-[2]грн!ad310-[2]грн!ac310-[2]грн!ab310-[2]грн!aa310-[2]грн!z310-[2]грн!x310-[2]грн!w310-[2]грн!v310-[2]грн!u310-[2]грн!t310-[2]грн!r310-[2]грн!q310-[2]грн!p310-[2]грн!o310-[2]грн!n310-[2]грн!l310-[2]грн!k310-[2]грн!j310-[2]грн!i310-[2]грн!h310+[2]грн!g310+[2]грн!m310+[2]грн!s310+[2]грн!y310+[2]грн!ae310+[2]грн!ak310</f>
        <v>0</v>
      </c>
      <c r="E310" s="19" t="n">
        <f aca="false">[2]грн!as310*1.07</f>
        <v>1851.1</v>
      </c>
    </row>
    <row r="311" customFormat="false" ht="15" hidden="true" customHeight="false" outlineLevel="0" collapsed="false">
      <c r="A311" s="17" t="s">
        <v>206</v>
      </c>
      <c r="B311" s="18" t="s">
        <v>8</v>
      </c>
      <c r="C311" s="29" t="s">
        <v>213</v>
      </c>
      <c r="D311" s="15" t="n">
        <f aca="false">[2]грн!f311-[2]грн!aq311-[2]грн!ap311-[2]грн!ao311-[2]грн!an311-[2]грн!am311-[2]грн!al311-[2]грн!aj311-[2]грн!ai311-[2]грн!ah311-[2]грн!ag311-[2]грн!af311-[2]грн!ad311-[2]грн!ac311-[2]грн!ab311-[2]грн!aa311-[2]грн!z311-[2]грн!x311-[2]грн!w311-[2]грн!v311-[2]грн!u311-[2]грн!t311-[2]грн!r311-[2]грн!q311-[2]грн!p311-[2]грн!o311-[2]грн!n311-[2]грн!l311-[2]грн!k311-[2]грн!j311-[2]грн!i311-[2]грн!h311+[2]грн!g311+[2]грн!m311+[2]грн!s311+[2]грн!y311+[2]грн!ae311+[2]грн!ak311</f>
        <v>0</v>
      </c>
      <c r="E311" s="19" t="n">
        <f aca="false">[2]грн!as311*1.07</f>
        <v>1455.2</v>
      </c>
    </row>
    <row r="312" customFormat="false" ht="15" hidden="false" customHeight="false" outlineLevel="0" collapsed="false">
      <c r="A312" s="12" t="s">
        <v>214</v>
      </c>
      <c r="B312" s="20"/>
      <c r="C312" s="21"/>
      <c r="D312" s="15"/>
      <c r="E312" s="22" t="n">
        <f aca="false">[2]грн!as312*1.07</f>
        <v>0</v>
      </c>
    </row>
    <row r="313" customFormat="false" ht="15" hidden="false" customHeight="false" outlineLevel="0" collapsed="false">
      <c r="A313" s="58" t="s">
        <v>215</v>
      </c>
      <c r="B313" s="18" t="s">
        <v>8</v>
      </c>
      <c r="C313" s="17" t="s">
        <v>216</v>
      </c>
      <c r="D313" s="15" t="n">
        <f aca="false">[2]грн!f313-[2]грн!aq313-[2]грн!ap313-[2]грн!ao313-[2]грн!an313-[2]грн!am313-[2]грн!al313-[2]грн!aj313-[2]грн!ai313-[2]грн!ah313-[2]грн!ag313-[2]грн!af313-[2]грн!ad313-[2]грн!ac313-[2]грн!ab313-[2]грн!aa313-[2]грн!z313-[2]грн!x313-[2]грн!w313-[2]грн!v313-[2]грн!u313-[2]грн!t313-[2]грн!r313-[2]грн!q313-[2]грн!p313-[2]грн!o313-[2]грн!n313-[2]грн!l313-[2]грн!k313-[2]грн!j313-[2]грн!i313-[2]грн!h313+[2]грн!g313+[2]грн!m313+[2]грн!s313+[2]грн!y313+[2]грн!ae313+[2]грн!ak313</f>
        <v>5</v>
      </c>
      <c r="E313" s="19" t="n">
        <f aca="false">[2]грн!as313*1.07</f>
        <v>1123.5</v>
      </c>
    </row>
    <row r="314" customFormat="false" ht="15" hidden="false" customHeight="false" outlineLevel="0" collapsed="false">
      <c r="A314" s="58" t="s">
        <v>215</v>
      </c>
      <c r="B314" s="18" t="s">
        <v>217</v>
      </c>
      <c r="C314" s="17" t="s">
        <v>216</v>
      </c>
      <c r="D314" s="15" t="n">
        <f aca="false">[2]грн!f314-[2]грн!aq314-[2]грн!ap314-[2]грн!ao314-[2]грн!an314-[2]грн!am314-[2]грн!al314-[2]грн!aj314-[2]грн!ai314-[2]грн!ah314-[2]грн!ag314-[2]грн!af314-[2]грн!ad314-[2]грн!ac314-[2]грн!ab314-[2]грн!aa314-[2]грн!z314-[2]грн!x314-[2]грн!w314-[2]грн!v314-[2]грн!u314-[2]грн!t314-[2]грн!r314-[2]грн!q314-[2]грн!p314-[2]грн!o314-[2]грн!n314-[2]грн!l314-[2]грн!k314-[2]грн!j314-[2]грн!i314-[2]грн!h314+[2]грн!g314+[2]грн!m314+[2]грн!s314+[2]грн!y314+[2]грн!ae314+[2]грн!ak314</f>
        <v>13</v>
      </c>
      <c r="E314" s="19" t="n">
        <f aca="false">[2]грн!as314*1.07</f>
        <v>1123.5</v>
      </c>
    </row>
    <row r="315" customFormat="false" ht="15" hidden="true" customHeight="false" outlineLevel="0" collapsed="false">
      <c r="A315" s="57" t="s">
        <v>215</v>
      </c>
      <c r="B315" s="24" t="s">
        <v>218</v>
      </c>
      <c r="C315" s="23" t="s">
        <v>219</v>
      </c>
      <c r="D315" s="15" t="n">
        <f aca="false">[2]грн!f315-[2]грн!aq315-[2]грн!ap315-[2]грн!ao315-[2]грн!an315-[2]грн!am315-[2]грн!al315-[2]грн!aj315-[2]грн!ai315-[2]грн!ah315-[2]грн!ag315-[2]грн!af315-[2]грн!ad315-[2]грн!ac315-[2]грн!ab315-[2]грн!aa315-[2]грн!z315-[2]грн!x315-[2]грн!w315-[2]грн!v315-[2]грн!u315-[2]грн!t315-[2]грн!r315-[2]грн!q315-[2]грн!p315-[2]грн!o315-[2]грн!n315-[2]грн!l315-[2]грн!k315-[2]грн!j315-[2]грн!i315-[2]грн!h315+[2]грн!g315+[2]грн!m315+[2]грн!s315+[2]грн!y315+[2]грн!ae315+[2]грн!ak315</f>
        <v>0</v>
      </c>
      <c r="E315" s="19" t="n">
        <f aca="false">[2]грн!as315*1.07</f>
        <v>1551.5</v>
      </c>
    </row>
    <row r="316" customFormat="false" ht="15" hidden="false" customHeight="false" outlineLevel="0" collapsed="false">
      <c r="A316" s="57" t="s">
        <v>215</v>
      </c>
      <c r="B316" s="24" t="s">
        <v>200</v>
      </c>
      <c r="C316" s="23" t="s">
        <v>220</v>
      </c>
      <c r="D316" s="15" t="n">
        <f aca="false">[2]грн!f316-[2]грн!aq316-[2]грн!ap316-[2]грн!ao316-[2]грн!an316-[2]грн!am316-[2]грн!al316-[2]грн!aj316-[2]грн!ai316-[2]грн!ah316-[2]грн!ag316-[2]грн!af316-[2]грн!ad316-[2]грн!ac316-[2]грн!ab316-[2]грн!aa316-[2]грн!z316-[2]грн!x316-[2]грн!w316-[2]грн!v316-[2]грн!u316-[2]грн!t316-[2]грн!r316-[2]грн!q316-[2]грн!p316-[2]грн!o316-[2]грн!n316-[2]грн!l316-[2]грн!k316-[2]грн!j316-[2]грн!i316-[2]грн!h316+[2]грн!g316+[2]грн!m316+[2]грн!s316+[2]грн!y316+[2]грн!ae316+[2]грн!ak316</f>
        <v>16</v>
      </c>
      <c r="E316" s="19" t="n">
        <f aca="false">[2]грн!as316*1.07</f>
        <v>1712</v>
      </c>
    </row>
    <row r="317" customFormat="false" ht="15" hidden="false" customHeight="false" outlineLevel="0" collapsed="false">
      <c r="A317" s="17" t="s">
        <v>221</v>
      </c>
      <c r="B317" s="27" t="s">
        <v>8</v>
      </c>
      <c r="C317" s="49" t="s">
        <v>222</v>
      </c>
      <c r="D317" s="15" t="n">
        <f aca="false">[2]грн!f317-[2]грн!aq317-[2]грн!ap317-[2]грн!ao317-[2]грн!an317-[2]грн!am317-[2]грн!al317-[2]грн!aj317-[2]грн!ai317-[2]грн!ah317-[2]грн!ag317-[2]грн!af317-[2]грн!ad317-[2]грн!ac317-[2]грн!ab317-[2]грн!aa317-[2]грн!z317-[2]грн!x317-[2]грн!w317-[2]грн!v317-[2]грн!u317-[2]грн!t317-[2]грн!r317-[2]грн!q317-[2]грн!p317-[2]грн!o317-[2]грн!n317-[2]грн!l317-[2]грн!k317-[2]грн!j317-[2]грн!i317-[2]грн!h317+[2]грн!g317+[2]грн!m317+[2]грн!s317+[2]грн!y317+[2]грн!ae317+[2]грн!ak317</f>
        <v>10</v>
      </c>
      <c r="E317" s="19" t="n">
        <f aca="false">[2]грн!as317*1.07</f>
        <v>1166.3</v>
      </c>
    </row>
    <row r="318" customFormat="false" ht="15" hidden="false" customHeight="false" outlineLevel="0" collapsed="false">
      <c r="A318" s="17" t="s">
        <v>221</v>
      </c>
      <c r="B318" s="18" t="s">
        <v>10</v>
      </c>
      <c r="C318" s="18" t="s">
        <v>196</v>
      </c>
      <c r="D318" s="15" t="n">
        <f aca="false">[2]грн!f318-[2]грн!aq318-[2]грн!ap318-[2]грн!ao318-[2]грн!an318-[2]грн!am318-[2]грн!al318-[2]грн!aj318-[2]грн!ai318-[2]грн!ah318-[2]грн!ag318-[2]грн!af318-[2]грн!ad318-[2]грн!ac318-[2]грн!ab318-[2]грн!aa318-[2]грн!z318-[2]грн!x318-[2]грн!w318-[2]грн!v318-[2]грн!u318-[2]грн!t318-[2]грн!r318-[2]грн!q318-[2]грн!p318-[2]грн!o318-[2]грн!n318-[2]грн!l318-[2]грн!k318-[2]грн!j318-[2]грн!i318-[2]грн!h318+[2]грн!g318+[2]грн!m318+[2]грн!s318+[2]грн!y318+[2]грн!ae318+[2]грн!ak318</f>
        <v>36</v>
      </c>
      <c r="E318" s="19" t="n">
        <f aca="false">[2]грн!as318*1.07</f>
        <v>1198.4</v>
      </c>
    </row>
    <row r="319" customFormat="false" ht="15" hidden="true" customHeight="false" outlineLevel="0" collapsed="false">
      <c r="A319" s="17" t="s">
        <v>221</v>
      </c>
      <c r="B319" s="18" t="s">
        <v>14</v>
      </c>
      <c r="C319" s="18" t="s">
        <v>223</v>
      </c>
      <c r="D319" s="15" t="n">
        <f aca="false">[2]грн!f319-[2]грн!aq319-[2]грн!ap319-[2]грн!ao319-[2]грн!an319-[2]грн!am319-[2]грн!al319-[2]грн!aj319-[2]грн!ai319-[2]грн!ah319-[2]грн!ag319-[2]грн!af319-[2]грн!ad319-[2]грн!ac319-[2]грн!ab319-[2]грн!aa319-[2]грн!z319-[2]грн!x319-[2]грн!w319-[2]грн!v319-[2]грн!u319-[2]грн!t319-[2]грн!r319-[2]грн!q319-[2]грн!p319-[2]грн!o319-[2]грн!n319-[2]грн!l319-[2]грн!k319-[2]грн!j319-[2]грн!i319-[2]грн!h319+[2]грн!g319+[2]грн!m319+[2]грн!s319+[2]грн!y319+[2]грн!ae319+[2]грн!ak319</f>
        <v>0</v>
      </c>
      <c r="E319" s="19" t="n">
        <f aca="false">[2]грн!as319*1.07</f>
        <v>1102.1</v>
      </c>
    </row>
    <row r="320" customFormat="false" ht="15" hidden="true" customHeight="false" outlineLevel="0" collapsed="false">
      <c r="A320" s="17" t="s">
        <v>221</v>
      </c>
      <c r="B320" s="18" t="s">
        <v>224</v>
      </c>
      <c r="C320" s="18" t="s">
        <v>225</v>
      </c>
      <c r="D320" s="15" t="n">
        <f aca="false">[2]грн!f320-[2]грн!aq320-[2]грн!ap320-[2]грн!ao320-[2]грн!an320-[2]грн!am320-[2]грн!al320-[2]грн!aj320-[2]грн!ai320-[2]грн!ah320-[2]грн!ag320-[2]грн!af320-[2]грн!ad320-[2]грн!ac320-[2]грн!ab320-[2]грн!aa320-[2]грн!z320-[2]грн!x320-[2]грн!w320-[2]грн!v320-[2]грн!u320-[2]грн!t320-[2]грн!r320-[2]грн!q320-[2]грн!p320-[2]грн!o320-[2]грн!n320-[2]грн!l320-[2]грн!k320-[2]грн!j320-[2]грн!i320-[2]грн!h320+[2]грн!g320+[2]грн!m320+[2]грн!s320+[2]грн!y320+[2]грн!ae320+[2]грн!ak320</f>
        <v>0</v>
      </c>
      <c r="E320" s="19" t="n">
        <f aca="false">[2]грн!as320*1.07</f>
        <v>909.5</v>
      </c>
    </row>
    <row r="321" customFormat="false" ht="15" hidden="false" customHeight="false" outlineLevel="0" collapsed="false">
      <c r="A321" s="17" t="s">
        <v>221</v>
      </c>
      <c r="B321" s="27" t="s">
        <v>200</v>
      </c>
      <c r="C321" s="27" t="s">
        <v>226</v>
      </c>
      <c r="D321" s="15" t="n">
        <f aca="false">[2]грн!f321-[2]грн!aq321-[2]грн!ap321-[2]грн!ao321-[2]грн!an321-[2]грн!am321-[2]грн!al321-[2]грн!aj321-[2]грн!ai321-[2]грн!ah321-[2]грн!ag321-[2]грн!af321-[2]грн!ad321-[2]грн!ac321-[2]грн!ab321-[2]грн!aa321-[2]грн!z321-[2]грн!x321-[2]грн!w321-[2]грн!v321-[2]грн!u321-[2]грн!t321-[2]грн!r321-[2]грн!q321-[2]грн!p321-[2]грн!o321-[2]грн!n321-[2]грн!l321-[2]грн!k321-[2]грн!j321-[2]грн!i321-[2]грн!h321+[2]грн!g321+[2]грн!m321+[2]грн!s321+[2]грн!y321+[2]грн!ae321+[2]грн!ak321</f>
        <v>12</v>
      </c>
      <c r="E321" s="19" t="n">
        <f aca="false">[2]грн!as321*1.07</f>
        <v>1134.2</v>
      </c>
    </row>
    <row r="322" customFormat="false" ht="15" hidden="false" customHeight="false" outlineLevel="0" collapsed="false">
      <c r="A322" s="17" t="s">
        <v>227</v>
      </c>
      <c r="B322" s="27" t="s">
        <v>10</v>
      </c>
      <c r="C322" s="27" t="s">
        <v>65</v>
      </c>
      <c r="D322" s="15" t="n">
        <f aca="false">[2]грн!f322-[2]грн!aq322-[2]грн!ap322-[2]грн!ao322-[2]грн!an322-[2]грн!am322-[2]грн!al322-[2]грн!aj322-[2]грн!ai322-[2]грн!ah322-[2]грн!ag322-[2]грн!af322-[2]грн!ad322-[2]грн!ac322-[2]грн!ab322-[2]грн!aa322-[2]грн!z322-[2]грн!x322-[2]грн!w322-[2]грн!v322-[2]грн!u322-[2]грн!t322-[2]грн!r322-[2]грн!q322-[2]грн!p322-[2]грн!o322-[2]грн!n322-[2]грн!l322-[2]грн!k322-[2]грн!j322-[2]грн!i322-[2]грн!h322+[2]грн!g322+[2]грн!m322+[2]грн!s322+[2]грн!y322+[2]грн!ae322+[2]грн!ak322</f>
        <v>4</v>
      </c>
      <c r="E322" s="19" t="n">
        <f aca="false">[2]грн!as322*1.07</f>
        <v>909.5</v>
      </c>
    </row>
    <row r="323" customFormat="false" ht="15" hidden="false" customHeight="false" outlineLevel="0" collapsed="false">
      <c r="A323" s="49" t="s">
        <v>228</v>
      </c>
      <c r="B323" s="27" t="s">
        <v>20</v>
      </c>
      <c r="C323" s="27" t="s">
        <v>229</v>
      </c>
      <c r="D323" s="15" t="n">
        <f aca="false">[2]грн!f323-[2]грн!aq323-[2]грн!ap323-[2]грн!ao323-[2]грн!an323-[2]грн!am323-[2]грн!al323-[2]грн!aj323-[2]грн!ai323-[2]грн!ah323-[2]грн!ag323-[2]грн!af323-[2]грн!ad323-[2]грн!ac323-[2]грн!ab323-[2]грн!aa323-[2]грн!z323-[2]грн!x323-[2]грн!w323-[2]грн!v323-[2]грн!u323-[2]грн!t323-[2]грн!r323-[2]грн!q323-[2]грн!p323-[2]грн!o323-[2]грн!n323-[2]грн!l323-[2]грн!k323-[2]грн!j323-[2]грн!i323-[2]грн!h323+[2]грн!g323+[2]грн!m323+[2]грн!s323+[2]грн!y323+[2]грн!ae323+[2]грн!ak323</f>
        <v>10</v>
      </c>
      <c r="E323" s="19" t="n">
        <f aca="false">[2]грн!as323*1.07</f>
        <v>963</v>
      </c>
    </row>
    <row r="324" customFormat="false" ht="15" hidden="false" customHeight="false" outlineLevel="0" collapsed="false">
      <c r="A324" s="23" t="s">
        <v>228</v>
      </c>
      <c r="B324" s="24" t="s">
        <v>20</v>
      </c>
      <c r="C324" s="24" t="s">
        <v>230</v>
      </c>
      <c r="D324" s="15" t="n">
        <f aca="false">[2]грн!f324-[2]грн!aq324-[2]грн!ap324-[2]грн!ao324-[2]грн!an324-[2]грн!am324-[2]грн!al324-[2]грн!aj324-[2]грн!ai324-[2]грн!ah324-[2]грн!ag324-[2]грн!af324-[2]грн!ad324-[2]грн!ac324-[2]грн!ab324-[2]грн!aa324-[2]грн!z324-[2]грн!x324-[2]грн!w324-[2]грн!v324-[2]грн!u324-[2]грн!t324-[2]грн!r324-[2]грн!q324-[2]грн!p324-[2]грн!o324-[2]грн!n324-[2]грн!l324-[2]грн!k324-[2]грн!j324-[2]грн!i324-[2]грн!h324+[2]грн!g324+[2]грн!m324+[2]грн!s324+[2]грн!y324+[2]грн!ae324+[2]грн!ak324</f>
        <v>8</v>
      </c>
      <c r="E324" s="19" t="n">
        <f aca="false">[2]грн!as324*1.07</f>
        <v>1284</v>
      </c>
    </row>
    <row r="325" customFormat="false" ht="15" hidden="false" customHeight="false" outlineLevel="0" collapsed="false">
      <c r="A325" s="49" t="s">
        <v>228</v>
      </c>
      <c r="B325" s="27" t="s">
        <v>218</v>
      </c>
      <c r="C325" s="26" t="s">
        <v>231</v>
      </c>
      <c r="D325" s="15" t="n">
        <f aca="false">[2]грн!f325-[2]грн!aq325-[2]грн!ap325-[2]грн!ao325-[2]грн!an325-[2]грн!am325-[2]грн!al325-[2]грн!aj325-[2]грн!ai325-[2]грн!ah325-[2]грн!ag325-[2]грн!af325-[2]грн!ad325-[2]грн!ac325-[2]грн!ab325-[2]грн!aa325-[2]грн!z325-[2]грн!x325-[2]грн!w325-[2]грн!v325-[2]грн!u325-[2]грн!t325-[2]грн!r325-[2]грн!q325-[2]грн!p325-[2]грн!o325-[2]грн!n325-[2]грн!l325-[2]грн!k325-[2]грн!j325-[2]грн!i325-[2]грн!h325+[2]грн!g325+[2]грн!m325+[2]грн!s325+[2]грн!y325+[2]грн!ae325+[2]грн!ak325</f>
        <v>8</v>
      </c>
      <c r="E325" s="19" t="n">
        <f aca="false">[2]грн!as325*1.07</f>
        <v>856</v>
      </c>
    </row>
    <row r="326" customFormat="false" ht="15" hidden="true" customHeight="false" outlineLevel="0" collapsed="false">
      <c r="A326" s="23" t="s">
        <v>228</v>
      </c>
      <c r="B326" s="24" t="s">
        <v>14</v>
      </c>
      <c r="C326" s="33" t="s">
        <v>60</v>
      </c>
      <c r="D326" s="15" t="n">
        <f aca="false">[2]грн!f326-[2]грн!aq326-[2]грн!ap326-[2]грн!ao326-[2]грн!an326-[2]грн!am326-[2]грн!al326-[2]грн!aj326-[2]грн!ai326-[2]грн!ah326-[2]грн!ag326-[2]грн!af326-[2]грн!ad326-[2]грн!ac326-[2]грн!ab326-[2]грн!aa326-[2]грн!z326-[2]грн!x326-[2]грн!w326-[2]грн!v326-[2]грн!u326-[2]грн!t326-[2]грн!r326-[2]грн!q326-[2]грн!p326-[2]грн!o326-[2]грн!n326-[2]грн!l326-[2]грн!k326-[2]грн!j326-[2]грн!i326-[2]грн!h326+[2]грн!g326+[2]грн!m326+[2]грн!s326+[2]грн!y326+[2]грн!ae326+[2]грн!ak326</f>
        <v>0</v>
      </c>
      <c r="E326" s="19" t="n">
        <f aca="false">[2]грн!as326*1.07</f>
        <v>963</v>
      </c>
    </row>
    <row r="327" customFormat="false" ht="15" hidden="false" customHeight="false" outlineLevel="0" collapsed="false">
      <c r="A327" s="23" t="s">
        <v>228</v>
      </c>
      <c r="B327" s="24" t="s">
        <v>10</v>
      </c>
      <c r="C327" s="24" t="s">
        <v>71</v>
      </c>
      <c r="D327" s="15" t="n">
        <f aca="false">[2]грн!f327-[2]грн!aq327-[2]грн!ap327-[2]грн!ao327-[2]грн!an327-[2]грн!am327-[2]грн!al327-[2]грн!aj327-[2]грн!ai327-[2]грн!ah327-[2]грн!ag327-[2]грн!af327-[2]грн!ad327-[2]грн!ac327-[2]грн!ab327-[2]грн!aa327-[2]грн!z327-[2]грн!x327-[2]грн!w327-[2]грн!v327-[2]грн!u327-[2]грн!t327-[2]грн!r327-[2]грн!q327-[2]грн!p327-[2]грн!o327-[2]грн!n327-[2]грн!l327-[2]грн!k327-[2]грн!j327-[2]грн!i327-[2]грн!h327+[2]грн!g327+[2]грн!m327+[2]грн!s327+[2]грн!y327+[2]грн!ae327+[2]грн!ak327</f>
        <v>8</v>
      </c>
      <c r="E327" s="19" t="n">
        <f aca="false">[2]грн!as327*1.07</f>
        <v>909.5</v>
      </c>
    </row>
    <row r="328" customFormat="false" ht="15" hidden="false" customHeight="false" outlineLevel="0" collapsed="false">
      <c r="A328" s="23" t="s">
        <v>228</v>
      </c>
      <c r="B328" s="24" t="s">
        <v>10</v>
      </c>
      <c r="C328" s="24" t="s">
        <v>232</v>
      </c>
      <c r="D328" s="15" t="n">
        <f aca="false">[2]грн!f328-[2]грн!aq328-[2]грн!ap328-[2]грн!ao328-[2]грн!an328-[2]грн!am328-[2]грн!al328-[2]грн!aj328-[2]грн!ai328-[2]грн!ah328-[2]грн!ag328-[2]грн!af328-[2]грн!ad328-[2]грн!ac328-[2]грн!ab328-[2]грн!aa328-[2]грн!z328-[2]грн!x328-[2]грн!w328-[2]грн!v328-[2]грн!u328-[2]грн!t328-[2]грн!r328-[2]грн!q328-[2]грн!p328-[2]грн!o328-[2]грн!n328-[2]грн!l328-[2]грн!k328-[2]грн!j328-[2]грн!i328-[2]грн!h328+[2]грн!g328+[2]грн!m328+[2]грн!s328+[2]грн!y328+[2]грн!ae328+[2]грн!ak328</f>
        <v>8</v>
      </c>
      <c r="E328" s="19" t="n">
        <f aca="false">[2]грн!as328*1.07</f>
        <v>941.6</v>
      </c>
    </row>
    <row r="329" customFormat="false" ht="15" hidden="true" customHeight="false" outlineLevel="0" collapsed="false">
      <c r="A329" s="23" t="s">
        <v>228</v>
      </c>
      <c r="B329" s="24" t="s">
        <v>10</v>
      </c>
      <c r="C329" s="24" t="s">
        <v>181</v>
      </c>
      <c r="D329" s="15" t="n">
        <f aca="false">[2]грн!f329-[2]грн!aq329-[2]грн!ap329-[2]грн!ao329-[2]грн!an329-[2]грн!am329-[2]грн!al329-[2]грн!aj329-[2]грн!ai329-[2]грн!ah329-[2]грн!ag329-[2]грн!af329-[2]грн!ad329-[2]грн!ac329-[2]грн!ab329-[2]грн!aa329-[2]грн!z329-[2]грн!x329-[2]грн!w329-[2]грн!v329-[2]грн!u329-[2]грн!t329-[2]грн!r329-[2]грн!q329-[2]грн!p329-[2]грн!o329-[2]грн!n329-[2]грн!l329-[2]грн!k329-[2]грн!j329-[2]грн!i329-[2]грн!h329+[2]грн!g329+[2]грн!m329+[2]грн!s329+[2]грн!y329+[2]грн!ae329+[2]грн!ak329</f>
        <v>0</v>
      </c>
      <c r="E329" s="19" t="n">
        <f aca="false">[2]грн!as329*1.07</f>
        <v>802.5</v>
      </c>
    </row>
    <row r="330" customFormat="false" ht="15" hidden="false" customHeight="false" outlineLevel="0" collapsed="false">
      <c r="A330" s="23" t="s">
        <v>228</v>
      </c>
      <c r="B330" s="24" t="s">
        <v>10</v>
      </c>
      <c r="C330" s="24" t="s">
        <v>233</v>
      </c>
      <c r="D330" s="15" t="n">
        <f aca="false">[2]грн!f330-[2]грн!aq330-[2]грн!ap330-[2]грн!ao330-[2]грн!an330-[2]грн!am330-[2]грн!al330-[2]грн!aj330-[2]грн!ai330-[2]грн!ah330-[2]грн!ag330-[2]грн!af330-[2]грн!ad330-[2]грн!ac330-[2]грн!ab330-[2]грн!aa330-[2]грн!z330-[2]грн!x330-[2]грн!w330-[2]грн!v330-[2]грн!u330-[2]грн!t330-[2]грн!r330-[2]грн!q330-[2]грн!p330-[2]грн!o330-[2]грн!n330-[2]грн!l330-[2]грн!k330-[2]грн!j330-[2]грн!i330-[2]грн!h330+[2]грн!g330+[2]грн!m330+[2]грн!s330+[2]грн!y330+[2]грн!ae330+[2]грн!ak330</f>
        <v>8</v>
      </c>
      <c r="E330" s="19" t="n">
        <f aca="false">[2]грн!as330*1.07</f>
        <v>1016.5</v>
      </c>
    </row>
    <row r="331" customFormat="false" ht="15" hidden="false" customHeight="false" outlineLevel="0" collapsed="false">
      <c r="A331" s="23" t="s">
        <v>228</v>
      </c>
      <c r="B331" s="24" t="s">
        <v>10</v>
      </c>
      <c r="C331" s="24" t="s">
        <v>93</v>
      </c>
      <c r="D331" s="15" t="n">
        <f aca="false">[2]грн!f331-[2]грн!aq331-[2]грн!ap331-[2]грн!ao331-[2]грн!an331-[2]грн!am331-[2]грн!al331-[2]грн!aj331-[2]грн!ai331-[2]грн!ah331-[2]грн!ag331-[2]грн!af331-[2]грн!ad331-[2]грн!ac331-[2]грн!ab331-[2]грн!aa331-[2]грн!z331-[2]грн!x331-[2]грн!w331-[2]грн!v331-[2]грн!u331-[2]грн!t331-[2]грн!r331-[2]грн!q331-[2]грн!p331-[2]грн!o331-[2]грн!n331-[2]грн!l331-[2]грн!k331-[2]грн!j331-[2]грн!i331-[2]грн!h331+[2]грн!g331+[2]грн!m331+[2]грн!s331+[2]грн!y331+[2]грн!ae331+[2]грн!ak331</f>
        <v>12</v>
      </c>
      <c r="E331" s="19" t="n">
        <f aca="false">[2]грн!as331*1.07</f>
        <v>1070</v>
      </c>
    </row>
    <row r="332" customFormat="false" ht="15" hidden="false" customHeight="false" outlineLevel="0" collapsed="false">
      <c r="A332" s="49" t="s">
        <v>228</v>
      </c>
      <c r="B332" s="27" t="s">
        <v>10</v>
      </c>
      <c r="C332" s="27" t="s">
        <v>80</v>
      </c>
      <c r="D332" s="15" t="n">
        <f aca="false">[2]грн!f332-[2]грн!aq332-[2]грн!ap332-[2]грн!ao332-[2]грн!an332-[2]грн!am332-[2]грн!al332-[2]грн!aj332-[2]грн!ai332-[2]грн!ah332-[2]грн!ag332-[2]грн!af332-[2]грн!ad332-[2]грн!ac332-[2]грн!ab332-[2]грн!aa332-[2]грн!z332-[2]грн!x332-[2]грн!w332-[2]грн!v332-[2]грн!u332-[2]грн!t332-[2]грн!r332-[2]грн!q332-[2]грн!p332-[2]грн!o332-[2]грн!n332-[2]грн!l332-[2]грн!k332-[2]грн!j332-[2]грн!i332-[2]грн!h332+[2]грн!g332+[2]грн!m332+[2]грн!s332+[2]грн!y332+[2]грн!ae332+[2]грн!ak332</f>
        <v>12</v>
      </c>
      <c r="E332" s="19" t="n">
        <f aca="false">[2]грн!as332*1.07</f>
        <v>930.9</v>
      </c>
    </row>
    <row r="333" customFormat="false" ht="15" hidden="false" customHeight="false" outlineLevel="0" collapsed="false">
      <c r="A333" s="49" t="s">
        <v>228</v>
      </c>
      <c r="B333" s="27" t="s">
        <v>10</v>
      </c>
      <c r="C333" s="27" t="s">
        <v>65</v>
      </c>
      <c r="D333" s="15" t="n">
        <f aca="false">[2]грн!f333-[2]грн!aq333-[2]грн!ap333-[2]грн!ao333-[2]грн!an333-[2]грн!am333-[2]грн!al333-[2]грн!aj333-[2]грн!ai333-[2]грн!ah333-[2]грн!ag333-[2]грн!af333-[2]грн!ad333-[2]грн!ac333-[2]грн!ab333-[2]грн!aa333-[2]грн!z333-[2]грн!x333-[2]грн!w333-[2]грн!v333-[2]грн!u333-[2]грн!t333-[2]грн!r333-[2]грн!q333-[2]грн!p333-[2]грн!o333-[2]грн!n333-[2]грн!l333-[2]грн!k333-[2]грн!j333-[2]грн!i333-[2]грн!h333+[2]грн!g333+[2]грн!m333+[2]грн!s333+[2]грн!y333+[2]грн!ae333+[2]грн!ak333</f>
        <v>8</v>
      </c>
      <c r="E333" s="19" t="n">
        <f aca="false">[2]грн!as333*1.07</f>
        <v>930.9</v>
      </c>
    </row>
    <row r="334" customFormat="false" ht="15" hidden="true" customHeight="false" outlineLevel="0" collapsed="false">
      <c r="A334" s="49" t="s">
        <v>228</v>
      </c>
      <c r="B334" s="27" t="s">
        <v>17</v>
      </c>
      <c r="C334" s="27" t="s">
        <v>160</v>
      </c>
      <c r="D334" s="15" t="n">
        <f aca="false">[2]грн!f334-[2]грн!aq334-[2]грн!ap334-[2]грн!ao334-[2]грн!an334-[2]грн!am334-[2]грн!al334-[2]грн!aj334-[2]грн!ai334-[2]грн!ah334-[2]грн!ag334-[2]грн!af334-[2]грн!ad334-[2]грн!ac334-[2]грн!ab334-[2]грн!aa334-[2]грн!z334-[2]грн!x334-[2]грн!w334-[2]грн!v334-[2]грн!u334-[2]грн!t334-[2]грн!r334-[2]грн!q334-[2]грн!p334-[2]грн!o334-[2]грн!n334-[2]грн!l334-[2]грн!k334-[2]грн!j334-[2]грн!i334-[2]грн!h334+[2]грн!g334+[2]грн!m334+[2]грн!s334+[2]грн!y334+[2]грн!ae334+[2]грн!ak334</f>
        <v>0</v>
      </c>
      <c r="E334" s="19" t="n">
        <f aca="false">[2]грн!as334*1.07</f>
        <v>1177</v>
      </c>
    </row>
    <row r="335" customFormat="false" ht="15" hidden="false" customHeight="false" outlineLevel="0" collapsed="false">
      <c r="A335" s="49" t="s">
        <v>228</v>
      </c>
      <c r="B335" s="27" t="s">
        <v>17</v>
      </c>
      <c r="C335" s="27" t="s">
        <v>87</v>
      </c>
      <c r="D335" s="15" t="n">
        <f aca="false">[2]грн!f335-[2]грн!aq335-[2]грн!ap335-[2]грн!ao335-[2]грн!an335-[2]грн!am335-[2]грн!al335-[2]грн!aj335-[2]грн!ai335-[2]грн!ah335-[2]грн!ag335-[2]грн!af335-[2]грн!ad335-[2]грн!ac335-[2]грн!ab335-[2]грн!aa335-[2]грн!z335-[2]грн!x335-[2]грн!w335-[2]грн!v335-[2]грн!u335-[2]грн!t335-[2]грн!r335-[2]грн!q335-[2]грн!p335-[2]грн!o335-[2]грн!n335-[2]грн!l335-[2]грн!k335-[2]грн!j335-[2]грн!i335-[2]грн!h335+[2]грн!g335+[2]грн!m335+[2]грн!s335+[2]грн!y335+[2]грн!ae335+[2]грн!ak335</f>
        <v>3</v>
      </c>
      <c r="E335" s="19" t="n">
        <f aca="false">[2]грн!as335*1.07</f>
        <v>856</v>
      </c>
    </row>
    <row r="336" customFormat="false" ht="15" hidden="true" customHeight="false" outlineLevel="0" collapsed="false">
      <c r="A336" s="49" t="s">
        <v>228</v>
      </c>
      <c r="B336" s="27" t="s">
        <v>17</v>
      </c>
      <c r="C336" s="27" t="s">
        <v>22</v>
      </c>
      <c r="D336" s="15" t="n">
        <f aca="false">[2]грн!f336-[2]грн!aq336-[2]грн!ap336-[2]грн!ao336-[2]грн!an336-[2]грн!am336-[2]грн!al336-[2]грн!aj336-[2]грн!ai336-[2]грн!ah336-[2]грн!ag336-[2]грн!af336-[2]грн!ad336-[2]грн!ac336-[2]грн!ab336-[2]грн!aa336-[2]грн!z336-[2]грн!x336-[2]грн!w336-[2]грн!v336-[2]грн!u336-[2]грн!t336-[2]грн!r336-[2]грн!q336-[2]грн!p336-[2]грн!o336-[2]грн!n336-[2]грн!l336-[2]грн!k336-[2]грн!j336-[2]грн!i336-[2]грн!h336+[2]грн!g336+[2]грн!m336+[2]грн!s336+[2]грн!y336+[2]грн!ae336+[2]грн!ak336</f>
        <v>0</v>
      </c>
      <c r="E336" s="19" t="n">
        <f aca="false">[2]грн!as336*1.07</f>
        <v>1016.5</v>
      </c>
    </row>
    <row r="337" customFormat="false" ht="15" hidden="false" customHeight="false" outlineLevel="0" collapsed="false">
      <c r="A337" s="49" t="s">
        <v>228</v>
      </c>
      <c r="B337" s="27" t="s">
        <v>17</v>
      </c>
      <c r="C337" s="27" t="s">
        <v>51</v>
      </c>
      <c r="D337" s="15" t="n">
        <f aca="false">[2]грн!f337-[2]грн!aq337-[2]грн!ap337-[2]грн!ao337-[2]грн!an337-[2]грн!am337-[2]грн!al337-[2]грн!aj337-[2]грн!ai337-[2]грн!ah337-[2]грн!ag337-[2]грн!af337-[2]грн!ad337-[2]грн!ac337-[2]грн!ab337-[2]грн!aa337-[2]грн!z337-[2]грн!x337-[2]грн!w337-[2]грн!v337-[2]грн!u337-[2]грн!t337-[2]грн!r337-[2]грн!q337-[2]грн!p337-[2]грн!o337-[2]грн!n337-[2]грн!l337-[2]грн!k337-[2]грн!j337-[2]грн!i337-[2]грн!h337+[2]грн!g337+[2]грн!m337+[2]грн!s337+[2]грн!y337+[2]грн!ae337+[2]грн!ak337</f>
        <v>2</v>
      </c>
      <c r="E337" s="19" t="n">
        <f aca="false">[2]грн!as337*1.07</f>
        <v>856</v>
      </c>
    </row>
    <row r="338" customFormat="false" ht="15" hidden="false" customHeight="false" outlineLevel="0" collapsed="false">
      <c r="A338" s="23" t="s">
        <v>228</v>
      </c>
      <c r="B338" s="24" t="s">
        <v>17</v>
      </c>
      <c r="C338" s="24" t="s">
        <v>234</v>
      </c>
      <c r="D338" s="15" t="n">
        <f aca="false">[2]грн!f338-[2]грн!aq338-[2]грн!ap338-[2]грн!ao338-[2]грн!an338-[2]грн!am338-[2]грн!al338-[2]грн!aj338-[2]грн!ai338-[2]грн!ah338-[2]грн!ag338-[2]грн!af338-[2]грн!ad338-[2]грн!ac338-[2]грн!ab338-[2]грн!aa338-[2]грн!z338-[2]грн!x338-[2]грн!w338-[2]грн!v338-[2]грн!u338-[2]грн!t338-[2]грн!r338-[2]грн!q338-[2]грн!p338-[2]грн!o338-[2]грн!n338-[2]грн!l338-[2]грн!k338-[2]грн!j338-[2]грн!i338-[2]грн!h338+[2]грн!g338+[2]грн!m338+[2]грн!s338+[2]грн!y338+[2]грн!ae338+[2]грн!ak338</f>
        <v>4</v>
      </c>
      <c r="E338" s="19" t="n">
        <f aca="false">[2]грн!as338*1.07</f>
        <v>1444.5</v>
      </c>
    </row>
    <row r="339" customFormat="false" ht="15" hidden="false" customHeight="false" outlineLevel="0" collapsed="false">
      <c r="A339" s="23" t="s">
        <v>228</v>
      </c>
      <c r="B339" s="24" t="s">
        <v>17</v>
      </c>
      <c r="C339" s="24" t="s">
        <v>52</v>
      </c>
      <c r="D339" s="15" t="n">
        <f aca="false">[2]грн!f339-[2]грн!aq339-[2]грн!ap339-[2]грн!ao339-[2]грн!an339-[2]грн!am339-[2]грн!al339-[2]грн!aj339-[2]грн!ai339-[2]грн!ah339-[2]грн!ag339-[2]грн!af339-[2]грн!ad339-[2]грн!ac339-[2]грн!ab339-[2]грн!aa339-[2]грн!z339-[2]грн!x339-[2]грн!w339-[2]грн!v339-[2]грн!u339-[2]грн!t339-[2]грн!r339-[2]грн!q339-[2]грн!p339-[2]грн!o339-[2]грн!n339-[2]грн!l339-[2]грн!k339-[2]грн!j339-[2]грн!i339-[2]грн!h339+[2]грн!g339+[2]грн!m339+[2]грн!s339+[2]грн!y339+[2]грн!ae339+[2]грн!ak339</f>
        <v>6</v>
      </c>
      <c r="E339" s="19" t="n">
        <f aca="false">[2]грн!as339*1.07</f>
        <v>1251.9</v>
      </c>
    </row>
    <row r="340" customFormat="false" ht="15" hidden="false" customHeight="false" outlineLevel="0" collapsed="false">
      <c r="A340" s="23" t="s">
        <v>228</v>
      </c>
      <c r="B340" s="24" t="s">
        <v>17</v>
      </c>
      <c r="C340" s="24" t="s">
        <v>23</v>
      </c>
      <c r="D340" s="15" t="n">
        <f aca="false">[2]грн!f340-[2]грн!aq340-[2]грн!ap340-[2]грн!ao340-[2]грн!an340-[2]грн!am340-[2]грн!al340-[2]грн!aj340-[2]грн!ai340-[2]грн!ah340-[2]грн!ag340-[2]грн!af340-[2]грн!ad340-[2]грн!ac340-[2]грн!ab340-[2]грн!aa340-[2]грн!z340-[2]грн!x340-[2]грн!w340-[2]грн!v340-[2]грн!u340-[2]грн!t340-[2]грн!r340-[2]грн!q340-[2]грн!p340-[2]грн!o340-[2]грн!n340-[2]грн!l340-[2]грн!k340-[2]грн!j340-[2]грн!i340-[2]грн!h340+[2]грн!g340+[2]грн!m340+[2]грн!s340+[2]грн!y340+[2]грн!ae340+[2]грн!ak340</f>
        <v>20</v>
      </c>
      <c r="E340" s="19" t="n">
        <f aca="false">[2]грн!as340*1.07</f>
        <v>1251.9</v>
      </c>
    </row>
    <row r="341" customFormat="false" ht="15" hidden="true" customHeight="false" outlineLevel="0" collapsed="false">
      <c r="A341" s="23" t="s">
        <v>228</v>
      </c>
      <c r="B341" s="24" t="s">
        <v>17</v>
      </c>
      <c r="C341" s="24" t="s">
        <v>235</v>
      </c>
      <c r="D341" s="15" t="n">
        <f aca="false">[2]грн!f341-[2]грн!aq341-[2]грн!ap341-[2]грн!ao341-[2]грн!an341-[2]грн!am341-[2]грн!al341-[2]грн!aj341-[2]грн!ai341-[2]грн!ah341-[2]грн!ag341-[2]грн!af341-[2]грн!ad341-[2]грн!ac341-[2]грн!ab341-[2]грн!aa341-[2]грн!z341-[2]грн!x341-[2]грн!w341-[2]грн!v341-[2]грн!u341-[2]грн!t341-[2]грн!r341-[2]грн!q341-[2]грн!p341-[2]грн!o341-[2]грн!n341-[2]грн!l341-[2]грн!k341-[2]грн!j341-[2]грн!i341-[2]грн!h341+[2]грн!g341+[2]грн!m341+[2]грн!s341+[2]грн!y341+[2]грн!ae341+[2]грн!ak341</f>
        <v>0</v>
      </c>
      <c r="E341" s="19" t="n">
        <f aca="false">[2]грн!as341*1.07</f>
        <v>909.5</v>
      </c>
    </row>
    <row r="342" customFormat="false" ht="15" hidden="true" customHeight="false" outlineLevel="0" collapsed="false">
      <c r="A342" s="49" t="s">
        <v>236</v>
      </c>
      <c r="B342" s="27" t="s">
        <v>17</v>
      </c>
      <c r="C342" s="18" t="s">
        <v>87</v>
      </c>
      <c r="D342" s="15" t="n">
        <f aca="false">[2]грн!f342-[2]грн!aq342-[2]грн!ap342-[2]грн!ao342-[2]грн!an342-[2]грн!am342-[2]грн!al342-[2]грн!aj342-[2]грн!ai342-[2]грн!ah342-[2]грн!ag342-[2]грн!af342-[2]грн!ad342-[2]грн!ac342-[2]грн!ab342-[2]грн!aa342-[2]грн!z342-[2]грн!x342-[2]грн!w342-[2]грн!v342-[2]грн!u342-[2]грн!t342-[2]грн!r342-[2]грн!q342-[2]грн!p342-[2]грн!o342-[2]грн!n342-[2]грн!l342-[2]грн!k342-[2]грн!j342-[2]грн!i342-[2]грн!h342+[2]грн!g342+[2]грн!m342+[2]грн!s342+[2]грн!y342+[2]грн!ae342+[2]грн!ak342</f>
        <v>0</v>
      </c>
      <c r="E342" s="19" t="n">
        <f aca="false">[2]грн!as342*1.07</f>
        <v>1048.6</v>
      </c>
    </row>
    <row r="343" customFormat="false" ht="15" hidden="true" customHeight="false" outlineLevel="0" collapsed="false">
      <c r="A343" s="49" t="s">
        <v>236</v>
      </c>
      <c r="B343" s="27" t="s">
        <v>17</v>
      </c>
      <c r="C343" s="27" t="s">
        <v>160</v>
      </c>
      <c r="D343" s="15" t="n">
        <f aca="false">[2]грн!f343-[2]грн!aq343-[2]грн!ap343-[2]грн!ao343-[2]грн!an343-[2]грн!am343-[2]грн!al343-[2]грн!aj343-[2]грн!ai343-[2]грн!ah343-[2]грн!ag343-[2]грн!af343-[2]грн!ad343-[2]грн!ac343-[2]грн!ab343-[2]грн!aa343-[2]грн!z343-[2]грн!x343-[2]грн!w343-[2]грн!v343-[2]грн!u343-[2]грн!t343-[2]грн!r343-[2]грн!q343-[2]грн!p343-[2]грн!o343-[2]грн!n343-[2]грн!l343-[2]грн!k343-[2]грн!j343-[2]грн!i343-[2]грн!h343+[2]грн!g343+[2]грн!m343+[2]грн!s343+[2]грн!y343+[2]грн!ae343+[2]грн!ak343</f>
        <v>0</v>
      </c>
      <c r="E343" s="19" t="n">
        <f aca="false">[2]грн!as343*1.07</f>
        <v>995.1</v>
      </c>
    </row>
    <row r="344" customFormat="false" ht="15" hidden="true" customHeight="false" outlineLevel="0" collapsed="false">
      <c r="A344" s="49" t="s">
        <v>236</v>
      </c>
      <c r="B344" s="27" t="s">
        <v>17</v>
      </c>
      <c r="C344" s="27" t="s">
        <v>22</v>
      </c>
      <c r="D344" s="15" t="n">
        <f aca="false">[2]грн!f344-[2]грн!aq344-[2]грн!ap344-[2]грн!ao344-[2]грн!an344-[2]грн!am344-[2]грн!al344-[2]грн!aj344-[2]грн!ai344-[2]грн!ah344-[2]грн!ag344-[2]грн!af344-[2]грн!ad344-[2]грн!ac344-[2]грн!ab344-[2]грн!aa344-[2]грн!z344-[2]грн!x344-[2]грн!w344-[2]грн!v344-[2]грн!u344-[2]грн!t344-[2]грн!r344-[2]грн!q344-[2]грн!p344-[2]грн!o344-[2]грн!n344-[2]грн!l344-[2]грн!k344-[2]грн!j344-[2]грн!i344-[2]грн!h344+[2]грн!g344+[2]грн!m344+[2]грн!s344+[2]грн!y344+[2]грн!ae344+[2]грн!ak344</f>
        <v>0</v>
      </c>
      <c r="E344" s="19" t="n">
        <f aca="false">[2]грн!as344*1.07</f>
        <v>1230.5</v>
      </c>
    </row>
    <row r="345" customFormat="false" ht="15" hidden="true" customHeight="false" outlineLevel="0" collapsed="false">
      <c r="A345" s="23" t="s">
        <v>236</v>
      </c>
      <c r="B345" s="24" t="s">
        <v>17</v>
      </c>
      <c r="C345" s="24" t="s">
        <v>23</v>
      </c>
      <c r="D345" s="15" t="n">
        <f aca="false">[2]грн!f345-[2]грн!aq345-[2]грн!ap345-[2]грн!ao345-[2]грн!an345-[2]грн!am345-[2]грн!al345-[2]грн!aj345-[2]грн!ai345-[2]грн!ah345-[2]грн!ag345-[2]грн!af345-[2]грн!ad345-[2]грн!ac345-[2]грн!ab345-[2]грн!aa345-[2]грн!z345-[2]грн!x345-[2]грн!w345-[2]грн!v345-[2]грн!u345-[2]грн!t345-[2]грн!r345-[2]грн!q345-[2]грн!p345-[2]грн!o345-[2]грн!n345-[2]грн!l345-[2]грн!k345-[2]грн!j345-[2]грн!i345-[2]грн!h345+[2]грн!g345+[2]грн!m345+[2]грн!s345+[2]грн!y345+[2]грн!ae345+[2]грн!ak345</f>
        <v>0</v>
      </c>
      <c r="E345" s="19" t="n">
        <f aca="false">[2]грн!as345*1.07</f>
        <v>1444.5</v>
      </c>
    </row>
    <row r="346" customFormat="false" ht="15" hidden="false" customHeight="false" outlineLevel="0" collapsed="false">
      <c r="A346" s="23" t="s">
        <v>236</v>
      </c>
      <c r="B346" s="24" t="s">
        <v>218</v>
      </c>
      <c r="C346" s="24" t="s">
        <v>91</v>
      </c>
      <c r="D346" s="15" t="n">
        <f aca="false">[2]грн!f346-[2]грн!aq346-[2]грн!ap346-[2]грн!ao346-[2]грн!an346-[2]грн!am346-[2]грн!al346-[2]грн!aj346-[2]грн!ai346-[2]грн!ah346-[2]грн!ag346-[2]грн!af346-[2]грн!ad346-[2]грн!ac346-[2]грн!ab346-[2]грн!aa346-[2]грн!z346-[2]грн!x346-[2]грн!w346-[2]грн!v346-[2]грн!u346-[2]грн!t346-[2]грн!r346-[2]грн!q346-[2]грн!p346-[2]грн!o346-[2]грн!n346-[2]грн!l346-[2]грн!k346-[2]грн!j346-[2]грн!i346-[2]грн!h346+[2]грн!g346+[2]грн!m346+[2]грн!s346+[2]грн!y346+[2]грн!ae346+[2]грн!ak346</f>
        <v>2</v>
      </c>
      <c r="E346" s="19" t="n">
        <f aca="false">[2]грн!as346*1.07</f>
        <v>1391</v>
      </c>
    </row>
    <row r="347" customFormat="false" ht="15" hidden="false" customHeight="false" outlineLevel="0" collapsed="false">
      <c r="A347" s="49" t="s">
        <v>236</v>
      </c>
      <c r="B347" s="27" t="s">
        <v>20</v>
      </c>
      <c r="C347" s="27" t="s">
        <v>237</v>
      </c>
      <c r="D347" s="15" t="n">
        <f aca="false">[2]грн!f347-[2]грн!aq347-[2]грн!ap347-[2]грн!ao347-[2]грн!an347-[2]грн!am347-[2]грн!al347-[2]грн!aj347-[2]грн!ai347-[2]грн!ah347-[2]грн!ag347-[2]грн!af347-[2]грн!ad347-[2]грн!ac347-[2]грн!ab347-[2]грн!aa347-[2]грн!z347-[2]грн!x347-[2]грн!w347-[2]грн!v347-[2]грн!u347-[2]грн!t347-[2]грн!r347-[2]грн!q347-[2]грн!p347-[2]грн!o347-[2]грн!n347-[2]грн!l347-[2]грн!k347-[2]грн!j347-[2]грн!i347-[2]грн!h347+[2]грн!g347+[2]грн!m347+[2]грн!s347+[2]грн!y347+[2]грн!ae347+[2]грн!ak347</f>
        <v>14</v>
      </c>
      <c r="E347" s="19" t="n">
        <f aca="false">[2]грн!as347*1.07</f>
        <v>1043.25</v>
      </c>
    </row>
    <row r="348" customFormat="false" ht="15" hidden="true" customHeight="false" outlineLevel="0" collapsed="false">
      <c r="A348" s="23" t="s">
        <v>236</v>
      </c>
      <c r="B348" s="24" t="s">
        <v>20</v>
      </c>
      <c r="C348" s="24" t="s">
        <v>238</v>
      </c>
      <c r="D348" s="15" t="n">
        <f aca="false">[2]грн!f348-[2]грн!aq348-[2]грн!ap348-[2]грн!ao348-[2]грн!an348-[2]грн!am348-[2]грн!al348-[2]грн!aj348-[2]грн!ai348-[2]грн!ah348-[2]грн!ag348-[2]грн!af348-[2]грн!ad348-[2]грн!ac348-[2]грн!ab348-[2]грн!aa348-[2]грн!z348-[2]грн!x348-[2]грн!w348-[2]грн!v348-[2]грн!u348-[2]грн!t348-[2]грн!r348-[2]грн!q348-[2]грн!p348-[2]грн!o348-[2]грн!n348-[2]грн!l348-[2]грн!k348-[2]грн!j348-[2]грн!i348-[2]грн!h348+[2]грн!g348+[2]грн!m348+[2]грн!s348+[2]грн!y348+[2]грн!ae348+[2]грн!ak348</f>
        <v>0</v>
      </c>
      <c r="E348" s="19" t="n">
        <f aca="false">[2]грн!as348*1.07</f>
        <v>1391</v>
      </c>
    </row>
    <row r="349" customFormat="false" ht="15" hidden="false" customHeight="false" outlineLevel="0" collapsed="false">
      <c r="A349" s="17" t="s">
        <v>236</v>
      </c>
      <c r="B349" s="27" t="s">
        <v>10</v>
      </c>
      <c r="C349" s="27" t="s">
        <v>80</v>
      </c>
      <c r="D349" s="15" t="n">
        <f aca="false">[2]грн!f349-[2]грн!aq349-[2]грн!ap349-[2]грн!ao349-[2]грн!an349-[2]грн!am349-[2]грн!al349-[2]грн!aj349-[2]грн!ai349-[2]грн!ah349-[2]грн!ag349-[2]грн!af349-[2]грн!ad349-[2]грн!ac349-[2]грн!ab349-[2]грн!aa349-[2]грн!z349-[2]грн!x349-[2]грн!w349-[2]грн!v349-[2]грн!u349-[2]грн!t349-[2]грн!r349-[2]грн!q349-[2]грн!p349-[2]грн!o349-[2]грн!n349-[2]грн!l349-[2]грн!k349-[2]грн!j349-[2]грн!i349-[2]грн!h349+[2]грн!g349+[2]грн!m349+[2]грн!s349+[2]грн!y349+[2]грн!ae349+[2]грн!ak349</f>
        <v>6</v>
      </c>
      <c r="E349" s="19" t="n">
        <f aca="false">[2]грн!as349*1.07</f>
        <v>1005.8</v>
      </c>
    </row>
    <row r="350" customFormat="false" ht="15" hidden="true" customHeight="false" outlineLevel="0" collapsed="false">
      <c r="A350" s="17" t="s">
        <v>236</v>
      </c>
      <c r="B350" s="27" t="s">
        <v>10</v>
      </c>
      <c r="C350" s="27" t="s">
        <v>65</v>
      </c>
      <c r="D350" s="15" t="n">
        <f aca="false">[2]грн!f350-[2]грн!aq350-[2]грн!ap350-[2]грн!ao350-[2]грн!an350-[2]грн!am350-[2]грн!al350-[2]грн!aj350-[2]грн!ai350-[2]грн!ah350-[2]грн!ag350-[2]грн!af350-[2]грн!ad350-[2]грн!ac350-[2]грн!ab350-[2]грн!aa350-[2]грн!z350-[2]грн!x350-[2]грн!w350-[2]грн!v350-[2]грн!u350-[2]грн!t350-[2]грн!r350-[2]грн!q350-[2]грн!p350-[2]грн!o350-[2]грн!n350-[2]грн!l350-[2]грн!k350-[2]грн!j350-[2]грн!i350-[2]грн!h350+[2]грн!g350+[2]грн!m350+[2]грн!s350+[2]грн!y350+[2]грн!ae350+[2]грн!ak350</f>
        <v>0</v>
      </c>
      <c r="E350" s="19" t="n">
        <f aca="false">[2]грн!as350*1.07</f>
        <v>963</v>
      </c>
    </row>
    <row r="351" customFormat="false" ht="15" hidden="false" customHeight="false" outlineLevel="0" collapsed="false">
      <c r="A351" s="23" t="s">
        <v>236</v>
      </c>
      <c r="B351" s="24" t="s">
        <v>10</v>
      </c>
      <c r="C351" s="24" t="s">
        <v>239</v>
      </c>
      <c r="D351" s="15" t="n">
        <f aca="false">[2]грн!f351-[2]грн!aq351-[2]грн!ap351-[2]грн!ao351-[2]грн!an351-[2]грн!am351-[2]грн!al351-[2]грн!aj351-[2]грн!ai351-[2]грн!ah351-[2]грн!ag351-[2]грн!af351-[2]грн!ad351-[2]грн!ac351-[2]грн!ab351-[2]грн!aa351-[2]грн!z351-[2]грн!x351-[2]грн!w351-[2]грн!v351-[2]грн!u351-[2]грн!t351-[2]грн!r351-[2]грн!q351-[2]грн!p351-[2]грн!o351-[2]грн!n351-[2]грн!l351-[2]грн!k351-[2]грн!j351-[2]грн!i351-[2]грн!h351+[2]грн!g351+[2]грн!m351+[2]грн!s351+[2]грн!y351+[2]грн!ae351+[2]грн!ak351</f>
        <v>12</v>
      </c>
      <c r="E351" s="19" t="n">
        <f aca="false">[2]грн!as351*1.07</f>
        <v>984.4</v>
      </c>
    </row>
    <row r="352" customFormat="false" ht="15" hidden="false" customHeight="false" outlineLevel="0" collapsed="false">
      <c r="A352" s="23" t="s">
        <v>236</v>
      </c>
      <c r="B352" s="24" t="s">
        <v>10</v>
      </c>
      <c r="C352" s="24" t="s">
        <v>69</v>
      </c>
      <c r="D352" s="15" t="n">
        <f aca="false">[2]грн!f352-[2]грн!aq352-[2]грн!ap352-[2]грн!ao352-[2]грн!an352-[2]грн!am352-[2]грн!al352-[2]грн!aj352-[2]грн!ai352-[2]грн!ah352-[2]грн!ag352-[2]грн!af352-[2]грн!ad352-[2]грн!ac352-[2]грн!ab352-[2]грн!aa352-[2]грн!z352-[2]грн!x352-[2]грн!w352-[2]грн!v352-[2]грн!u352-[2]грн!t352-[2]грн!r352-[2]грн!q352-[2]грн!p352-[2]грн!o352-[2]грн!n352-[2]грн!l352-[2]грн!k352-[2]грн!j352-[2]грн!i352-[2]грн!h352+[2]грн!g352+[2]грн!m352+[2]грн!s352+[2]грн!y352+[2]грн!ae352+[2]грн!ak352</f>
        <v>14</v>
      </c>
      <c r="E352" s="19" t="n">
        <f aca="false">[2]грн!as352*1.07</f>
        <v>1005.8</v>
      </c>
    </row>
    <row r="353" customFormat="false" ht="15" hidden="false" customHeight="false" outlineLevel="0" collapsed="false">
      <c r="A353" s="49" t="s">
        <v>240</v>
      </c>
      <c r="B353" s="27" t="s">
        <v>20</v>
      </c>
      <c r="C353" s="27" t="s">
        <v>241</v>
      </c>
      <c r="D353" s="15" t="n">
        <f aca="false">[2]грн!f353-[2]грн!aq353-[2]грн!ap353-[2]грн!ao353-[2]грн!an353-[2]грн!am353-[2]грн!al353-[2]грн!aj353-[2]грн!ai353-[2]грн!ah353-[2]грн!ag353-[2]грн!af353-[2]грн!ad353-[2]грн!ac353-[2]грн!ab353-[2]грн!aa353-[2]грн!z353-[2]грн!x353-[2]грн!w353-[2]грн!v353-[2]грн!u353-[2]грн!t353-[2]грн!r353-[2]грн!q353-[2]грн!p353-[2]грн!o353-[2]грн!n353-[2]грн!l353-[2]грн!k353-[2]грн!j353-[2]грн!i353-[2]грн!h353+[2]грн!g353+[2]грн!m353+[2]грн!s353+[2]грн!y353+[2]грн!ae353+[2]грн!ak353</f>
        <v>4</v>
      </c>
      <c r="E353" s="19" t="n">
        <f aca="false">[2]грн!as353*1.07</f>
        <v>1219.8</v>
      </c>
    </row>
    <row r="354" customFormat="false" ht="15" hidden="true" customHeight="false" outlineLevel="0" collapsed="false">
      <c r="A354" s="17" t="s">
        <v>240</v>
      </c>
      <c r="B354" s="27" t="s">
        <v>17</v>
      </c>
      <c r="C354" s="27" t="s">
        <v>160</v>
      </c>
      <c r="D354" s="15" t="n">
        <f aca="false">[2]грн!f354-[2]грн!aq354-[2]грн!ap354-[2]грн!ao354-[2]грн!an354-[2]грн!am354-[2]грн!al354-[2]грн!aj354-[2]грн!ai354-[2]грн!ah354-[2]грн!ag354-[2]грн!af354-[2]грн!ad354-[2]грн!ac354-[2]грн!ab354-[2]грн!aa354-[2]грн!z354-[2]грн!x354-[2]грн!w354-[2]грн!v354-[2]грн!u354-[2]грн!t354-[2]грн!r354-[2]грн!q354-[2]грн!p354-[2]грн!o354-[2]грн!n354-[2]грн!l354-[2]грн!k354-[2]грн!j354-[2]грн!i354-[2]грн!h354+[2]грн!g354+[2]грн!m354+[2]грн!s354+[2]грн!y354+[2]грн!ae354+[2]грн!ak354</f>
        <v>0</v>
      </c>
      <c r="E354" s="19" t="n">
        <f aca="false">[2]грн!as354*1.07</f>
        <v>1230.5</v>
      </c>
    </row>
    <row r="355" customFormat="false" ht="15" hidden="false" customHeight="false" outlineLevel="0" collapsed="false">
      <c r="A355" s="49" t="s">
        <v>242</v>
      </c>
      <c r="B355" s="18" t="s">
        <v>10</v>
      </c>
      <c r="C355" s="18" t="s">
        <v>243</v>
      </c>
      <c r="D355" s="15" t="n">
        <f aca="false">[2]грн!f355-[2]грн!aq355-[2]грн!ap355-[2]грн!ao355-[2]грн!an355-[2]грн!am355-[2]грн!al355-[2]грн!aj355-[2]грн!ai355-[2]грн!ah355-[2]грн!ag355-[2]грн!af355-[2]грн!ad355-[2]грн!ac355-[2]грн!ab355-[2]грн!aa355-[2]грн!z355-[2]грн!x355-[2]грн!w355-[2]грн!v355-[2]грн!u355-[2]грн!t355-[2]грн!r355-[2]грн!q355-[2]грн!p355-[2]грн!o355-[2]грн!n355-[2]грн!l355-[2]грн!k355-[2]грн!j355-[2]грн!i355-[2]грн!h355+[2]грн!g355+[2]грн!m355+[2]грн!s355+[2]грн!y355+[2]грн!ae355+[2]грн!ak355</f>
        <v>10</v>
      </c>
      <c r="E355" s="19" t="n">
        <f aca="false">[2]грн!as355*1.07</f>
        <v>1070</v>
      </c>
    </row>
    <row r="356" customFormat="false" ht="15" hidden="false" customHeight="false" outlineLevel="0" collapsed="false">
      <c r="A356" s="23" t="s">
        <v>242</v>
      </c>
      <c r="B356" s="24" t="s">
        <v>200</v>
      </c>
      <c r="C356" s="24" t="s">
        <v>244</v>
      </c>
      <c r="D356" s="15" t="n">
        <f aca="false">[2]грн!f356-[2]грн!aq356-[2]грн!ap356-[2]грн!ao356-[2]грн!an356-[2]грн!am356-[2]грн!al356-[2]грн!aj356-[2]грн!ai356-[2]грн!ah356-[2]грн!ag356-[2]грн!af356-[2]грн!ad356-[2]грн!ac356-[2]грн!ab356-[2]грн!aa356-[2]грн!z356-[2]грн!x356-[2]грн!w356-[2]грн!v356-[2]грн!u356-[2]грн!t356-[2]грн!r356-[2]грн!q356-[2]грн!p356-[2]грн!o356-[2]грн!n356-[2]грн!l356-[2]грн!k356-[2]грн!j356-[2]грн!i356-[2]грн!h356+[2]грн!g356+[2]грн!m356+[2]грн!s356+[2]грн!y356+[2]грн!ae356+[2]грн!ak356</f>
        <v>16</v>
      </c>
      <c r="E356" s="19" t="n">
        <f aca="false">[2]грн!as356*1.07</f>
        <v>1669.2</v>
      </c>
    </row>
    <row r="357" customFormat="false" ht="15" hidden="false" customHeight="false" outlineLevel="0" collapsed="false">
      <c r="A357" s="23" t="s">
        <v>242</v>
      </c>
      <c r="B357" s="24" t="s">
        <v>14</v>
      </c>
      <c r="C357" s="24" t="s">
        <v>245</v>
      </c>
      <c r="D357" s="15" t="n">
        <f aca="false">[2]грн!f357-[2]грн!aq357-[2]грн!ap357-[2]грн!ao357-[2]грн!an357-[2]грн!am357-[2]грн!al357-[2]грн!aj357-[2]грн!ai357-[2]грн!ah357-[2]грн!ag357-[2]грн!af357-[2]грн!ad357-[2]грн!ac357-[2]грн!ab357-[2]грн!aa357-[2]грн!z357-[2]грн!x357-[2]грн!w357-[2]грн!v357-[2]грн!u357-[2]грн!t357-[2]грн!r357-[2]грн!q357-[2]грн!p357-[2]грн!o357-[2]грн!n357-[2]грн!l357-[2]грн!k357-[2]грн!j357-[2]грн!i357-[2]грн!h357+[2]грн!g357+[2]грн!m357+[2]грн!s357+[2]грн!y357+[2]грн!ae357+[2]грн!ak357</f>
        <v>16</v>
      </c>
      <c r="E357" s="19" t="n">
        <f aca="false">[2]грн!as357*1.07</f>
        <v>1829.7</v>
      </c>
    </row>
    <row r="358" customFormat="false" ht="15" hidden="true" customHeight="false" outlineLevel="0" collapsed="false">
      <c r="A358" s="17" t="s">
        <v>246</v>
      </c>
      <c r="B358" s="27" t="s">
        <v>17</v>
      </c>
      <c r="C358" s="27" t="s">
        <v>160</v>
      </c>
      <c r="D358" s="15" t="n">
        <f aca="false">[2]грн!f358-[2]грн!aq358-[2]грн!ap358-[2]грн!ao358-[2]грн!an358-[2]грн!am358-[2]грн!al358-[2]грн!aj358-[2]грн!ai358-[2]грн!ah358-[2]грн!ag358-[2]грн!af358-[2]грн!ad358-[2]грн!ac358-[2]грн!ab358-[2]грн!aa358-[2]грн!z358-[2]грн!x358-[2]грн!w358-[2]грн!v358-[2]грн!u358-[2]грн!t358-[2]грн!r358-[2]грн!q358-[2]грн!p358-[2]грн!o358-[2]грн!n358-[2]грн!l358-[2]грн!k358-[2]грн!j358-[2]грн!i358-[2]грн!h358+[2]грн!g358+[2]грн!m358+[2]грн!s358+[2]грн!y358+[2]грн!ae358+[2]грн!ak358</f>
        <v>0</v>
      </c>
      <c r="E358" s="19" t="n">
        <f aca="false">[2]грн!as358*1.07</f>
        <v>1177</v>
      </c>
    </row>
    <row r="359" customFormat="false" ht="15" hidden="true" customHeight="false" outlineLevel="0" collapsed="false">
      <c r="A359" s="23" t="s">
        <v>246</v>
      </c>
      <c r="B359" s="24" t="s">
        <v>17</v>
      </c>
      <c r="C359" s="24" t="s">
        <v>134</v>
      </c>
      <c r="D359" s="15" t="n">
        <f aca="false">[2]грн!f359-[2]грн!aq359-[2]грн!ap359-[2]грн!ao359-[2]грн!an359-[2]грн!am359-[2]грн!al359-[2]грн!aj359-[2]грн!ai359-[2]грн!ah359-[2]грн!ag359-[2]грн!af359-[2]грн!ad359-[2]грн!ac359-[2]грн!ab359-[2]грн!aa359-[2]грн!z359-[2]грн!x359-[2]грн!w359-[2]грн!v359-[2]грн!u359-[2]грн!t359-[2]грн!r359-[2]грн!q359-[2]грн!p359-[2]грн!o359-[2]грн!n359-[2]грн!l359-[2]грн!k359-[2]грн!j359-[2]грн!i359-[2]грн!h359+[2]грн!g359+[2]грн!m359+[2]грн!s359+[2]грн!y359+[2]грн!ae359+[2]грн!ak359</f>
        <v>0</v>
      </c>
      <c r="E359" s="19" t="n">
        <f aca="false">[2]грн!as359*1.07</f>
        <v>1123.5</v>
      </c>
    </row>
    <row r="360" customFormat="false" ht="15" hidden="false" customHeight="false" outlineLevel="0" collapsed="false">
      <c r="A360" s="23" t="s">
        <v>246</v>
      </c>
      <c r="B360" s="24" t="s">
        <v>10</v>
      </c>
      <c r="C360" s="24" t="s">
        <v>71</v>
      </c>
      <c r="D360" s="15" t="n">
        <f aca="false">[2]грн!f360-[2]грн!aq360-[2]грн!ap360-[2]грн!ao360-[2]грн!an360-[2]грн!am360-[2]грн!al360-[2]грн!aj360-[2]грн!ai360-[2]грн!ah360-[2]грн!ag360-[2]грн!af360-[2]грн!ad360-[2]грн!ac360-[2]грн!ab360-[2]грн!aa360-[2]грн!z360-[2]грн!x360-[2]грн!w360-[2]грн!v360-[2]грн!u360-[2]грн!t360-[2]грн!r360-[2]грн!q360-[2]грн!p360-[2]грн!o360-[2]грн!n360-[2]грн!l360-[2]грн!k360-[2]грн!j360-[2]грн!i360-[2]грн!h360+[2]грн!g360+[2]грн!m360+[2]грн!s360+[2]грн!y360+[2]грн!ae360+[2]грн!ak360</f>
        <v>4</v>
      </c>
      <c r="E360" s="19" t="n">
        <f aca="false">[2]грн!as360*1.07</f>
        <v>1070</v>
      </c>
    </row>
    <row r="361" customFormat="false" ht="15" hidden="false" customHeight="false" outlineLevel="0" collapsed="false">
      <c r="A361" s="23" t="s">
        <v>246</v>
      </c>
      <c r="B361" s="24" t="s">
        <v>14</v>
      </c>
      <c r="C361" s="24" t="s">
        <v>60</v>
      </c>
      <c r="D361" s="15" t="n">
        <f aca="false">[2]грн!f361-[2]грн!aq361-[2]грн!ap361-[2]грн!ao361-[2]грн!an361-[2]грн!am361-[2]грн!al361-[2]грн!aj361-[2]грн!ai361-[2]грн!ah361-[2]грн!ag361-[2]грн!af361-[2]грн!ad361-[2]грн!ac361-[2]грн!ab361-[2]грн!aa361-[2]грн!z361-[2]грн!x361-[2]грн!w361-[2]грн!v361-[2]грн!u361-[2]грн!t361-[2]грн!r361-[2]грн!q361-[2]грн!p361-[2]грн!o361-[2]грн!n361-[2]грн!l361-[2]грн!k361-[2]грн!j361-[2]грн!i361-[2]грн!h361+[2]грн!g361+[2]грн!m361+[2]грн!s361+[2]грн!y361+[2]грн!ae361+[2]грн!ak361</f>
        <v>4</v>
      </c>
      <c r="E361" s="19" t="n">
        <f aca="false">[2]грн!as361*1.07</f>
        <v>1337.5</v>
      </c>
    </row>
    <row r="362" customFormat="false" ht="15" hidden="false" customHeight="false" outlineLevel="0" collapsed="false">
      <c r="A362" s="17" t="s">
        <v>246</v>
      </c>
      <c r="B362" s="18" t="s">
        <v>10</v>
      </c>
      <c r="C362" s="18" t="s">
        <v>80</v>
      </c>
      <c r="D362" s="15" t="n">
        <f aca="false">[2]грн!f362-[2]грн!aq362-[2]грн!ap362-[2]грн!ao362-[2]грн!an362-[2]грн!am362-[2]грн!al362-[2]грн!aj362-[2]грн!ai362-[2]грн!ah362-[2]грн!ag362-[2]грн!af362-[2]грн!ad362-[2]грн!ac362-[2]грн!ab362-[2]грн!aa362-[2]грн!z362-[2]грн!x362-[2]грн!w362-[2]грн!v362-[2]грн!u362-[2]грн!t362-[2]грн!r362-[2]грн!q362-[2]грн!p362-[2]грн!o362-[2]грн!n362-[2]грн!l362-[2]грн!k362-[2]грн!j362-[2]грн!i362-[2]грн!h362+[2]грн!g362+[2]грн!m362+[2]грн!s362+[2]грн!y362+[2]грн!ae362+[2]грн!ak362</f>
        <v>1</v>
      </c>
      <c r="E362" s="19" t="n">
        <f aca="false">[2]грн!as362*1.07</f>
        <v>1080.7</v>
      </c>
    </row>
    <row r="363" customFormat="false" ht="15" hidden="false" customHeight="false" outlineLevel="0" collapsed="false">
      <c r="A363" s="23" t="s">
        <v>247</v>
      </c>
      <c r="B363" s="24" t="s">
        <v>20</v>
      </c>
      <c r="C363" s="24" t="s">
        <v>248</v>
      </c>
      <c r="D363" s="15" t="n">
        <f aca="false">[2]грн!f363-[2]грн!aq363-[2]грн!ap363-[2]грн!ao363-[2]грн!an363-[2]грн!am363-[2]грн!al363-[2]грн!aj363-[2]грн!ai363-[2]грн!ah363-[2]грн!ag363-[2]грн!af363-[2]грн!ad363-[2]грн!ac363-[2]грн!ab363-[2]грн!aa363-[2]грн!z363-[2]грн!x363-[2]грн!w363-[2]грн!v363-[2]грн!u363-[2]грн!t363-[2]грн!r363-[2]грн!q363-[2]грн!p363-[2]грн!o363-[2]грн!n363-[2]грн!l363-[2]грн!k363-[2]грн!j363-[2]грн!i363-[2]грн!h363+[2]грн!g363+[2]грн!m363+[2]грн!s363+[2]грн!y363+[2]грн!ae363+[2]грн!ak363</f>
        <v>2</v>
      </c>
      <c r="E363" s="19" t="n">
        <f aca="false">[2]грн!as363*1.07</f>
        <v>1471.25</v>
      </c>
    </row>
    <row r="364" customFormat="false" ht="15" hidden="false" customHeight="false" outlineLevel="0" collapsed="false">
      <c r="A364" s="17" t="s">
        <v>247</v>
      </c>
      <c r="B364" s="27" t="s">
        <v>20</v>
      </c>
      <c r="C364" s="18" t="s">
        <v>249</v>
      </c>
      <c r="D364" s="15" t="n">
        <f aca="false">[2]грн!f364-[2]грн!aq364-[2]грн!ap364-[2]грн!ao364-[2]грн!an364-[2]грн!am364-[2]грн!al364-[2]грн!aj364-[2]грн!ai364-[2]грн!ah364-[2]грн!ag364-[2]грн!af364-[2]грн!ad364-[2]грн!ac364-[2]грн!ab364-[2]грн!aa364-[2]грн!z364-[2]грн!x364-[2]грн!w364-[2]грн!v364-[2]грн!u364-[2]грн!t364-[2]грн!r364-[2]грн!q364-[2]грн!p364-[2]грн!o364-[2]грн!n364-[2]грн!l364-[2]грн!k364-[2]грн!j364-[2]грн!i364-[2]грн!h364+[2]грн!g364+[2]грн!m364+[2]грн!s364+[2]грн!y364+[2]грн!ae364+[2]грн!ak364</f>
        <v>12</v>
      </c>
      <c r="E364" s="19" t="n">
        <f aca="false">[2]грн!as364*1.07</f>
        <v>1177</v>
      </c>
    </row>
    <row r="365" customFormat="false" ht="15" hidden="false" customHeight="false" outlineLevel="0" collapsed="false">
      <c r="A365" s="23" t="s">
        <v>247</v>
      </c>
      <c r="B365" s="24" t="s">
        <v>20</v>
      </c>
      <c r="C365" s="24" t="s">
        <v>250</v>
      </c>
      <c r="D365" s="15" t="n">
        <f aca="false">[2]грн!f365-[2]грн!aq365-[2]грн!ap365-[2]грн!ao365-[2]грн!an365-[2]грн!am365-[2]грн!al365-[2]грн!aj365-[2]грн!ai365-[2]грн!ah365-[2]грн!ag365-[2]грн!af365-[2]грн!ad365-[2]грн!ac365-[2]грн!ab365-[2]грн!aa365-[2]грн!z365-[2]грн!x365-[2]грн!w365-[2]грн!v365-[2]грн!u365-[2]грн!t365-[2]грн!r365-[2]грн!q365-[2]грн!p365-[2]грн!o365-[2]грн!n365-[2]грн!l365-[2]грн!k365-[2]грн!j365-[2]грн!i365-[2]грн!h365+[2]грн!g365+[2]грн!m365+[2]грн!s365+[2]грн!y365+[2]грн!ae365+[2]грн!ak365</f>
        <v>2</v>
      </c>
      <c r="E365" s="19" t="n">
        <f aca="false">[2]грн!as365*1.07</f>
        <v>1471.25</v>
      </c>
    </row>
    <row r="366" customFormat="false" ht="15" hidden="true" customHeight="false" outlineLevel="0" collapsed="false">
      <c r="A366" s="17" t="s">
        <v>247</v>
      </c>
      <c r="B366" s="18" t="s">
        <v>17</v>
      </c>
      <c r="C366" s="18" t="s">
        <v>87</v>
      </c>
      <c r="D366" s="15" t="n">
        <f aca="false">[2]грн!f366-[2]грн!aq366-[2]грн!ap366-[2]грн!ao366-[2]грн!an366-[2]грн!am366-[2]грн!al366-[2]грн!aj366-[2]грн!ai366-[2]грн!ah366-[2]грн!ag366-[2]грн!af366-[2]грн!ad366-[2]грн!ac366-[2]грн!ab366-[2]грн!aa366-[2]грн!z366-[2]грн!x366-[2]грн!w366-[2]грн!v366-[2]грн!u366-[2]грн!t366-[2]грн!r366-[2]грн!q366-[2]грн!p366-[2]грн!o366-[2]грн!n366-[2]грн!l366-[2]грн!k366-[2]грн!j366-[2]грн!i366-[2]грн!h366+[2]грн!g366+[2]грн!m366+[2]грн!s366+[2]грн!y366+[2]грн!ae366+[2]грн!ak366</f>
        <v>0</v>
      </c>
      <c r="E366" s="19" t="n">
        <f aca="false">[2]грн!as366*1.07</f>
        <v>1177</v>
      </c>
    </row>
    <row r="367" customFormat="false" ht="15" hidden="true" customHeight="false" outlineLevel="0" collapsed="false">
      <c r="A367" s="23" t="s">
        <v>247</v>
      </c>
      <c r="B367" s="24" t="s">
        <v>17</v>
      </c>
      <c r="C367" s="24" t="s">
        <v>156</v>
      </c>
      <c r="D367" s="15" t="n">
        <f aca="false">[2]грн!f367-[2]грн!aq367-[2]грн!ap367-[2]грн!ao367-[2]грн!an367-[2]грн!am367-[2]грн!al367-[2]грн!aj367-[2]грн!ai367-[2]грн!ah367-[2]грн!ag367-[2]грн!af367-[2]грн!ad367-[2]грн!ac367-[2]грн!ab367-[2]грн!aa367-[2]грн!z367-[2]грн!x367-[2]грн!w367-[2]грн!v367-[2]грн!u367-[2]грн!t367-[2]грн!r367-[2]грн!q367-[2]грн!p367-[2]грн!o367-[2]грн!n367-[2]грн!l367-[2]грн!k367-[2]грн!j367-[2]грн!i367-[2]грн!h367+[2]грн!g367+[2]грн!m367+[2]грн!s367+[2]грн!y367+[2]грн!ae367+[2]грн!ak367</f>
        <v>0</v>
      </c>
      <c r="E367" s="19" t="n">
        <f aca="false">[2]грн!as367*1.07</f>
        <v>1241.2</v>
      </c>
    </row>
    <row r="368" customFormat="false" ht="15" hidden="false" customHeight="false" outlineLevel="0" collapsed="false">
      <c r="A368" s="17" t="s">
        <v>247</v>
      </c>
      <c r="B368" s="18" t="s">
        <v>10</v>
      </c>
      <c r="C368" s="18" t="s">
        <v>80</v>
      </c>
      <c r="D368" s="15" t="n">
        <f aca="false">[2]грн!f368-[2]грн!aq368-[2]грн!ap368-[2]грн!ao368-[2]грн!an368-[2]грн!am368-[2]грн!al368-[2]грн!aj368-[2]грн!ai368-[2]грн!ah368-[2]грн!ag368-[2]грн!af368-[2]грн!ad368-[2]грн!ac368-[2]грн!ab368-[2]грн!aa368-[2]грн!z368-[2]грн!x368-[2]грн!w368-[2]грн!v368-[2]грн!u368-[2]грн!t368-[2]грн!r368-[2]грн!q368-[2]грн!p368-[2]грн!o368-[2]грн!n368-[2]грн!l368-[2]грн!k368-[2]грн!j368-[2]грн!i368-[2]грн!h368+[2]грн!g368+[2]грн!m368+[2]грн!s368+[2]грн!y368+[2]грн!ae368+[2]грн!ak368</f>
        <v>2</v>
      </c>
      <c r="E368" s="19" t="n">
        <f aca="false">[2]грн!as368*1.07</f>
        <v>1091.4</v>
      </c>
    </row>
    <row r="369" customFormat="false" ht="15" hidden="true" customHeight="false" outlineLevel="0" collapsed="false">
      <c r="A369" s="17" t="s">
        <v>247</v>
      </c>
      <c r="B369" s="18" t="s">
        <v>10</v>
      </c>
      <c r="C369" s="18" t="s">
        <v>65</v>
      </c>
      <c r="D369" s="15" t="n">
        <f aca="false">[2]грн!f369-[2]грн!aq369-[2]грн!ap369-[2]грн!ao369-[2]грн!an369-[2]грн!am369-[2]грн!al369-[2]грн!aj369-[2]грн!ai369-[2]грн!ah369-[2]грн!ag369-[2]грн!af369-[2]грн!ad369-[2]грн!ac369-[2]грн!ab369-[2]грн!aa369-[2]грн!z369-[2]грн!x369-[2]грн!w369-[2]грн!v369-[2]грн!u369-[2]грн!t369-[2]грн!r369-[2]грн!q369-[2]грн!p369-[2]грн!o369-[2]грн!n369-[2]грн!l369-[2]грн!k369-[2]грн!j369-[2]грн!i369-[2]грн!h369+[2]грн!g369+[2]грн!m369+[2]грн!s369+[2]грн!y369+[2]грн!ae369+[2]грн!ak369</f>
        <v>0</v>
      </c>
      <c r="E369" s="19" t="n">
        <f aca="false">[2]грн!as369*1.07</f>
        <v>1102.1</v>
      </c>
    </row>
    <row r="370" customFormat="false" ht="15" hidden="false" customHeight="false" outlineLevel="0" collapsed="false">
      <c r="A370" s="17" t="s">
        <v>247</v>
      </c>
      <c r="B370" s="18" t="s">
        <v>10</v>
      </c>
      <c r="C370" s="18" t="s">
        <v>180</v>
      </c>
      <c r="D370" s="15" t="n">
        <f aca="false">[2]грн!f370-[2]грн!aq370-[2]грн!ap370-[2]грн!ao370-[2]грн!an370-[2]грн!am370-[2]грн!al370-[2]грн!aj370-[2]грн!ai370-[2]грн!ah370-[2]грн!ag370-[2]грн!af370-[2]грн!ad370-[2]грн!ac370-[2]грн!ab370-[2]грн!aa370-[2]грн!z370-[2]грн!x370-[2]грн!w370-[2]грн!v370-[2]грн!u370-[2]грн!t370-[2]грн!r370-[2]грн!q370-[2]грн!p370-[2]грн!o370-[2]грн!n370-[2]грн!l370-[2]грн!k370-[2]грн!j370-[2]грн!i370-[2]грн!h370+[2]грн!g370+[2]грн!m370+[2]грн!s370+[2]грн!y370+[2]грн!ae370+[2]грн!ak370</f>
        <v>4</v>
      </c>
      <c r="E370" s="19" t="n">
        <f aca="false">[2]грн!as370*1.07</f>
        <v>1070</v>
      </c>
    </row>
    <row r="371" customFormat="false" ht="15" hidden="false" customHeight="false" outlineLevel="0" collapsed="false">
      <c r="A371" s="23" t="s">
        <v>247</v>
      </c>
      <c r="B371" s="24" t="s">
        <v>10</v>
      </c>
      <c r="C371" s="24" t="s">
        <v>71</v>
      </c>
      <c r="D371" s="15" t="n">
        <f aca="false">[2]грн!f371-[2]грн!aq371-[2]грн!ap371-[2]грн!ao371-[2]грн!an371-[2]грн!am371-[2]грн!al371-[2]грн!aj371-[2]грн!ai371-[2]грн!ah371-[2]грн!ag371-[2]грн!af371-[2]грн!ad371-[2]грн!ac371-[2]грн!ab371-[2]грн!aa371-[2]грн!z371-[2]грн!x371-[2]грн!w371-[2]грн!v371-[2]грн!u371-[2]грн!t371-[2]грн!r371-[2]грн!q371-[2]грн!p371-[2]грн!o371-[2]грн!n371-[2]грн!l371-[2]грн!k371-[2]грн!j371-[2]грн!i371-[2]грн!h371+[2]грн!g371+[2]грн!m371+[2]грн!s371+[2]грн!y371+[2]грн!ae371+[2]грн!ak371</f>
        <v>12</v>
      </c>
      <c r="E371" s="19" t="n">
        <f aca="false">[2]грн!as371*1.07</f>
        <v>1048.6</v>
      </c>
    </row>
    <row r="372" customFormat="false" ht="15" hidden="false" customHeight="false" outlineLevel="0" collapsed="false">
      <c r="A372" s="23" t="s">
        <v>247</v>
      </c>
      <c r="B372" s="24" t="s">
        <v>10</v>
      </c>
      <c r="C372" s="24" t="s">
        <v>69</v>
      </c>
      <c r="D372" s="15" t="n">
        <f aca="false">[2]грн!f372-[2]грн!aq372-[2]грн!ap372-[2]грн!ao372-[2]грн!an372-[2]грн!am372-[2]грн!al372-[2]грн!aj372-[2]грн!ai372-[2]грн!ah372-[2]грн!ag372-[2]грн!af372-[2]грн!ad372-[2]грн!ac372-[2]грн!ab372-[2]грн!aa372-[2]грн!z372-[2]грн!x372-[2]грн!w372-[2]грн!v372-[2]грн!u372-[2]грн!t372-[2]грн!r372-[2]грн!q372-[2]грн!p372-[2]грн!o372-[2]грн!n372-[2]грн!l372-[2]грн!k372-[2]грн!j372-[2]грн!i372-[2]грн!h372+[2]грн!g372+[2]грн!m372+[2]грн!s372+[2]грн!y372+[2]грн!ae372+[2]грн!ak372</f>
        <v>16</v>
      </c>
      <c r="E372" s="19" t="n">
        <f aca="false">[2]грн!as372*1.07</f>
        <v>1059.3</v>
      </c>
    </row>
    <row r="373" customFormat="false" ht="15" hidden="true" customHeight="false" outlineLevel="0" collapsed="false">
      <c r="A373" s="49" t="s">
        <v>251</v>
      </c>
      <c r="B373" s="27" t="s">
        <v>20</v>
      </c>
      <c r="C373" s="51" t="s">
        <v>252</v>
      </c>
      <c r="D373" s="15" t="n">
        <f aca="false">[2]грн!f373-[2]грн!aq373-[2]грн!ap373-[2]грн!ao373-[2]грн!an373-[2]грн!am373-[2]грн!al373-[2]грн!aj373-[2]грн!ai373-[2]грн!ah373-[2]грн!ag373-[2]грн!af373-[2]грн!ad373-[2]грн!ac373-[2]грн!ab373-[2]грн!aa373-[2]грн!z373-[2]грн!x373-[2]грн!w373-[2]грн!v373-[2]грн!u373-[2]грн!t373-[2]грн!r373-[2]грн!q373-[2]грн!p373-[2]грн!o373-[2]грн!n373-[2]грн!l373-[2]грн!k373-[2]грн!j373-[2]грн!i373-[2]грн!h373+[2]грн!g373+[2]грн!m373+[2]грн!s373+[2]грн!y373+[2]грн!ae373+[2]грн!ak373</f>
        <v>0</v>
      </c>
      <c r="E373" s="19" t="n">
        <f aca="false">[2]грн!as373*1.07</f>
        <v>1444.5</v>
      </c>
    </row>
    <row r="374" customFormat="false" ht="15" hidden="false" customHeight="false" outlineLevel="0" collapsed="false">
      <c r="A374" s="49" t="s">
        <v>251</v>
      </c>
      <c r="B374" s="27" t="s">
        <v>20</v>
      </c>
      <c r="C374" s="51" t="s">
        <v>253</v>
      </c>
      <c r="D374" s="15" t="n">
        <f aca="false">[2]грн!f374-[2]грн!aq374-[2]грн!ap374-[2]грн!ao374-[2]грн!an374-[2]грн!am374-[2]грн!al374-[2]грн!aj374-[2]грн!ai374-[2]грн!ah374-[2]грн!ag374-[2]грн!af374-[2]грн!ad374-[2]грн!ac374-[2]грн!ab374-[2]грн!aa374-[2]грн!z374-[2]грн!x374-[2]грн!w374-[2]грн!v374-[2]грн!u374-[2]грн!t374-[2]грн!r374-[2]грн!q374-[2]грн!p374-[2]грн!o374-[2]грн!n374-[2]грн!l374-[2]грн!k374-[2]грн!j374-[2]грн!i374-[2]грн!h374+[2]грн!g374+[2]грн!m374+[2]грн!s374+[2]грн!y374+[2]грн!ae374+[2]грн!ak374</f>
        <v>12</v>
      </c>
      <c r="E374" s="19" t="n">
        <f aca="false">[2]грн!as374*1.07</f>
        <v>1444.5</v>
      </c>
    </row>
    <row r="375" customFormat="false" ht="15" hidden="false" customHeight="false" outlineLevel="0" collapsed="false">
      <c r="A375" s="23" t="s">
        <v>251</v>
      </c>
      <c r="B375" s="24" t="s">
        <v>20</v>
      </c>
      <c r="C375" s="39" t="s">
        <v>254</v>
      </c>
      <c r="D375" s="15" t="n">
        <f aca="false">[2]грн!f375-[2]грн!aq375-[2]грн!ap375-[2]грн!ao375-[2]грн!an375-[2]грн!am375-[2]грн!al375-[2]грн!aj375-[2]грн!ai375-[2]грн!ah375-[2]грн!ag375-[2]грн!af375-[2]грн!ad375-[2]грн!ac375-[2]грн!ab375-[2]грн!aa375-[2]грн!z375-[2]грн!x375-[2]грн!w375-[2]грн!v375-[2]грн!u375-[2]грн!t375-[2]грн!r375-[2]грн!q375-[2]грн!p375-[2]грн!o375-[2]грн!n375-[2]грн!l375-[2]грн!k375-[2]грн!j375-[2]грн!i375-[2]грн!h375+[2]грн!g375+[2]грн!m375+[2]грн!s375+[2]грн!y375+[2]грн!ae375+[2]грн!ak375</f>
        <v>16</v>
      </c>
      <c r="E375" s="19" t="n">
        <f aca="false">[2]грн!as375*1.07</f>
        <v>1498</v>
      </c>
    </row>
    <row r="376" customFormat="false" ht="15" hidden="false" customHeight="false" outlineLevel="0" collapsed="false">
      <c r="A376" s="23" t="s">
        <v>251</v>
      </c>
      <c r="B376" s="38" t="s">
        <v>17</v>
      </c>
      <c r="C376" s="39" t="s">
        <v>23</v>
      </c>
      <c r="D376" s="15" t="n">
        <f aca="false">[2]грн!f376-[2]грн!aq376-[2]грн!ap376-[2]грн!ao376-[2]грн!an376-[2]грн!am376-[2]грн!al376-[2]грн!aj376-[2]грн!ai376-[2]грн!ah376-[2]грн!ag376-[2]грн!af376-[2]грн!ad376-[2]грн!ac376-[2]грн!ab376-[2]грн!aa376-[2]грн!z376-[2]грн!x376-[2]грн!w376-[2]грн!v376-[2]грн!u376-[2]грн!t376-[2]грн!r376-[2]грн!q376-[2]грн!p376-[2]грн!o376-[2]грн!n376-[2]грн!l376-[2]грн!k376-[2]грн!j376-[2]грн!i376-[2]грн!h376+[2]грн!g376+[2]грн!m376+[2]грн!s376+[2]грн!y376+[2]грн!ae376+[2]грн!ak376</f>
        <v>4</v>
      </c>
      <c r="E376" s="19" t="n">
        <f aca="false">[2]грн!as376*1.07</f>
        <v>1583.6</v>
      </c>
    </row>
    <row r="377" customFormat="false" ht="15" hidden="false" customHeight="false" outlineLevel="0" collapsed="false">
      <c r="A377" s="23" t="s">
        <v>251</v>
      </c>
      <c r="B377" s="38" t="s">
        <v>17</v>
      </c>
      <c r="C377" s="39" t="s">
        <v>54</v>
      </c>
      <c r="D377" s="15" t="n">
        <f aca="false">[2]грн!f377-[2]грн!aq377-[2]грн!ap377-[2]грн!ao377-[2]грн!an377-[2]грн!am377-[2]грн!al377-[2]грн!aj377-[2]грн!ai377-[2]грн!ah377-[2]грн!ag377-[2]грн!af377-[2]грн!ad377-[2]грн!ac377-[2]грн!ab377-[2]грн!aa377-[2]грн!z377-[2]грн!x377-[2]грн!w377-[2]грн!v377-[2]грн!u377-[2]грн!t377-[2]грн!r377-[2]грн!q377-[2]грн!p377-[2]грн!o377-[2]грн!n377-[2]грн!l377-[2]грн!k377-[2]грн!j377-[2]грн!i377-[2]грн!h377+[2]грн!g377+[2]грн!m377+[2]грн!s377+[2]грн!y377+[2]грн!ae377+[2]грн!ak377</f>
        <v>8</v>
      </c>
      <c r="E377" s="19" t="n">
        <f aca="false">[2]грн!as377*1.07</f>
        <v>1712</v>
      </c>
    </row>
    <row r="378" customFormat="false" ht="15" hidden="false" customHeight="false" outlineLevel="0" collapsed="false">
      <c r="A378" s="23" t="s">
        <v>251</v>
      </c>
      <c r="B378" s="38" t="s">
        <v>17</v>
      </c>
      <c r="C378" s="39" t="s">
        <v>52</v>
      </c>
      <c r="D378" s="15" t="n">
        <f aca="false">[2]грн!f378-[2]грн!aq378-[2]грн!ap378-[2]грн!ao378-[2]грн!an378-[2]грн!am378-[2]грн!al378-[2]грн!aj378-[2]грн!ai378-[2]грн!ah378-[2]грн!ag378-[2]грн!af378-[2]грн!ad378-[2]грн!ac378-[2]грн!ab378-[2]грн!aa378-[2]грн!z378-[2]грн!x378-[2]грн!w378-[2]грн!v378-[2]грн!u378-[2]грн!t378-[2]грн!r378-[2]грн!q378-[2]грн!p378-[2]грн!o378-[2]грн!n378-[2]грн!l378-[2]грн!k378-[2]грн!j378-[2]грн!i378-[2]грн!h378+[2]грн!g378+[2]грн!m378+[2]грн!s378+[2]грн!y378+[2]грн!ae378+[2]грн!ak378</f>
        <v>36</v>
      </c>
      <c r="E378" s="19" t="n">
        <f aca="false">[2]грн!as378*1.07</f>
        <v>1551.5</v>
      </c>
    </row>
    <row r="379" customFormat="false" ht="15" hidden="false" customHeight="false" outlineLevel="0" collapsed="false">
      <c r="A379" s="23" t="s">
        <v>251</v>
      </c>
      <c r="B379" s="24" t="s">
        <v>200</v>
      </c>
      <c r="C379" s="24" t="s">
        <v>255</v>
      </c>
      <c r="D379" s="15" t="n">
        <f aca="false">[2]грн!f379-[2]грн!aq379-[2]грн!ap379-[2]грн!ao379-[2]грн!an379-[2]грн!am379-[2]грн!al379-[2]грн!aj379-[2]грн!ai379-[2]грн!ah379-[2]грн!ag379-[2]грн!af379-[2]грн!ad379-[2]грн!ac379-[2]грн!ab379-[2]грн!aa379-[2]грн!z379-[2]грн!x379-[2]грн!w379-[2]грн!v379-[2]грн!u379-[2]грн!t379-[2]грн!r379-[2]грн!q379-[2]грн!p379-[2]грн!o379-[2]грн!n379-[2]грн!l379-[2]грн!k379-[2]грн!j379-[2]грн!i379-[2]грн!h379+[2]грн!g379+[2]грн!m379+[2]грн!s379+[2]грн!y379+[2]грн!ae379+[2]грн!ak379</f>
        <v>4</v>
      </c>
      <c r="E379" s="19" t="n">
        <f aca="false">[2]грн!as379*1.07</f>
        <v>1819</v>
      </c>
    </row>
    <row r="380" customFormat="false" ht="15" hidden="false" customHeight="false" outlineLevel="0" collapsed="false">
      <c r="A380" s="23" t="s">
        <v>251</v>
      </c>
      <c r="B380" s="24" t="s">
        <v>10</v>
      </c>
      <c r="C380" s="24" t="s">
        <v>69</v>
      </c>
      <c r="D380" s="15" t="n">
        <f aca="false">[2]грн!f380-[2]грн!aq380-[2]грн!ap380-[2]грн!ao380-[2]грн!an380-[2]грн!am380-[2]грн!al380-[2]грн!aj380-[2]грн!ai380-[2]грн!ah380-[2]грн!ag380-[2]грн!af380-[2]грн!ad380-[2]грн!ac380-[2]грн!ab380-[2]грн!aa380-[2]грн!z380-[2]грн!x380-[2]грн!w380-[2]грн!v380-[2]грн!u380-[2]грн!t380-[2]грн!r380-[2]грн!q380-[2]грн!p380-[2]грн!o380-[2]грн!n380-[2]грн!l380-[2]грн!k380-[2]грн!j380-[2]грн!i380-[2]грн!h380+[2]грн!g380+[2]грн!m380+[2]грн!s380+[2]грн!y380+[2]грн!ae380+[2]грн!ak380</f>
        <v>19</v>
      </c>
      <c r="E380" s="19" t="n">
        <f aca="false">[2]грн!as380*1.07</f>
        <v>1177</v>
      </c>
    </row>
    <row r="381" customFormat="false" ht="15" hidden="false" customHeight="false" outlineLevel="0" collapsed="false">
      <c r="A381" s="23" t="s">
        <v>251</v>
      </c>
      <c r="B381" s="24" t="s">
        <v>10</v>
      </c>
      <c r="C381" s="24" t="s">
        <v>71</v>
      </c>
      <c r="D381" s="15" t="n">
        <f aca="false">[2]грн!f381-[2]грн!aq381-[2]грн!ap381-[2]грн!ao381-[2]грн!an381-[2]грн!am381-[2]грн!al381-[2]грн!aj381-[2]грн!ai381-[2]грн!ah381-[2]грн!ag381-[2]грн!af381-[2]грн!ad381-[2]грн!ac381-[2]грн!ab381-[2]грн!aa381-[2]грн!z381-[2]грн!x381-[2]грн!w381-[2]грн!v381-[2]грн!u381-[2]грн!t381-[2]грн!r381-[2]грн!q381-[2]грн!p381-[2]грн!o381-[2]грн!n381-[2]грн!l381-[2]грн!k381-[2]грн!j381-[2]грн!i381-[2]грн!h381+[2]грн!g381+[2]грн!m381+[2]грн!s381+[2]грн!y381+[2]грн!ae381+[2]грн!ak381</f>
        <v>22</v>
      </c>
      <c r="E381" s="19" t="n">
        <f aca="false">[2]грн!as381*1.07</f>
        <v>1144.9</v>
      </c>
    </row>
    <row r="382" customFormat="false" ht="15" hidden="false" customHeight="false" outlineLevel="0" collapsed="false">
      <c r="A382" s="49" t="s">
        <v>251</v>
      </c>
      <c r="B382" s="27" t="s">
        <v>10</v>
      </c>
      <c r="C382" s="27" t="s">
        <v>80</v>
      </c>
      <c r="D382" s="15" t="n">
        <f aca="false">[2]грн!f382-[2]грн!aq382-[2]грн!ap382-[2]грн!ao382-[2]грн!an382-[2]грн!am382-[2]грн!al382-[2]грн!aj382-[2]грн!ai382-[2]грн!ah382-[2]грн!ag382-[2]грн!af382-[2]грн!ad382-[2]грн!ac382-[2]грн!ab382-[2]грн!aa382-[2]грн!z382-[2]грн!x382-[2]грн!w382-[2]грн!v382-[2]грн!u382-[2]грн!t382-[2]грн!r382-[2]грн!q382-[2]грн!p382-[2]грн!o382-[2]грн!n382-[2]грн!l382-[2]грн!k382-[2]грн!j382-[2]грн!i382-[2]грн!h382+[2]грн!g382+[2]грн!m382+[2]грн!s382+[2]грн!y382+[2]грн!ae382+[2]грн!ak382</f>
        <v>6</v>
      </c>
      <c r="E382" s="19" t="n">
        <f aca="false">[2]грн!as382*1.07</f>
        <v>1187.7</v>
      </c>
    </row>
    <row r="383" customFormat="false" ht="15" hidden="false" customHeight="false" outlineLevel="0" collapsed="false">
      <c r="A383" s="49" t="s">
        <v>251</v>
      </c>
      <c r="B383" s="27" t="s">
        <v>10</v>
      </c>
      <c r="C383" s="27" t="s">
        <v>65</v>
      </c>
      <c r="D383" s="15" t="n">
        <f aca="false">[2]грн!f383-[2]грн!aq383-[2]грн!ap383-[2]грн!ao383-[2]грн!an383-[2]грн!am383-[2]грн!al383-[2]грн!aj383-[2]грн!ai383-[2]грн!ah383-[2]грн!ag383-[2]грн!af383-[2]грн!ad383-[2]грн!ac383-[2]грн!ab383-[2]грн!aa383-[2]грн!z383-[2]грн!x383-[2]грн!w383-[2]грн!v383-[2]грн!u383-[2]грн!t383-[2]грн!r383-[2]грн!q383-[2]грн!p383-[2]грн!o383-[2]грн!n383-[2]грн!l383-[2]грн!k383-[2]грн!j383-[2]грн!i383-[2]грн!h383+[2]грн!g383+[2]грн!m383+[2]грн!s383+[2]грн!y383+[2]грн!ae383+[2]грн!ak383</f>
        <v>12</v>
      </c>
      <c r="E383" s="19" t="n">
        <f aca="false">[2]грн!as383*1.07</f>
        <v>1187.7</v>
      </c>
    </row>
    <row r="384" customFormat="false" ht="15" hidden="false" customHeight="false" outlineLevel="0" collapsed="false">
      <c r="A384" s="49" t="s">
        <v>251</v>
      </c>
      <c r="B384" s="27" t="s">
        <v>256</v>
      </c>
      <c r="C384" s="27" t="n">
        <v>214</v>
      </c>
      <c r="D384" s="15" t="n">
        <f aca="false">[2]грн!f384-[2]грн!aq384-[2]грн!ap384-[2]грн!ao384-[2]грн!an384-[2]грн!am384-[2]грн!al384-[2]грн!aj384-[2]грн!ai384-[2]грн!ah384-[2]грн!ag384-[2]грн!af384-[2]грн!ad384-[2]грн!ac384-[2]грн!ab384-[2]грн!aa384-[2]грн!z384-[2]грн!x384-[2]грн!w384-[2]грн!v384-[2]грн!u384-[2]грн!t384-[2]грн!r384-[2]грн!q384-[2]грн!p384-[2]грн!o384-[2]грн!n384-[2]грн!l384-[2]грн!k384-[2]грн!j384-[2]грн!i384-[2]грн!h384+[2]грн!g384+[2]грн!m384+[2]грн!s384+[2]грн!y384+[2]грн!ae384+[2]грн!ak384</f>
        <v>2</v>
      </c>
      <c r="E384" s="19" t="n">
        <f aca="false">[2]грн!as384*1.07</f>
        <v>1444.5</v>
      </c>
    </row>
    <row r="385" customFormat="false" ht="15" hidden="true" customHeight="false" outlineLevel="0" collapsed="false">
      <c r="A385" s="23" t="s">
        <v>251</v>
      </c>
      <c r="B385" s="24" t="s">
        <v>256</v>
      </c>
      <c r="C385" s="24" t="n">
        <v>515</v>
      </c>
      <c r="D385" s="15" t="n">
        <f aca="false">[2]грн!f385-[2]грн!aq385-[2]грн!ap385-[2]грн!ao385-[2]грн!an385-[2]грн!am385-[2]грн!al385-[2]грн!aj385-[2]грн!ai385-[2]грн!ah385-[2]грн!ag385-[2]грн!af385-[2]грн!ad385-[2]грн!ac385-[2]грн!ab385-[2]грн!aa385-[2]грн!z385-[2]грн!x385-[2]грн!w385-[2]грн!v385-[2]грн!u385-[2]грн!t385-[2]грн!r385-[2]грн!q385-[2]грн!p385-[2]грн!o385-[2]грн!n385-[2]грн!l385-[2]грн!k385-[2]грн!j385-[2]грн!i385-[2]грн!h385+[2]грн!g385+[2]грн!m385+[2]грн!s385+[2]грн!y385+[2]грн!ae385+[2]грн!ak385</f>
        <v>0</v>
      </c>
      <c r="E385" s="19" t="n">
        <f aca="false">[2]грн!as385*1.07</f>
        <v>1444.5</v>
      </c>
    </row>
    <row r="386" customFormat="false" ht="15" hidden="false" customHeight="false" outlineLevel="0" collapsed="false">
      <c r="A386" s="23" t="s">
        <v>251</v>
      </c>
      <c r="B386" s="24" t="s">
        <v>256</v>
      </c>
      <c r="C386" s="24" t="s">
        <v>202</v>
      </c>
      <c r="D386" s="15" t="n">
        <f aca="false">[2]грн!f386-[2]грн!aq386-[2]грн!ap386-[2]грн!ao386-[2]грн!an386-[2]грн!am386-[2]грн!al386-[2]грн!aj386-[2]грн!ai386-[2]грн!ah386-[2]грн!ag386-[2]грн!af386-[2]грн!ad386-[2]грн!ac386-[2]грн!ab386-[2]грн!aa386-[2]грн!z386-[2]грн!x386-[2]грн!w386-[2]грн!v386-[2]грн!u386-[2]грн!t386-[2]грн!r386-[2]грн!q386-[2]грн!p386-[2]грн!o386-[2]грн!n386-[2]грн!l386-[2]грн!k386-[2]грн!j386-[2]грн!i386-[2]грн!h386+[2]грн!g386+[2]грн!m386+[2]грн!s386+[2]грн!y386+[2]грн!ae386+[2]грн!ak386</f>
        <v>4</v>
      </c>
      <c r="E386" s="19" t="n">
        <f aca="false">[2]грн!as386*1.07</f>
        <v>1605</v>
      </c>
    </row>
    <row r="387" customFormat="false" ht="15" hidden="false" customHeight="false" outlineLevel="0" collapsed="false">
      <c r="A387" s="23" t="s">
        <v>257</v>
      </c>
      <c r="B387" s="24" t="s">
        <v>17</v>
      </c>
      <c r="C387" s="24" t="s">
        <v>23</v>
      </c>
      <c r="D387" s="15" t="n">
        <f aca="false">[2]грн!f387-[2]грн!aq387-[2]грн!ap387-[2]грн!ao387-[2]грн!an387-[2]грн!am387-[2]грн!al387-[2]грн!aj387-[2]грн!ai387-[2]грн!ah387-[2]грн!ag387-[2]грн!af387-[2]грн!ad387-[2]грн!ac387-[2]грн!ab387-[2]грн!aa387-[2]грн!z387-[2]грн!x387-[2]грн!w387-[2]грн!v387-[2]грн!u387-[2]грн!t387-[2]грн!r387-[2]грн!q387-[2]грн!p387-[2]грн!o387-[2]грн!n387-[2]грн!l387-[2]грн!k387-[2]грн!j387-[2]грн!i387-[2]грн!h387+[2]грн!g387+[2]грн!m387+[2]грн!s387+[2]грн!y387+[2]грн!ae387+[2]грн!ak387</f>
        <v>12</v>
      </c>
      <c r="E387" s="19" t="n">
        <f aca="false">[2]грн!as387*1.07</f>
        <v>1765.5</v>
      </c>
    </row>
    <row r="388" customFormat="false" ht="15" hidden="false" customHeight="false" outlineLevel="0" collapsed="false">
      <c r="A388" s="23" t="s">
        <v>257</v>
      </c>
      <c r="B388" s="24" t="s">
        <v>10</v>
      </c>
      <c r="C388" s="24" t="s">
        <v>258</v>
      </c>
      <c r="D388" s="15" t="n">
        <f aca="false">[2]грн!f388-[2]грн!aq388-[2]грн!ap388-[2]грн!ao388-[2]грн!an388-[2]грн!am388-[2]грн!al388-[2]грн!aj388-[2]грн!ai388-[2]грн!ah388-[2]грн!ag388-[2]грн!af388-[2]грн!ad388-[2]грн!ac388-[2]грн!ab388-[2]грн!aa388-[2]грн!z388-[2]грн!x388-[2]грн!w388-[2]грн!v388-[2]грн!u388-[2]грн!t388-[2]грн!r388-[2]грн!q388-[2]грн!p388-[2]грн!o388-[2]грн!n388-[2]грн!l388-[2]грн!k388-[2]грн!j388-[2]грн!i388-[2]грн!h388+[2]грн!g388+[2]грн!m388+[2]грн!s388+[2]грн!y388+[2]грн!ae388+[2]грн!ak388</f>
        <v>18</v>
      </c>
      <c r="E388" s="19" t="n">
        <f aca="false">[2]грн!as388*1.07</f>
        <v>1230.5</v>
      </c>
    </row>
    <row r="389" customFormat="false" ht="15" hidden="true" customHeight="false" outlineLevel="0" collapsed="false">
      <c r="A389" s="17" t="s">
        <v>257</v>
      </c>
      <c r="B389" s="18" t="s">
        <v>218</v>
      </c>
      <c r="C389" s="18" t="n">
        <v>235</v>
      </c>
      <c r="D389" s="15" t="n">
        <f aca="false">[2]грн!f389-[2]грн!aq389-[2]грн!ap389-[2]грн!ao389-[2]грн!an389-[2]грн!am389-[2]грн!al389-[2]грн!aj389-[2]грн!ai389-[2]грн!ah389-[2]грн!ag389-[2]грн!af389-[2]грн!ad389-[2]грн!ac389-[2]грн!ab389-[2]грн!aa389-[2]грн!z389-[2]грн!x389-[2]грн!w389-[2]грн!v389-[2]грн!u389-[2]грн!t389-[2]грн!r389-[2]грн!q389-[2]грн!p389-[2]грн!o389-[2]грн!n389-[2]грн!l389-[2]грн!k389-[2]грн!j389-[2]грн!i389-[2]грн!h389+[2]грн!g389+[2]грн!m389+[2]грн!s389+[2]грн!y389+[2]грн!ae389+[2]грн!ak389</f>
        <v>0</v>
      </c>
      <c r="E389" s="19" t="n">
        <f aca="false">[2]грн!as389*1.07</f>
        <v>1391</v>
      </c>
    </row>
    <row r="390" customFormat="false" ht="15" hidden="true" customHeight="false" outlineLevel="0" collapsed="false">
      <c r="A390" s="17" t="s">
        <v>259</v>
      </c>
      <c r="B390" s="27" t="s">
        <v>17</v>
      </c>
      <c r="C390" s="27" t="s">
        <v>160</v>
      </c>
      <c r="D390" s="15" t="n">
        <f aca="false">[2]грн!f390-[2]грн!aq390-[2]грн!ap390-[2]грн!ao390-[2]грн!an390-[2]грн!am390-[2]грн!al390-[2]грн!aj390-[2]грн!ai390-[2]грн!ah390-[2]грн!ag390-[2]грн!af390-[2]грн!ad390-[2]грн!ac390-[2]грн!ab390-[2]грн!aa390-[2]грн!z390-[2]грн!x390-[2]грн!w390-[2]грн!v390-[2]грн!u390-[2]грн!t390-[2]грн!r390-[2]грн!q390-[2]грн!p390-[2]грн!o390-[2]грн!n390-[2]грн!l390-[2]грн!k390-[2]грн!j390-[2]грн!i390-[2]грн!h390+[2]грн!g390+[2]грн!m390+[2]грн!s390+[2]грн!y390+[2]грн!ae390+[2]грн!ak390</f>
        <v>0</v>
      </c>
      <c r="E390" s="19" t="n">
        <f aca="false">[2]грн!as390*1.07</f>
        <v>1391</v>
      </c>
    </row>
    <row r="391" customFormat="false" ht="15" hidden="false" customHeight="false" outlineLevel="0" collapsed="false">
      <c r="A391" s="23" t="s">
        <v>259</v>
      </c>
      <c r="B391" s="24" t="s">
        <v>10</v>
      </c>
      <c r="C391" s="24" t="s">
        <v>260</v>
      </c>
      <c r="D391" s="15" t="n">
        <f aca="false">[2]грн!f391-[2]грн!aq391-[2]грн!ap391-[2]грн!ao391-[2]грн!an391-[2]грн!am391-[2]грн!al391-[2]грн!aj391-[2]грн!ai391-[2]грн!ah391-[2]грн!ag391-[2]грн!af391-[2]грн!ad391-[2]грн!ac391-[2]грн!ab391-[2]грн!aa391-[2]грн!z391-[2]грн!x391-[2]грн!w391-[2]грн!v391-[2]грн!u391-[2]грн!t391-[2]грн!r391-[2]грн!q391-[2]грн!p391-[2]грн!o391-[2]грн!n391-[2]грн!l391-[2]грн!k391-[2]грн!j391-[2]грн!i391-[2]грн!h391+[2]грн!g391+[2]грн!m391+[2]грн!s391+[2]грн!y391+[2]грн!ae391+[2]грн!ak391</f>
        <v>8</v>
      </c>
      <c r="E391" s="19" t="n">
        <f aca="false">[2]грн!as391*1.07</f>
        <v>1230.5</v>
      </c>
    </row>
    <row r="392" customFormat="false" ht="15" hidden="false" customHeight="false" outlineLevel="0" collapsed="false">
      <c r="A392" s="17" t="s">
        <v>261</v>
      </c>
      <c r="B392" s="18" t="s">
        <v>14</v>
      </c>
      <c r="C392" s="18" t="n">
        <v>219</v>
      </c>
      <c r="D392" s="15" t="n">
        <f aca="false">[2]грн!f392-[2]грн!aq392-[2]грн!ap392-[2]грн!ao392-[2]грн!an392-[2]грн!am392-[2]грн!al392-[2]грн!aj392-[2]грн!ai392-[2]грн!ah392-[2]грн!ag392-[2]грн!af392-[2]грн!ad392-[2]грн!ac392-[2]грн!ab392-[2]грн!aa392-[2]грн!z392-[2]грн!x392-[2]грн!w392-[2]грн!v392-[2]грн!u392-[2]грн!t392-[2]грн!r392-[2]грн!q392-[2]грн!p392-[2]грн!o392-[2]грн!n392-[2]грн!l392-[2]грн!k392-[2]грн!j392-[2]грн!i392-[2]грн!h392+[2]грн!g392+[2]грн!m392+[2]грн!s392+[2]грн!y392+[2]грн!ae392+[2]грн!ak392</f>
        <v>4</v>
      </c>
      <c r="E392" s="19" t="n">
        <f aca="false">[2]грн!as392*1.07</f>
        <v>1712</v>
      </c>
    </row>
    <row r="393" customFormat="false" ht="15" hidden="false" customHeight="false" outlineLevel="0" collapsed="false">
      <c r="A393" s="17" t="s">
        <v>262</v>
      </c>
      <c r="B393" s="18" t="s">
        <v>263</v>
      </c>
      <c r="C393" s="18" t="s">
        <v>264</v>
      </c>
      <c r="D393" s="15" t="n">
        <f aca="false">[2]грн!f393-[2]грн!aq393-[2]грн!ap393-[2]грн!ao393-[2]грн!an393-[2]грн!am393-[2]грн!al393-[2]грн!aj393-[2]грн!ai393-[2]грн!ah393-[2]грн!ag393-[2]грн!af393-[2]грн!ad393-[2]грн!ac393-[2]грн!ab393-[2]грн!aa393-[2]грн!z393-[2]грн!x393-[2]грн!w393-[2]грн!v393-[2]грн!u393-[2]грн!t393-[2]грн!r393-[2]грн!q393-[2]грн!p393-[2]грн!o393-[2]грн!n393-[2]грн!l393-[2]грн!k393-[2]грн!j393-[2]грн!i393-[2]грн!h393+[2]грн!g393+[2]грн!m393+[2]грн!s393+[2]грн!y393+[2]грн!ae393+[2]грн!ak393</f>
        <v>4</v>
      </c>
      <c r="E393" s="19" t="n">
        <f aca="false">[2]грн!as393*1.07</f>
        <v>1498</v>
      </c>
    </row>
    <row r="394" customFormat="false" ht="15" hidden="false" customHeight="false" outlineLevel="0" collapsed="false">
      <c r="A394" s="23" t="s">
        <v>262</v>
      </c>
      <c r="B394" s="24" t="s">
        <v>10</v>
      </c>
      <c r="C394" s="24" t="s">
        <v>258</v>
      </c>
      <c r="D394" s="15" t="n">
        <f aca="false">[2]грн!f394-[2]грн!aq394-[2]грн!ap394-[2]грн!ao394-[2]грн!an394-[2]грн!am394-[2]грн!al394-[2]грн!aj394-[2]грн!ai394-[2]грн!ah394-[2]грн!ag394-[2]грн!af394-[2]грн!ad394-[2]грн!ac394-[2]грн!ab394-[2]грн!aa394-[2]грн!z394-[2]грн!x394-[2]грн!w394-[2]грн!v394-[2]грн!u394-[2]грн!t394-[2]грн!r394-[2]грн!q394-[2]грн!p394-[2]грн!o394-[2]грн!n394-[2]грн!l394-[2]грн!k394-[2]грн!j394-[2]грн!i394-[2]грн!h394+[2]грн!g394+[2]грн!m394+[2]грн!s394+[2]грн!y394+[2]грн!ae394+[2]грн!ak394</f>
        <v>12</v>
      </c>
      <c r="E394" s="19" t="n">
        <f aca="false">[2]грн!as394*1.07</f>
        <v>1209.1</v>
      </c>
    </row>
    <row r="395" customFormat="false" ht="15" hidden="false" customHeight="false" outlineLevel="0" collapsed="false">
      <c r="A395" s="17" t="s">
        <v>265</v>
      </c>
      <c r="B395" s="18" t="s">
        <v>14</v>
      </c>
      <c r="C395" s="18" t="n">
        <v>221</v>
      </c>
      <c r="D395" s="15" t="n">
        <f aca="false">[2]грн!f395-[2]грн!aq395-[2]грн!ap395-[2]грн!ao395-[2]грн!an395-[2]грн!am395-[2]грн!al395-[2]грн!aj395-[2]грн!ai395-[2]грн!ah395-[2]грн!ag395-[2]грн!af395-[2]грн!ad395-[2]грн!ac395-[2]грн!ab395-[2]грн!aa395-[2]грн!z395-[2]грн!x395-[2]грн!w395-[2]грн!v395-[2]грн!u395-[2]грн!t395-[2]грн!r395-[2]грн!q395-[2]грн!p395-[2]грн!o395-[2]грн!n395-[2]грн!l395-[2]грн!k395-[2]грн!j395-[2]грн!i395-[2]грн!h395+[2]грн!g395+[2]грн!m395+[2]грн!s395+[2]грн!y395+[2]грн!ae395+[2]грн!ak395</f>
        <v>4</v>
      </c>
      <c r="E395" s="19" t="n">
        <f aca="false">[2]грн!as395*1.07</f>
        <v>1605</v>
      </c>
    </row>
    <row r="396" customFormat="false" ht="15" hidden="false" customHeight="false" outlineLevel="0" collapsed="false">
      <c r="A396" s="12" t="s">
        <v>266</v>
      </c>
      <c r="B396" s="20"/>
      <c r="C396" s="21"/>
      <c r="D396" s="15"/>
      <c r="E396" s="22" t="n">
        <f aca="false">[2]грн!as396*1.07</f>
        <v>0</v>
      </c>
    </row>
    <row r="397" customFormat="false" ht="15" hidden="false" customHeight="false" outlineLevel="0" collapsed="false">
      <c r="A397" s="65" t="s">
        <v>267</v>
      </c>
      <c r="B397" s="65" t="s">
        <v>10</v>
      </c>
      <c r="C397" s="23" t="s">
        <v>268</v>
      </c>
      <c r="D397" s="15" t="n">
        <f aca="false">[2]грн!f397-[2]грн!aq397-[2]грн!ap397-[2]грн!ao397-[2]грн!an397-[2]грн!am397-[2]грн!al397-[2]грн!aj397-[2]грн!ai397-[2]грн!ah397-[2]грн!ag397-[2]грн!af397-[2]грн!ad397-[2]грн!ac397-[2]грн!ab397-[2]грн!aa397-[2]грн!z397-[2]грн!x397-[2]грн!w397-[2]грн!v397-[2]грн!u397-[2]грн!t397-[2]грн!r397-[2]грн!q397-[2]грн!p397-[2]грн!o397-[2]грн!n397-[2]грн!l397-[2]грн!k397-[2]грн!j397-[2]грн!i397-[2]грн!h397+[2]грн!g397+[2]грн!m397+[2]грн!s397+[2]грн!y397+[2]грн!ae397+[2]грн!ak397</f>
        <v>4</v>
      </c>
      <c r="E397" s="19" t="n">
        <f aca="false">[2]грн!as397*1.07</f>
        <v>1230.5</v>
      </c>
    </row>
    <row r="398" customFormat="false" ht="15" hidden="false" customHeight="false" outlineLevel="0" collapsed="false">
      <c r="A398" s="12" t="s">
        <v>269</v>
      </c>
      <c r="B398" s="20"/>
      <c r="C398" s="21"/>
      <c r="D398" s="15"/>
      <c r="E398" s="22" t="n">
        <f aca="false">[2]грн!as398*1.05</f>
        <v>0</v>
      </c>
    </row>
    <row r="399" customFormat="false" ht="15" hidden="false" customHeight="false" outlineLevel="0" collapsed="false">
      <c r="A399" s="29" t="s">
        <v>270</v>
      </c>
      <c r="B399" s="66" t="s">
        <v>10</v>
      </c>
      <c r="C399" s="29" t="s">
        <v>271</v>
      </c>
      <c r="D399" s="15" t="n">
        <f aca="false">[2]грн!f399-[2]грн!aq399-[2]грн!ap399-[2]грн!ao399-[2]грн!an399-[2]грн!am399-[2]грн!al399-[2]грн!aj399-[2]грн!ai399-[2]грн!ah399-[2]грн!ag399-[2]грн!af399-[2]грн!ad399-[2]грн!ac399-[2]грн!ab399-[2]грн!aa399-[2]грн!z399-[2]грн!x399-[2]грн!w399-[2]грн!v399-[2]грн!u399-[2]грн!t399-[2]грн!r399-[2]грн!q399-[2]грн!p399-[2]грн!o399-[2]грн!n399-[2]грн!l399-[2]грн!k399-[2]грн!j399-[2]грн!i399-[2]грн!h399+[2]грн!g399+[2]грн!m399+[2]грн!s399+[2]грн!y399+[2]грн!ae399+[2]грн!ak399</f>
        <v>12</v>
      </c>
      <c r="E399" s="19" t="n">
        <f aca="false">[2]грн!as399*1.1</f>
        <v>792</v>
      </c>
    </row>
    <row r="400" customFormat="false" ht="15" hidden="false" customHeight="false" outlineLevel="0" collapsed="false">
      <c r="A400" s="29" t="s">
        <v>272</v>
      </c>
      <c r="B400" s="18" t="s">
        <v>14</v>
      </c>
      <c r="C400" s="28" t="n">
        <v>231</v>
      </c>
      <c r="D400" s="15" t="n">
        <f aca="false">[2]грн!f400-[2]грн!aq400-[2]грн!ap400-[2]грн!ao400-[2]грн!an400-[2]грн!am400-[2]грн!al400-[2]грн!aj400-[2]грн!ai400-[2]грн!ah400-[2]грн!ag400-[2]грн!af400-[2]грн!ad400-[2]грн!ac400-[2]грн!ab400-[2]грн!aa400-[2]грн!z400-[2]грн!x400-[2]грн!w400-[2]грн!v400-[2]грн!u400-[2]грн!t400-[2]грн!r400-[2]грн!q400-[2]грн!p400-[2]грн!o400-[2]грн!n400-[2]грн!l400-[2]грн!k400-[2]грн!j400-[2]грн!i400-[2]грн!h400+[2]грн!g400+[2]грн!m400+[2]грн!s400+[2]грн!y400+[2]грн!ae400+[2]грн!ak400</f>
        <v>6</v>
      </c>
      <c r="E400" s="19" t="n">
        <f aca="false">[2]грн!as400*1.05</f>
        <v>934.5</v>
      </c>
    </row>
    <row r="401" customFormat="false" ht="15" hidden="false" customHeight="false" outlineLevel="0" collapsed="false">
      <c r="A401" s="12" t="s">
        <v>273</v>
      </c>
      <c r="B401" s="20"/>
      <c r="C401" s="21"/>
      <c r="D401" s="15"/>
      <c r="E401" s="22"/>
    </row>
    <row r="402" customFormat="false" ht="15" hidden="false" customHeight="false" outlineLevel="0" collapsed="false">
      <c r="A402" s="29" t="s">
        <v>274</v>
      </c>
      <c r="B402" s="18" t="s">
        <v>10</v>
      </c>
      <c r="C402" s="28" t="s">
        <v>275</v>
      </c>
      <c r="D402" s="15" t="n">
        <f aca="false">[2]грн!f402-[2]грн!aq402-[2]грн!ap402-[2]грн!ao402-[2]грн!an402-[2]грн!am402-[2]грн!al402-[2]грн!aj402-[2]грн!ai402-[2]грн!ah402-[2]грн!ag402-[2]грн!af402-[2]грн!ad402-[2]грн!ac402-[2]грн!ab402-[2]грн!aa402-[2]грн!z402-[2]грн!x402-[2]грн!w402-[2]грн!v402-[2]грн!u402-[2]грн!t402-[2]грн!r402-[2]грн!q402-[2]грн!p402-[2]грн!o402-[2]грн!n402-[2]грн!l402-[2]грн!k402-[2]грн!j402-[2]грн!i402-[2]грн!h402+[2]грн!g402+[2]грн!m402+[2]грн!s402+[2]грн!y402+[2]грн!ae402+[2]грн!ak402</f>
        <v>11</v>
      </c>
      <c r="E402" s="19" t="n">
        <f aca="false">[2]грн!as402*1.05</f>
        <v>1102.5</v>
      </c>
    </row>
    <row r="403" customFormat="false" ht="15" hidden="false" customHeight="false" outlineLevel="0" collapsed="false">
      <c r="A403" s="17" t="s">
        <v>274</v>
      </c>
      <c r="B403" s="18" t="s">
        <v>10</v>
      </c>
      <c r="C403" s="28" t="s">
        <v>276</v>
      </c>
      <c r="D403" s="15" t="n">
        <f aca="false">[2]грн!f403-[2]грн!aq403-[2]грн!ap403-[2]грн!ao403-[2]грн!an403-[2]грн!am403-[2]грн!al403-[2]грн!aj403-[2]грн!ai403-[2]грн!ah403-[2]грн!ag403-[2]грн!af403-[2]грн!ad403-[2]грн!ac403-[2]грн!ab403-[2]грн!aa403-[2]грн!z403-[2]грн!x403-[2]грн!w403-[2]грн!v403-[2]грн!u403-[2]грн!t403-[2]грн!r403-[2]грн!q403-[2]грн!p403-[2]грн!o403-[2]грн!n403-[2]грн!l403-[2]грн!k403-[2]грн!j403-[2]грн!i403-[2]грн!h403+[2]грн!g403+[2]грн!m403+[2]грн!s403+[2]грн!y403+[2]грн!ae403+[2]грн!ak403</f>
        <v>12</v>
      </c>
      <c r="E403" s="19" t="n">
        <f aca="false">[2]грн!as403*1.05</f>
        <v>1081.5</v>
      </c>
    </row>
    <row r="404" customFormat="false" ht="15" hidden="false" customHeight="false" outlineLevel="0" collapsed="false">
      <c r="A404" s="29" t="s">
        <v>277</v>
      </c>
      <c r="B404" s="18" t="s">
        <v>20</v>
      </c>
      <c r="C404" s="28" t="s">
        <v>278</v>
      </c>
      <c r="D404" s="15" t="n">
        <f aca="false">[2]грн!f404-[2]грн!aq404-[2]грн!ap404-[2]грн!ao404-[2]грн!an404-[2]грн!am404-[2]грн!al404-[2]грн!aj404-[2]грн!ai404-[2]грн!ah404-[2]грн!ag404-[2]грн!af404-[2]грн!ad404-[2]грн!ac404-[2]грн!ab404-[2]грн!aa404-[2]грн!z404-[2]грн!x404-[2]грн!w404-[2]грн!v404-[2]грн!u404-[2]грн!t404-[2]грн!r404-[2]грн!q404-[2]грн!p404-[2]грн!o404-[2]грн!n404-[2]грн!l404-[2]грн!k404-[2]грн!j404-[2]грн!i404-[2]грн!h404+[2]грн!g404+[2]грн!m404+[2]грн!s404+[2]грн!y404+[2]грн!ae404+[2]грн!ak404</f>
        <v>2</v>
      </c>
      <c r="E404" s="19" t="n">
        <f aca="false">[2]грн!as404*1.05</f>
        <v>1228.5</v>
      </c>
    </row>
    <row r="405" customFormat="false" ht="15" hidden="true" customHeight="false" outlineLevel="0" collapsed="false">
      <c r="A405" s="29" t="s">
        <v>277</v>
      </c>
      <c r="B405" s="18" t="s">
        <v>17</v>
      </c>
      <c r="C405" s="28" t="s">
        <v>279</v>
      </c>
      <c r="D405" s="15" t="n">
        <f aca="false">[2]грн!f405-[2]грн!aq405-[2]грн!ap405-[2]грн!ao405-[2]грн!an405-[2]грн!am405-[2]грн!al405-[2]грн!aj405-[2]грн!ai405-[2]грн!ah405-[2]грн!ag405-[2]грн!af405-[2]грн!ad405-[2]грн!ac405-[2]грн!ab405-[2]грн!aa405-[2]грн!z405-[2]грн!x405-[2]грн!w405-[2]грн!v405-[2]грн!u405-[2]грн!t405-[2]грн!r405-[2]грн!q405-[2]грн!p405-[2]грн!o405-[2]грн!n405-[2]грн!l405-[2]грн!k405-[2]грн!j405-[2]грн!i405-[2]грн!h405+[2]грн!g405+[2]грн!m405+[2]грн!s405+[2]грн!y405+[2]грн!ae405+[2]грн!ak405</f>
        <v>0</v>
      </c>
      <c r="E405" s="19" t="n">
        <f aca="false">[2]грн!as405*1.05</f>
        <v>1050</v>
      </c>
    </row>
    <row r="406" customFormat="false" ht="15" hidden="false" customHeight="false" outlineLevel="0" collapsed="false">
      <c r="A406" s="29" t="s">
        <v>277</v>
      </c>
      <c r="B406" s="18" t="s">
        <v>10</v>
      </c>
      <c r="C406" s="28" t="s">
        <v>276</v>
      </c>
      <c r="D406" s="15" t="n">
        <f aca="false">[2]грн!f406-[2]грн!aq406-[2]грн!ap406-[2]грн!ao406-[2]грн!an406-[2]грн!am406-[2]грн!al406-[2]грн!aj406-[2]грн!ai406-[2]грн!ah406-[2]грн!ag406-[2]грн!af406-[2]грн!ad406-[2]грн!ac406-[2]грн!ab406-[2]грн!aa406-[2]грн!z406-[2]грн!x406-[2]грн!w406-[2]грн!v406-[2]грн!u406-[2]грн!t406-[2]грн!r406-[2]грн!q406-[2]грн!p406-[2]грн!o406-[2]грн!n406-[2]грн!l406-[2]грн!k406-[2]грн!j406-[2]грн!i406-[2]грн!h406+[2]грн!g406+[2]грн!m406+[2]грн!s406+[2]грн!y406+[2]грн!ae406+[2]грн!ak406</f>
        <v>10</v>
      </c>
      <c r="E406" s="19" t="n">
        <f aca="false">[2]грн!as406*1.05</f>
        <v>1176</v>
      </c>
    </row>
    <row r="407" customFormat="false" ht="15" hidden="true" customHeight="false" outlineLevel="0" collapsed="false">
      <c r="A407" s="29" t="s">
        <v>277</v>
      </c>
      <c r="B407" s="18" t="s">
        <v>256</v>
      </c>
      <c r="C407" s="28" t="s">
        <v>280</v>
      </c>
      <c r="D407" s="15" t="n">
        <f aca="false">[2]грн!f407-[2]грн!aq407-[2]грн!ap407-[2]грн!ao407-[2]грн!an407-[2]грн!am407-[2]грн!al407-[2]грн!aj407-[2]грн!ai407-[2]грн!ah407-[2]грн!ag407-[2]грн!af407-[2]грн!ad407-[2]грн!ac407-[2]грн!ab407-[2]грн!aa407-[2]грн!z407-[2]грн!x407-[2]грн!w407-[2]грн!v407-[2]грн!u407-[2]грн!t407-[2]грн!r407-[2]грн!q407-[2]грн!p407-[2]грн!o407-[2]грн!n407-[2]грн!l407-[2]грн!k407-[2]грн!j407-[2]грн!i407-[2]грн!h407+[2]грн!g407+[2]грн!m407+[2]грн!s407+[2]грн!y407+[2]грн!ae407+[2]грн!ak407</f>
        <v>0</v>
      </c>
      <c r="E407" s="19" t="n">
        <f aca="false">[2]грн!as407*1.05</f>
        <v>1102.5</v>
      </c>
    </row>
    <row r="408" customFormat="false" ht="15" hidden="false" customHeight="false" outlineLevel="0" collapsed="false">
      <c r="A408" s="17" t="s">
        <v>281</v>
      </c>
      <c r="B408" s="18" t="s">
        <v>10</v>
      </c>
      <c r="C408" s="18" t="s">
        <v>276</v>
      </c>
      <c r="D408" s="15" t="n">
        <f aca="false">[2]грн!f408-[2]грн!aq408-[2]грн!ap408-[2]грн!ao408-[2]грн!an408-[2]грн!am408-[2]грн!al408-[2]грн!aj408-[2]грн!ai408-[2]грн!ah408-[2]грн!ag408-[2]грн!af408-[2]грн!ad408-[2]грн!ac408-[2]грн!ab408-[2]грн!aa408-[2]грн!z408-[2]грн!x408-[2]грн!w408-[2]грн!v408-[2]грн!u408-[2]грн!t408-[2]грн!r408-[2]грн!q408-[2]грн!p408-[2]грн!o408-[2]грн!n408-[2]грн!l408-[2]грн!k408-[2]грн!j408-[2]грн!i408-[2]грн!h408+[2]грн!g408+[2]грн!m408+[2]грн!s408+[2]грн!y408+[2]грн!ae408+[2]грн!ak408</f>
        <v>1</v>
      </c>
      <c r="E408" s="19" t="n">
        <f aca="false">[2]грн!as408*1.05</f>
        <v>1281</v>
      </c>
    </row>
    <row r="409" customFormat="false" ht="15" hidden="false" customHeight="false" outlineLevel="0" collapsed="false">
      <c r="A409" s="67" t="s">
        <v>282</v>
      </c>
      <c r="B409" s="68"/>
      <c r="C409" s="21"/>
      <c r="D409" s="15"/>
      <c r="E409" s="22" t="n">
        <f aca="false">[2]грн!as409*1.05</f>
        <v>0</v>
      </c>
    </row>
    <row r="410" customFormat="false" ht="15" hidden="true" customHeight="false" outlineLevel="0" collapsed="false">
      <c r="A410" s="17" t="s">
        <v>283</v>
      </c>
      <c r="B410" s="18" t="s">
        <v>20</v>
      </c>
      <c r="C410" s="18" t="s">
        <v>284</v>
      </c>
      <c r="D410" s="15" t="n">
        <f aca="false">[2]грн!f410-[2]грн!aq410-[2]грн!ap410-[2]грн!ao410-[2]грн!an410-[2]грн!am410-[2]грн!al410-[2]грн!aj410-[2]грн!ai410-[2]грн!ah410-[2]грн!ag410-[2]грн!af410-[2]грн!ad410-[2]грн!ac410-[2]грн!ab410-[2]грн!aa410-[2]грн!z410-[2]грн!x410-[2]грн!w410-[2]грн!v410-[2]грн!u410-[2]грн!t410-[2]грн!r410-[2]грн!q410-[2]грн!p410-[2]грн!o410-[2]грн!n410-[2]грн!l410-[2]грн!k410-[2]грн!j410-[2]грн!i410-[2]грн!h410+[2]грн!g410+[2]грн!m410+[2]грн!s410+[2]грн!y410+[2]грн!ae410+[2]грн!ak410</f>
        <v>0</v>
      </c>
      <c r="E410" s="19" t="n">
        <f aca="false">[2]грн!as410*1.05</f>
        <v>1113</v>
      </c>
    </row>
    <row r="411" customFormat="false" ht="15" hidden="true" customHeight="false" outlineLevel="0" collapsed="false">
      <c r="A411" s="17" t="s">
        <v>283</v>
      </c>
      <c r="B411" s="18" t="s">
        <v>17</v>
      </c>
      <c r="C411" s="28" t="s">
        <v>285</v>
      </c>
      <c r="D411" s="15" t="n">
        <f aca="false">[2]грн!f411-[2]грн!aq411-[2]грн!ap411-[2]грн!ao411-[2]грн!an411-[2]грн!am411-[2]грн!al411-[2]грн!aj411-[2]грн!ai411-[2]грн!ah411-[2]грн!ag411-[2]грн!af411-[2]грн!ad411-[2]грн!ac411-[2]грн!ab411-[2]грн!aa411-[2]грн!z411-[2]грн!x411-[2]грн!w411-[2]грн!v411-[2]грн!u411-[2]грн!t411-[2]грн!r411-[2]грн!q411-[2]грн!p411-[2]грн!o411-[2]грн!n411-[2]грн!l411-[2]грн!k411-[2]грн!j411-[2]грн!i411-[2]грн!h411+[2]грн!g411+[2]грн!m411+[2]грн!s411+[2]грн!y411+[2]грн!ae411+[2]грн!ak411</f>
        <v>0</v>
      </c>
      <c r="E411" s="19" t="n">
        <f aca="false">[2]грн!as411*1.05</f>
        <v>997.5</v>
      </c>
    </row>
    <row r="412" customFormat="false" ht="15" hidden="true" customHeight="false" outlineLevel="0" collapsed="false">
      <c r="A412" s="17" t="s">
        <v>283</v>
      </c>
      <c r="B412" s="18" t="s">
        <v>256</v>
      </c>
      <c r="C412" s="28" t="s">
        <v>286</v>
      </c>
      <c r="D412" s="15" t="n">
        <f aca="false">[2]грн!f412-[2]грн!aq412-[2]грн!ap412-[2]грн!ao412-[2]грн!an412-[2]грн!am412-[2]грн!al412-[2]грн!aj412-[2]грн!ai412-[2]грн!ah412-[2]грн!ag412-[2]грн!af412-[2]грн!ad412-[2]грн!ac412-[2]грн!ab412-[2]грн!aa412-[2]грн!z412-[2]грн!x412-[2]грн!w412-[2]грн!v412-[2]грн!u412-[2]грн!t412-[2]грн!r412-[2]грн!q412-[2]грн!p412-[2]грн!o412-[2]грн!n412-[2]грн!l412-[2]грн!k412-[2]грн!j412-[2]грн!i412-[2]грн!h412+[2]грн!g412+[2]грн!m412+[2]грн!s412+[2]грн!y412+[2]грн!ae412+[2]грн!ak412</f>
        <v>0</v>
      </c>
      <c r="E412" s="19" t="n">
        <f aca="false">[2]грн!as412*1.05</f>
        <v>1260</v>
      </c>
    </row>
    <row r="413" customFormat="false" ht="15" hidden="false" customHeight="false" outlineLevel="0" collapsed="false">
      <c r="A413" s="17" t="s">
        <v>283</v>
      </c>
      <c r="B413" s="18" t="s">
        <v>10</v>
      </c>
      <c r="C413" s="18" t="s">
        <v>287</v>
      </c>
      <c r="D413" s="15" t="n">
        <f aca="false">[2]грн!f413-[2]грн!aq413-[2]грн!ap413-[2]грн!ao413-[2]грн!an413-[2]грн!am413-[2]грн!al413-[2]грн!aj413-[2]грн!ai413-[2]грн!ah413-[2]грн!ag413-[2]грн!af413-[2]грн!ad413-[2]грн!ac413-[2]грн!ab413-[2]грн!aa413-[2]грн!z413-[2]грн!x413-[2]грн!w413-[2]грн!v413-[2]грн!u413-[2]грн!t413-[2]грн!r413-[2]грн!q413-[2]грн!p413-[2]грн!o413-[2]грн!n413-[2]грн!l413-[2]грн!k413-[2]грн!j413-[2]грн!i413-[2]грн!h413+[2]грн!g413+[2]грн!m413+[2]грн!s413+[2]грн!y413+[2]грн!ae413+[2]грн!ak413</f>
        <v>8</v>
      </c>
      <c r="E413" s="19" t="n">
        <f aca="false">[2]грн!as413*1.05</f>
        <v>1176</v>
      </c>
    </row>
    <row r="414" customFormat="false" ht="15" hidden="false" customHeight="false" outlineLevel="0" collapsed="false">
      <c r="A414" s="23" t="s">
        <v>283</v>
      </c>
      <c r="B414" s="24" t="s">
        <v>10</v>
      </c>
      <c r="C414" s="39" t="s">
        <v>288</v>
      </c>
      <c r="D414" s="15" t="n">
        <f aca="false">[2]грн!f414-[2]грн!aq414-[2]грн!ap414-[2]грн!ao414-[2]грн!an414-[2]грн!am414-[2]грн!al414-[2]грн!aj414-[2]грн!ai414-[2]грн!ah414-[2]грн!ag414-[2]грн!af414-[2]грн!ad414-[2]грн!ac414-[2]грн!ab414-[2]грн!aa414-[2]грн!z414-[2]грн!x414-[2]грн!w414-[2]грн!v414-[2]грн!u414-[2]грн!t414-[2]грн!r414-[2]грн!q414-[2]грн!p414-[2]грн!o414-[2]грн!n414-[2]грн!l414-[2]грн!k414-[2]грн!j414-[2]грн!i414-[2]грн!h414+[2]грн!g414+[2]грн!m414+[2]грн!s414+[2]грн!y414+[2]грн!ae414+[2]грн!ak414</f>
        <v>18</v>
      </c>
      <c r="E414" s="19" t="n">
        <f aca="false">[2]грн!as414*1.05</f>
        <v>1176</v>
      </c>
    </row>
    <row r="415" customFormat="false" ht="15" hidden="true" customHeight="false" outlineLevel="0" collapsed="false">
      <c r="A415" s="29" t="s">
        <v>289</v>
      </c>
      <c r="B415" s="18" t="s">
        <v>17</v>
      </c>
      <c r="C415" s="28" t="s">
        <v>285</v>
      </c>
      <c r="D415" s="15" t="n">
        <f aca="false">[2]грн!f415-[2]грн!aq415-[2]грн!ap415-[2]грн!ao415-[2]грн!an415-[2]грн!am415-[2]грн!al415-[2]грн!aj415-[2]грн!ai415-[2]грн!ah415-[2]грн!ag415-[2]грн!af415-[2]грн!ad415-[2]грн!ac415-[2]грн!ab415-[2]грн!aa415-[2]грн!z415-[2]грн!x415-[2]грн!w415-[2]грн!v415-[2]грн!u415-[2]грн!t415-[2]грн!r415-[2]грн!q415-[2]грн!p415-[2]грн!o415-[2]грн!n415-[2]грн!l415-[2]грн!k415-[2]грн!j415-[2]грн!i415-[2]грн!h415+[2]грн!g415+[2]грн!m415+[2]грн!s415+[2]грн!y415+[2]грн!ae415+[2]грн!ak415</f>
        <v>0</v>
      </c>
      <c r="E415" s="19" t="n">
        <f aca="false">[2]грн!as415*1.05</f>
        <v>1155</v>
      </c>
    </row>
    <row r="416" customFormat="false" ht="15" hidden="false" customHeight="false" outlineLevel="0" collapsed="false">
      <c r="A416" s="29" t="s">
        <v>289</v>
      </c>
      <c r="B416" s="18" t="s">
        <v>256</v>
      </c>
      <c r="C416" s="28" t="s">
        <v>280</v>
      </c>
      <c r="D416" s="15" t="n">
        <f aca="false">[2]грн!f416-[2]грн!aq416-[2]грн!ap416-[2]грн!ao416-[2]грн!an416-[2]грн!am416-[2]грн!al416-[2]грн!aj416-[2]грн!ai416-[2]грн!ah416-[2]грн!ag416-[2]грн!af416-[2]грн!ad416-[2]грн!ac416-[2]грн!ab416-[2]грн!aa416-[2]грн!z416-[2]грн!x416-[2]грн!w416-[2]грн!v416-[2]грн!u416-[2]грн!t416-[2]грн!r416-[2]грн!q416-[2]грн!p416-[2]грн!o416-[2]грн!n416-[2]грн!l416-[2]грн!k416-[2]грн!j416-[2]грн!i416-[2]грн!h416+[2]грн!g416+[2]грн!m416+[2]грн!s416+[2]грн!y416+[2]грн!ae416+[2]грн!ak416</f>
        <v>8</v>
      </c>
      <c r="E416" s="19" t="n">
        <f aca="false">[2]грн!as416*1.05</f>
        <v>1449</v>
      </c>
    </row>
    <row r="417" customFormat="false" ht="15" hidden="true" customHeight="false" outlineLevel="0" collapsed="false">
      <c r="A417" s="49" t="s">
        <v>290</v>
      </c>
      <c r="B417" s="27" t="s">
        <v>17</v>
      </c>
      <c r="C417" s="51" t="s">
        <v>291</v>
      </c>
      <c r="D417" s="15" t="n">
        <f aca="false">[2]грн!f417-[2]грн!aq417-[2]грн!ap417-[2]грн!ao417-[2]грн!an417-[2]грн!am417-[2]грн!al417-[2]грн!aj417-[2]грн!ai417-[2]грн!ah417-[2]грн!ag417-[2]грн!af417-[2]грн!ad417-[2]грн!ac417-[2]грн!ab417-[2]грн!aa417-[2]грн!z417-[2]грн!x417-[2]грн!w417-[2]грн!v417-[2]грн!u417-[2]грн!t417-[2]грн!r417-[2]грн!q417-[2]грн!p417-[2]грн!o417-[2]грн!n417-[2]грн!l417-[2]грн!k417-[2]грн!j417-[2]грн!i417-[2]грн!h417+[2]грн!g417+[2]грн!m417+[2]грн!s417+[2]грн!y417+[2]грн!ae417+[2]грн!ak417</f>
        <v>0</v>
      </c>
      <c r="E417" s="19" t="n">
        <f aca="false">[2]грн!as417*1.05</f>
        <v>1260</v>
      </c>
    </row>
    <row r="418" customFormat="false" ht="15" hidden="false" customHeight="false" outlineLevel="0" collapsed="false">
      <c r="A418" s="49" t="s">
        <v>292</v>
      </c>
      <c r="B418" s="27" t="s">
        <v>8</v>
      </c>
      <c r="C418" s="51" t="s">
        <v>293</v>
      </c>
      <c r="D418" s="15" t="n">
        <f aca="false">[2]грн!f418-[2]грн!aq418-[2]грн!ap418-[2]грн!ao418-[2]грн!an418-[2]грн!am418-[2]грн!al418-[2]грн!aj418-[2]грн!ai418-[2]грн!ah418-[2]грн!ag418-[2]грн!af418-[2]грн!ad418-[2]грн!ac418-[2]грн!ab418-[2]грн!aa418-[2]грн!z418-[2]грн!x418-[2]грн!w418-[2]грн!v418-[2]грн!u418-[2]грн!t418-[2]грн!r418-[2]грн!q418-[2]грн!p418-[2]грн!o418-[2]грн!n418-[2]грн!l418-[2]грн!k418-[2]грн!j418-[2]грн!i418-[2]грн!h418+[2]грн!g418+[2]грн!m418+[2]грн!s418+[2]грн!y418+[2]грн!ae418+[2]грн!ak418</f>
        <v>8</v>
      </c>
      <c r="E418" s="19" t="n">
        <f aca="false">[2]грн!as418*1.05</f>
        <v>1869</v>
      </c>
    </row>
    <row r="419" customFormat="false" ht="15" hidden="true" customHeight="false" outlineLevel="0" collapsed="false">
      <c r="A419" s="49" t="s">
        <v>292</v>
      </c>
      <c r="B419" s="27" t="s">
        <v>8</v>
      </c>
      <c r="C419" s="28" t="s">
        <v>294</v>
      </c>
      <c r="D419" s="15" t="n">
        <f aca="false">[2]грн!f419-[2]грн!aq419-[2]грн!ap419-[2]грн!ao419-[2]грн!an419-[2]грн!am419-[2]грн!al419-[2]грн!aj419-[2]грн!ai419-[2]грн!ah419-[2]грн!ag419-[2]грн!af419-[2]грн!ad419-[2]грн!ac419-[2]грн!ab419-[2]грн!aa419-[2]грн!z419-[2]грн!x419-[2]грн!w419-[2]грн!v419-[2]грн!u419-[2]грн!t419-[2]грн!r419-[2]грн!q419-[2]грн!p419-[2]грн!o419-[2]грн!n419-[2]грн!l419-[2]грн!k419-[2]грн!j419-[2]грн!i419-[2]грн!h419+[2]грн!g419+[2]грн!m419+[2]грн!s419+[2]грн!y419+[2]грн!ae419+[2]грн!ak419</f>
        <v>0</v>
      </c>
      <c r="E419" s="19" t="n">
        <f aca="false">[2]грн!as419*1.05</f>
        <v>1806</v>
      </c>
    </row>
    <row r="420" customFormat="false" ht="15" hidden="false" customHeight="false" outlineLevel="0" collapsed="false">
      <c r="A420" s="17" t="s">
        <v>295</v>
      </c>
      <c r="B420" s="27" t="s">
        <v>263</v>
      </c>
      <c r="C420" s="51" t="s">
        <v>296</v>
      </c>
      <c r="D420" s="15" t="n">
        <f aca="false">[2]грн!f420-[2]грн!aq420-[2]грн!ap420-[2]грн!ao420-[2]грн!an420-[2]грн!am420-[2]грн!al420-[2]грн!aj420-[2]грн!ai420-[2]грн!ah420-[2]грн!ag420-[2]грн!af420-[2]грн!ad420-[2]грн!ac420-[2]грн!ab420-[2]грн!aa420-[2]грн!z420-[2]грн!x420-[2]грн!w420-[2]грн!v420-[2]грн!u420-[2]грн!t420-[2]грн!r420-[2]грн!q420-[2]грн!p420-[2]грн!o420-[2]грн!n420-[2]грн!l420-[2]грн!k420-[2]грн!j420-[2]грн!i420-[2]грн!h420+[2]грн!g420+[2]грн!m420+[2]грн!s420+[2]грн!y420+[2]грн!ae420+[2]грн!ak420</f>
        <v>6</v>
      </c>
      <c r="E420" s="19" t="n">
        <f aca="false">[2]грн!as420*1.05</f>
        <v>1501.5</v>
      </c>
    </row>
    <row r="421" customFormat="false" ht="15" hidden="false" customHeight="false" outlineLevel="0" collapsed="false">
      <c r="A421" s="17" t="s">
        <v>295</v>
      </c>
      <c r="B421" s="18" t="s">
        <v>10</v>
      </c>
      <c r="C421" s="18" t="s">
        <v>297</v>
      </c>
      <c r="D421" s="15" t="n">
        <f aca="false">[2]грн!f421-[2]грн!aq421-[2]грн!ap421-[2]грн!ao421-[2]грн!an421-[2]грн!am421-[2]грн!al421-[2]грн!aj421-[2]грн!ai421-[2]грн!ah421-[2]грн!ag421-[2]грн!af421-[2]грн!ad421-[2]грн!ac421-[2]грн!ab421-[2]грн!aa421-[2]грн!z421-[2]грн!x421-[2]грн!w421-[2]грн!v421-[2]грн!u421-[2]грн!t421-[2]грн!r421-[2]грн!q421-[2]грн!p421-[2]грн!o421-[2]грн!n421-[2]грн!l421-[2]грн!k421-[2]грн!j421-[2]грн!i421-[2]грн!h421+[2]грн!g421+[2]грн!m421+[2]грн!s421+[2]грн!y421+[2]грн!ae421+[2]грн!ak421</f>
        <v>6</v>
      </c>
      <c r="E421" s="19" t="n">
        <f aca="false">[2]грн!as421*1.05</f>
        <v>1522.5</v>
      </c>
    </row>
    <row r="422" customFormat="false" ht="15" hidden="false" customHeight="false" outlineLevel="0" collapsed="false">
      <c r="A422" s="23" t="s">
        <v>295</v>
      </c>
      <c r="B422" s="24" t="s">
        <v>10</v>
      </c>
      <c r="C422" s="39" t="s">
        <v>298</v>
      </c>
      <c r="D422" s="15" t="n">
        <f aca="false">[2]грн!f422-[2]грн!aq422-[2]грн!ap422-[2]грн!ao422-[2]грн!an422-[2]грн!am422-[2]грн!al422-[2]грн!aj422-[2]грн!ai422-[2]грн!ah422-[2]грн!ag422-[2]грн!af422-[2]грн!ad422-[2]грн!ac422-[2]грн!ab422-[2]грн!aa422-[2]грн!z422-[2]грн!x422-[2]грн!w422-[2]грн!v422-[2]грн!u422-[2]грн!t422-[2]грн!r422-[2]грн!q422-[2]грн!p422-[2]грн!o422-[2]грн!n422-[2]грн!l422-[2]грн!k422-[2]грн!j422-[2]грн!i422-[2]грн!h422+[2]грн!g422+[2]грн!m422+[2]грн!s422+[2]грн!y422+[2]грн!ae422+[2]грн!ak422</f>
        <v>6</v>
      </c>
      <c r="E422" s="19" t="n">
        <f aca="false">[2]грн!as422*1.05</f>
        <v>1470</v>
      </c>
    </row>
    <row r="423" customFormat="false" ht="15" hidden="false" customHeight="false" outlineLevel="0" collapsed="false">
      <c r="A423" s="29" t="s">
        <v>299</v>
      </c>
      <c r="B423" s="28" t="s">
        <v>8</v>
      </c>
      <c r="C423" s="28" t="s">
        <v>294</v>
      </c>
      <c r="D423" s="15" t="n">
        <f aca="false">[2]грн!f423-[2]грн!aq423-[2]грн!ap423-[2]грн!ao423-[2]грн!an423-[2]грн!am423-[2]грн!al423-[2]грн!aj423-[2]грн!ai423-[2]грн!ah423-[2]грн!ag423-[2]грн!af423-[2]грн!ad423-[2]грн!ac423-[2]грн!ab423-[2]грн!aa423-[2]грн!z423-[2]грн!x423-[2]грн!w423-[2]грн!v423-[2]грн!u423-[2]грн!t423-[2]грн!r423-[2]грн!q423-[2]грн!p423-[2]грн!o423-[2]грн!n423-[2]грн!l423-[2]грн!k423-[2]грн!j423-[2]грн!i423-[2]грн!h423+[2]грн!g423+[2]грн!m423+[2]грн!s423+[2]грн!y423+[2]грн!ae423+[2]грн!ak423</f>
        <v>8</v>
      </c>
      <c r="E423" s="19" t="n">
        <f aca="false">[2]грн!as423*1.05</f>
        <v>1638</v>
      </c>
    </row>
    <row r="424" customFormat="false" ht="15" hidden="false" customHeight="false" outlineLevel="0" collapsed="false">
      <c r="A424" s="29" t="s">
        <v>299</v>
      </c>
      <c r="B424" s="18" t="s">
        <v>300</v>
      </c>
      <c r="C424" s="28" t="s">
        <v>301</v>
      </c>
      <c r="D424" s="15" t="n">
        <f aca="false">[2]грн!f424-[2]грн!aq424-[2]грн!ap424-[2]грн!ao424-[2]грн!an424-[2]грн!am424-[2]грн!al424-[2]грн!aj424-[2]грн!ai424-[2]грн!ah424-[2]грн!ag424-[2]грн!af424-[2]грн!ad424-[2]грн!ac424-[2]грн!ab424-[2]грн!aa424-[2]грн!z424-[2]грн!x424-[2]грн!w424-[2]грн!v424-[2]грн!u424-[2]грн!t424-[2]грн!r424-[2]грн!q424-[2]грн!p424-[2]грн!o424-[2]грн!n424-[2]грн!l424-[2]грн!k424-[2]грн!j424-[2]грн!i424-[2]грн!h424+[2]грн!g424+[2]грн!m424+[2]грн!s424+[2]грн!y424+[2]грн!ae424+[2]грн!ak424</f>
        <v>8</v>
      </c>
      <c r="E424" s="19" t="n">
        <f aca="false">[2]грн!as424*1.05</f>
        <v>1680</v>
      </c>
    </row>
    <row r="425" customFormat="false" ht="15" hidden="true" customHeight="false" outlineLevel="0" collapsed="false">
      <c r="A425" s="29" t="s">
        <v>299</v>
      </c>
      <c r="B425" s="66" t="s">
        <v>217</v>
      </c>
      <c r="C425" s="28" t="s">
        <v>294</v>
      </c>
      <c r="D425" s="15" t="n">
        <f aca="false">[2]грн!f425-[2]грн!aq425-[2]грн!ap425-[2]грн!ao425-[2]грн!an425-[2]грн!am425-[2]грн!al425-[2]грн!aj425-[2]грн!ai425-[2]грн!ah425-[2]грн!ag425-[2]грн!af425-[2]грн!ad425-[2]грн!ac425-[2]грн!ab425-[2]грн!aa425-[2]грн!z425-[2]грн!x425-[2]грн!w425-[2]грн!v425-[2]грн!u425-[2]грн!t425-[2]грн!r425-[2]грн!q425-[2]грн!p425-[2]грн!o425-[2]грн!n425-[2]грн!l425-[2]грн!k425-[2]грн!j425-[2]грн!i425-[2]грн!h425+[2]грн!g425+[2]грн!m425+[2]грн!s425+[2]грн!y425+[2]грн!ae425+[2]грн!ak425</f>
        <v>0</v>
      </c>
      <c r="E425" s="19" t="n">
        <f aca="false">[2]грн!as425*1.05</f>
        <v>1270.5</v>
      </c>
    </row>
    <row r="426" customFormat="false" ht="15" hidden="false" customHeight="false" outlineLevel="0" collapsed="false">
      <c r="A426" s="12" t="s">
        <v>302</v>
      </c>
      <c r="B426" s="20"/>
      <c r="C426" s="21"/>
      <c r="D426" s="15"/>
      <c r="E426" s="22" t="n">
        <f aca="false">[2]грн!as426*1.05</f>
        <v>0</v>
      </c>
    </row>
    <row r="427" customFormat="false" ht="15" hidden="false" customHeight="false" outlineLevel="0" collapsed="false">
      <c r="A427" s="69" t="s">
        <v>303</v>
      </c>
      <c r="B427" s="18" t="s">
        <v>10</v>
      </c>
      <c r="C427" s="25" t="s">
        <v>297</v>
      </c>
      <c r="D427" s="15" t="n">
        <f aca="false">[2]грн!f427-[2]грн!aq427-[2]грн!ap427-[2]грн!ao427-[2]грн!an427-[2]грн!am427-[2]грн!al427-[2]грн!aj427-[2]грн!ai427-[2]грн!ah427-[2]грн!ag427-[2]грн!af427-[2]грн!ad427-[2]грн!ac427-[2]грн!ab427-[2]грн!aa427-[2]грн!z427-[2]грн!x427-[2]грн!w427-[2]грн!v427-[2]грн!u427-[2]грн!t427-[2]грн!r427-[2]грн!q427-[2]грн!p427-[2]грн!o427-[2]грн!n427-[2]грн!l427-[2]грн!k427-[2]грн!j427-[2]грн!i427-[2]грн!h427+[2]грн!g427+[2]грн!m427+[2]грн!s427+[2]грн!y427+[2]грн!ae427+[2]грн!ak427</f>
        <v>5</v>
      </c>
      <c r="E427" s="19" t="n">
        <f aca="false">[2]грн!as427*1.05</f>
        <v>1858.5</v>
      </c>
    </row>
    <row r="428" customFormat="false" ht="15" hidden="true" customHeight="false" outlineLevel="0" collapsed="false">
      <c r="A428" s="69" t="s">
        <v>303</v>
      </c>
      <c r="B428" s="18" t="s">
        <v>304</v>
      </c>
      <c r="C428" s="25" t="s">
        <v>305</v>
      </c>
      <c r="D428" s="15" t="n">
        <f aca="false">[2]грн!f428-[2]грн!aq428-[2]грн!ap428-[2]грн!ao428-[2]грн!an428-[2]грн!am428-[2]грн!al428-[2]грн!aj428-[2]грн!ai428-[2]грн!ah428-[2]грн!ag428-[2]грн!af428-[2]грн!ad428-[2]грн!ac428-[2]грн!ab428-[2]грн!aa428-[2]грн!z428-[2]грн!x428-[2]грн!w428-[2]грн!v428-[2]грн!u428-[2]грн!t428-[2]грн!r428-[2]грн!q428-[2]грн!p428-[2]грн!o428-[2]грн!n428-[2]грн!l428-[2]грн!k428-[2]грн!j428-[2]грн!i428-[2]грн!h428+[2]грн!g428+[2]грн!m428+[2]грн!s428+[2]грн!y428+[2]грн!ae428+[2]грн!ak428</f>
        <v>0</v>
      </c>
      <c r="E428" s="19" t="n">
        <f aca="false">[2]грн!as428*1.05</f>
        <v>1081.5</v>
      </c>
    </row>
    <row r="429" customFormat="false" ht="15" hidden="false" customHeight="false" outlineLevel="0" collapsed="false">
      <c r="A429" s="17" t="s">
        <v>306</v>
      </c>
      <c r="B429" s="18" t="s">
        <v>20</v>
      </c>
      <c r="C429" s="18" t="s">
        <v>307</v>
      </c>
      <c r="D429" s="15" t="n">
        <f aca="false">[2]грн!f429-[2]грн!aq429-[2]грн!ap429-[2]грн!ao429-[2]грн!an429-[2]грн!am429-[2]грн!al429-[2]грн!aj429-[2]грн!ai429-[2]грн!ah429-[2]грн!ag429-[2]грн!af429-[2]грн!ad429-[2]грн!ac429-[2]грн!ab429-[2]грн!aa429-[2]грн!z429-[2]грн!x429-[2]грн!w429-[2]грн!v429-[2]грн!u429-[2]грн!t429-[2]грн!r429-[2]грн!q429-[2]грн!p429-[2]грн!o429-[2]грн!n429-[2]грн!l429-[2]грн!k429-[2]грн!j429-[2]грн!i429-[2]грн!h429+[2]грн!g429+[2]грн!m429+[2]грн!s429+[2]грн!y429+[2]грн!ae429+[2]грн!ak429</f>
        <v>57</v>
      </c>
      <c r="E429" s="19" t="n">
        <f aca="false">[2]грн!as429*1.05</f>
        <v>1155</v>
      </c>
    </row>
    <row r="430" customFormat="false" ht="15" hidden="false" customHeight="false" outlineLevel="0" collapsed="false">
      <c r="A430" s="17" t="s">
        <v>308</v>
      </c>
      <c r="B430" s="18" t="s">
        <v>8</v>
      </c>
      <c r="C430" s="18" t="s">
        <v>309</v>
      </c>
      <c r="D430" s="15" t="n">
        <f aca="false">[2]грн!f430-[2]грн!aq430-[2]грн!ap430-[2]грн!ao430-[2]грн!an430-[2]грн!am430-[2]грн!al430-[2]грн!aj430-[2]грн!ai430-[2]грн!ah430-[2]грн!ag430-[2]грн!af430-[2]грн!ad430-[2]грн!ac430-[2]грн!ab430-[2]грн!aa430-[2]грн!z430-[2]грн!x430-[2]грн!w430-[2]грн!v430-[2]грн!u430-[2]грн!t430-[2]грн!r430-[2]грн!q430-[2]грн!p430-[2]грн!o430-[2]грн!n430-[2]грн!l430-[2]грн!k430-[2]грн!j430-[2]грн!i430-[2]грн!h430+[2]грн!g430+[2]грн!m430+[2]грн!s430+[2]грн!y430+[2]грн!ae430+[2]грн!ak430</f>
        <v>2</v>
      </c>
      <c r="E430" s="19" t="n">
        <f aca="false">[2]грн!as430*1.05</f>
        <v>1123.5</v>
      </c>
    </row>
    <row r="431" customFormat="false" ht="15" hidden="false" customHeight="false" outlineLevel="0" collapsed="false">
      <c r="A431" s="17" t="s">
        <v>308</v>
      </c>
      <c r="B431" s="18" t="s">
        <v>8</v>
      </c>
      <c r="C431" s="18" t="s">
        <v>310</v>
      </c>
      <c r="D431" s="15" t="n">
        <f aca="false">[2]грн!f431-[2]грн!aq431-[2]грн!ap431-[2]грн!ao431-[2]грн!an431-[2]грн!am431-[2]грн!al431-[2]грн!aj431-[2]грн!ai431-[2]грн!ah431-[2]грн!ag431-[2]грн!af431-[2]грн!ad431-[2]грн!ac431-[2]грн!ab431-[2]грн!aa431-[2]грн!z431-[2]грн!x431-[2]грн!w431-[2]грн!v431-[2]грн!u431-[2]грн!t431-[2]грн!r431-[2]грн!q431-[2]грн!p431-[2]грн!o431-[2]грн!n431-[2]грн!l431-[2]грн!k431-[2]грн!j431-[2]грн!i431-[2]грн!h431+[2]грн!g431+[2]грн!m431+[2]грн!s431+[2]грн!y431+[2]грн!ae431+[2]грн!ak431</f>
        <v>2</v>
      </c>
      <c r="E431" s="19" t="n">
        <f aca="false">[2]грн!as431*1.05</f>
        <v>1092</v>
      </c>
    </row>
    <row r="432" customFormat="false" ht="15" hidden="false" customHeight="false" outlineLevel="0" collapsed="false">
      <c r="A432" s="17" t="s">
        <v>308</v>
      </c>
      <c r="B432" s="18" t="s">
        <v>8</v>
      </c>
      <c r="C432" s="18" t="s">
        <v>311</v>
      </c>
      <c r="D432" s="15" t="n">
        <f aca="false">[2]грн!f432-[2]грн!aq432-[2]грн!ap432-[2]грн!ao432-[2]грн!an432-[2]грн!am432-[2]грн!al432-[2]грн!aj432-[2]грн!ai432-[2]грн!ah432-[2]грн!ag432-[2]грн!af432-[2]грн!ad432-[2]грн!ac432-[2]грн!ab432-[2]грн!aa432-[2]грн!z432-[2]грн!x432-[2]грн!w432-[2]грн!v432-[2]грн!u432-[2]грн!t432-[2]грн!r432-[2]грн!q432-[2]грн!p432-[2]грн!o432-[2]грн!n432-[2]грн!l432-[2]грн!k432-[2]грн!j432-[2]грн!i432-[2]грн!h432+[2]грн!g432+[2]грн!m432+[2]грн!s432+[2]грн!y432+[2]грн!ae432+[2]грн!ak432</f>
        <v>12</v>
      </c>
      <c r="E432" s="19" t="n">
        <f aca="false">[2]грн!as432*1.05</f>
        <v>1249.5</v>
      </c>
    </row>
    <row r="433" customFormat="false" ht="15" hidden="false" customHeight="false" outlineLevel="0" collapsed="false">
      <c r="A433" s="17" t="s">
        <v>308</v>
      </c>
      <c r="B433" s="18" t="s">
        <v>20</v>
      </c>
      <c r="C433" s="18" t="s">
        <v>312</v>
      </c>
      <c r="D433" s="15" t="n">
        <f aca="false">[2]грн!f433-[2]грн!aq433-[2]грн!ap433-[2]грн!ao433-[2]грн!an433-[2]грн!am433-[2]грн!al433-[2]грн!aj433-[2]грн!ai433-[2]грн!ah433-[2]грн!ag433-[2]грн!af433-[2]грн!ad433-[2]грн!ac433-[2]грн!ab433-[2]грн!aa433-[2]грн!z433-[2]грн!x433-[2]грн!w433-[2]грн!v433-[2]грн!u433-[2]грн!t433-[2]грн!r433-[2]грн!q433-[2]грн!p433-[2]грн!o433-[2]грн!n433-[2]грн!l433-[2]грн!k433-[2]грн!j433-[2]грн!i433-[2]грн!h433+[2]грн!g433+[2]грн!m433+[2]грн!s433+[2]грн!y433+[2]грн!ae433+[2]грн!ak433</f>
        <v>4</v>
      </c>
      <c r="E433" s="19" t="n">
        <f aca="false">[2]грн!as433*1.05</f>
        <v>1176</v>
      </c>
    </row>
    <row r="434" customFormat="false" ht="15" hidden="false" customHeight="false" outlineLevel="0" collapsed="false">
      <c r="A434" s="23" t="s">
        <v>308</v>
      </c>
      <c r="B434" s="24" t="s">
        <v>20</v>
      </c>
      <c r="C434" s="24" t="s">
        <v>313</v>
      </c>
      <c r="D434" s="15" t="n">
        <f aca="false">[2]грн!f434-[2]грн!aq434-[2]грн!ap434-[2]грн!ao434-[2]грн!an434-[2]грн!am434-[2]грн!al434-[2]грн!aj434-[2]грн!ai434-[2]грн!ah434-[2]грн!ag434-[2]грн!af434-[2]грн!ad434-[2]грн!ac434-[2]грн!ab434-[2]грн!aa434-[2]грн!z434-[2]грн!x434-[2]грн!w434-[2]грн!v434-[2]грн!u434-[2]грн!t434-[2]грн!r434-[2]грн!q434-[2]грн!p434-[2]грн!o434-[2]грн!n434-[2]грн!l434-[2]грн!k434-[2]грн!j434-[2]грн!i434-[2]грн!h434+[2]грн!g434+[2]грн!m434+[2]грн!s434+[2]грн!y434+[2]грн!ae434+[2]грн!ak434</f>
        <v>54</v>
      </c>
      <c r="E434" s="19" t="n">
        <f aca="false">[2]грн!as434*1.05</f>
        <v>1260</v>
      </c>
    </row>
    <row r="435" customFormat="false" ht="15" hidden="true" customHeight="false" outlineLevel="0" collapsed="false">
      <c r="A435" s="56" t="s">
        <v>308</v>
      </c>
      <c r="B435" s="25" t="s">
        <v>17</v>
      </c>
      <c r="C435" s="25" t="s">
        <v>314</v>
      </c>
      <c r="D435" s="15" t="n">
        <f aca="false">[2]грн!f435-[2]грн!aq435-[2]грн!ap435-[2]грн!ao435-[2]грн!an435-[2]грн!am435-[2]грн!al435-[2]грн!aj435-[2]грн!ai435-[2]грн!ah435-[2]грн!ag435-[2]грн!af435-[2]грн!ad435-[2]грн!ac435-[2]грн!ab435-[2]грн!aa435-[2]грн!z435-[2]грн!x435-[2]грн!w435-[2]грн!v435-[2]грн!u435-[2]грн!t435-[2]грн!r435-[2]грн!q435-[2]грн!p435-[2]грн!o435-[2]грн!n435-[2]грн!l435-[2]грн!k435-[2]грн!j435-[2]грн!i435-[2]грн!h435+[2]грн!g435+[2]грн!m435+[2]грн!s435+[2]грн!y435+[2]грн!ae435+[2]грн!ak435</f>
        <v>0</v>
      </c>
      <c r="E435" s="19" t="n">
        <f aca="false">[2]грн!as435*1.05</f>
        <v>1260</v>
      </c>
    </row>
    <row r="436" customFormat="false" ht="15" hidden="true" customHeight="false" outlineLevel="0" collapsed="false">
      <c r="A436" s="23" t="s">
        <v>308</v>
      </c>
      <c r="B436" s="24" t="s">
        <v>10</v>
      </c>
      <c r="C436" s="24" t="s">
        <v>315</v>
      </c>
      <c r="D436" s="15" t="n">
        <f aca="false">[2]грн!f436-[2]грн!aq436-[2]грн!ap436-[2]грн!ao436-[2]грн!an436-[2]грн!am436-[2]грн!al436-[2]грн!aj436-[2]грн!ai436-[2]грн!ah436-[2]грн!ag436-[2]грн!af436-[2]грн!ad436-[2]грн!ac436-[2]грн!ab436-[2]грн!aa436-[2]грн!z436-[2]грн!x436-[2]грн!w436-[2]грн!v436-[2]грн!u436-[2]грн!t436-[2]грн!r436-[2]грн!q436-[2]грн!p436-[2]грн!o436-[2]грн!n436-[2]грн!l436-[2]грн!k436-[2]грн!j436-[2]грн!i436-[2]грн!h436+[2]грн!g436+[2]грн!m436+[2]грн!s436+[2]грн!y436+[2]грн!ae436+[2]грн!ak436</f>
        <v>0</v>
      </c>
      <c r="E436" s="19" t="n">
        <f aca="false">[2]грн!as436*1.05</f>
        <v>1134</v>
      </c>
    </row>
    <row r="437" customFormat="false" ht="15" hidden="false" customHeight="false" outlineLevel="0" collapsed="false">
      <c r="A437" s="17" t="s">
        <v>308</v>
      </c>
      <c r="B437" s="18" t="s">
        <v>10</v>
      </c>
      <c r="C437" s="18" t="s">
        <v>316</v>
      </c>
      <c r="D437" s="15" t="n">
        <f aca="false">[2]грн!f437-[2]грн!aq437-[2]грн!ap437-[2]грн!ao437-[2]грн!an437-[2]грн!am437-[2]грн!al437-[2]грн!aj437-[2]грн!ai437-[2]грн!ah437-[2]грн!ag437-[2]грн!af437-[2]грн!ad437-[2]грн!ac437-[2]грн!ab437-[2]грн!aa437-[2]грн!z437-[2]грн!x437-[2]грн!w437-[2]грн!v437-[2]грн!u437-[2]грн!t437-[2]грн!r437-[2]грн!q437-[2]грн!p437-[2]грн!o437-[2]грн!n437-[2]грн!l437-[2]грн!k437-[2]грн!j437-[2]грн!i437-[2]грн!h437+[2]грн!g437+[2]грн!m437+[2]грн!s437+[2]грн!y437+[2]грн!ae437+[2]грн!ak437</f>
        <v>18</v>
      </c>
      <c r="E437" s="19" t="n">
        <f aca="false">[2]грн!as437*1.05</f>
        <v>1181.25</v>
      </c>
    </row>
    <row r="438" customFormat="false" ht="15" hidden="true" customHeight="false" outlineLevel="0" collapsed="false">
      <c r="A438" s="17" t="s">
        <v>308</v>
      </c>
      <c r="B438" s="18" t="s">
        <v>10</v>
      </c>
      <c r="C438" s="18" t="s">
        <v>276</v>
      </c>
      <c r="D438" s="15" t="n">
        <f aca="false">[2]грн!f438-[2]грн!aq438-[2]грн!ap438-[2]грн!ao438-[2]грн!an438-[2]грн!am438-[2]грн!al438-[2]грн!aj438-[2]грн!ai438-[2]грн!ah438-[2]грн!ag438-[2]грн!af438-[2]грн!ad438-[2]грн!ac438-[2]грн!ab438-[2]грн!aa438-[2]грн!z438-[2]грн!x438-[2]грн!w438-[2]грн!v438-[2]грн!u438-[2]грн!t438-[2]грн!r438-[2]грн!q438-[2]грн!p438-[2]грн!o438-[2]грн!n438-[2]грн!l438-[2]грн!k438-[2]грн!j438-[2]грн!i438-[2]грн!h438+[2]грн!g438+[2]грн!m438+[2]грн!s438+[2]грн!y438+[2]грн!ae438+[2]грн!ak438</f>
        <v>0</v>
      </c>
      <c r="E438" s="19" t="n">
        <f aca="false">[2]грн!as438*1.05</f>
        <v>1207.5</v>
      </c>
    </row>
    <row r="439" customFormat="false" ht="15" hidden="false" customHeight="false" outlineLevel="0" collapsed="false">
      <c r="A439" s="17" t="s">
        <v>308</v>
      </c>
      <c r="B439" s="18" t="s">
        <v>217</v>
      </c>
      <c r="C439" s="18" t="s">
        <v>317</v>
      </c>
      <c r="D439" s="15" t="n">
        <f aca="false">[2]грн!f439-[2]грн!aq439-[2]грн!ap439-[2]грн!ao439-[2]грн!an439-[2]грн!am439-[2]грн!al439-[2]грн!aj439-[2]грн!ai439-[2]грн!ah439-[2]грн!ag439-[2]грн!af439-[2]грн!ad439-[2]грн!ac439-[2]грн!ab439-[2]грн!aa439-[2]грн!z439-[2]грн!x439-[2]грн!w439-[2]грн!v439-[2]грн!u439-[2]грн!t439-[2]грн!r439-[2]грн!q439-[2]грн!p439-[2]грн!o439-[2]грн!n439-[2]грн!l439-[2]грн!k439-[2]грн!j439-[2]грн!i439-[2]грн!h439+[2]грн!g439+[2]грн!m439+[2]грн!s439+[2]грн!y439+[2]грн!ae439+[2]грн!ak439</f>
        <v>1</v>
      </c>
      <c r="E439" s="19" t="n">
        <f aca="false">[2]грн!as439*1.05</f>
        <v>1396.5</v>
      </c>
    </row>
    <row r="440" customFormat="false" ht="15" hidden="true" customHeight="false" outlineLevel="0" collapsed="false">
      <c r="A440" s="17" t="s">
        <v>308</v>
      </c>
      <c r="B440" s="18" t="s">
        <v>14</v>
      </c>
      <c r="C440" s="18" t="s">
        <v>318</v>
      </c>
      <c r="D440" s="15" t="n">
        <f aca="false">[2]грн!f440-[2]грн!aq440-[2]грн!ap440-[2]грн!ao440-[2]грн!an440-[2]грн!am440-[2]грн!al440-[2]грн!aj440-[2]грн!ai440-[2]грн!ah440-[2]грн!ag440-[2]грн!af440-[2]грн!ad440-[2]грн!ac440-[2]грн!ab440-[2]грн!aa440-[2]грн!z440-[2]грн!x440-[2]грн!w440-[2]грн!v440-[2]грн!u440-[2]грн!t440-[2]грн!r440-[2]грн!q440-[2]грн!p440-[2]грн!o440-[2]грн!n440-[2]грн!l440-[2]грн!k440-[2]грн!j440-[2]грн!i440-[2]грн!h440+[2]грн!g440+[2]грн!m440+[2]грн!s440+[2]грн!y440+[2]грн!ae440+[2]грн!ak440</f>
        <v>0</v>
      </c>
      <c r="E440" s="19" t="n">
        <f aca="false">[2]грн!as440*1.05</f>
        <v>1365</v>
      </c>
    </row>
    <row r="441" customFormat="false" ht="15" hidden="true" customHeight="false" outlineLevel="0" collapsed="false">
      <c r="A441" s="23" t="s">
        <v>308</v>
      </c>
      <c r="B441" s="24" t="s">
        <v>14</v>
      </c>
      <c r="C441" s="24" t="s">
        <v>319</v>
      </c>
      <c r="D441" s="15" t="n">
        <f aca="false">[2]грн!f441-[2]грн!aq441-[2]грн!ap441-[2]грн!ao441-[2]грн!an441-[2]грн!am441-[2]грн!al441-[2]грн!aj441-[2]грн!ai441-[2]грн!ah441-[2]грн!ag441-[2]грн!af441-[2]грн!ad441-[2]грн!ac441-[2]грн!ab441-[2]грн!aa441-[2]грн!z441-[2]грн!x441-[2]грн!w441-[2]грн!v441-[2]грн!u441-[2]грн!t441-[2]грн!r441-[2]грн!q441-[2]грн!p441-[2]грн!o441-[2]грн!n441-[2]грн!l441-[2]грн!k441-[2]грн!j441-[2]грн!i441-[2]грн!h441+[2]грн!g441+[2]грн!m441+[2]грн!s441+[2]грн!y441+[2]грн!ae441+[2]грн!ak441</f>
        <v>0</v>
      </c>
      <c r="E441" s="19" t="n">
        <f aca="false">[2]грн!as441*1.05</f>
        <v>1102.5</v>
      </c>
    </row>
    <row r="442" customFormat="false" ht="15" hidden="true" customHeight="false" outlineLevel="0" collapsed="false">
      <c r="A442" s="23" t="s">
        <v>308</v>
      </c>
      <c r="B442" s="24" t="s">
        <v>14</v>
      </c>
      <c r="C442" s="24" t="s">
        <v>320</v>
      </c>
      <c r="D442" s="15" t="n">
        <f aca="false">[2]грн!f442-[2]грн!aq442-[2]грн!ap442-[2]грн!ao442-[2]грн!an442-[2]грн!am442-[2]грн!al442-[2]грн!aj442-[2]грн!ai442-[2]грн!ah442-[2]грн!ag442-[2]грн!af442-[2]грн!ad442-[2]грн!ac442-[2]грн!ab442-[2]грн!aa442-[2]грн!z442-[2]грн!x442-[2]грн!w442-[2]грн!v442-[2]грн!u442-[2]грн!t442-[2]грн!r442-[2]грн!q442-[2]грн!p442-[2]грн!o442-[2]грн!n442-[2]грн!l442-[2]грн!k442-[2]грн!j442-[2]грн!i442-[2]грн!h442+[2]грн!g442+[2]грн!m442+[2]грн!s442+[2]грн!y442+[2]грн!ae442+[2]грн!ak442</f>
        <v>0</v>
      </c>
      <c r="E442" s="19" t="n">
        <f aca="false">[2]грн!as442*1.05</f>
        <v>1155</v>
      </c>
    </row>
    <row r="443" customFormat="false" ht="15" hidden="false" customHeight="false" outlineLevel="0" collapsed="false">
      <c r="A443" s="23" t="s">
        <v>321</v>
      </c>
      <c r="B443" s="24" t="s">
        <v>263</v>
      </c>
      <c r="C443" s="24" t="s">
        <v>322</v>
      </c>
      <c r="D443" s="15" t="n">
        <f aca="false">[2]грн!f443-[2]грн!aq443-[2]грн!ap443-[2]грн!ao443-[2]грн!an443-[2]грн!am443-[2]грн!al443-[2]грн!aj443-[2]грн!ai443-[2]грн!ah443-[2]грн!ag443-[2]грн!af443-[2]грн!ad443-[2]грн!ac443-[2]грн!ab443-[2]грн!aa443-[2]грн!z443-[2]грн!x443-[2]грн!w443-[2]грн!v443-[2]грн!u443-[2]грн!t443-[2]грн!r443-[2]грн!q443-[2]грн!p443-[2]грн!o443-[2]грн!n443-[2]грн!l443-[2]грн!k443-[2]грн!j443-[2]грн!i443-[2]грн!h443+[2]грн!g443+[2]грн!m443+[2]грн!s443+[2]грн!y443+[2]грн!ae443+[2]грн!ak443</f>
        <v>8</v>
      </c>
      <c r="E443" s="19" t="n">
        <f aca="false">[2]грн!as443*1.05</f>
        <v>1417.5</v>
      </c>
    </row>
    <row r="444" customFormat="false" ht="15" hidden="false" customHeight="false" outlineLevel="0" collapsed="false">
      <c r="A444" s="17" t="s">
        <v>321</v>
      </c>
      <c r="B444" s="18" t="s">
        <v>17</v>
      </c>
      <c r="C444" s="18" t="s">
        <v>323</v>
      </c>
      <c r="D444" s="15" t="n">
        <f aca="false">[2]грн!f444-[2]грн!aq444-[2]грн!ap444-[2]грн!ao444-[2]грн!an444-[2]грн!am444-[2]грн!al444-[2]грн!aj444-[2]грн!ai444-[2]грн!ah444-[2]грн!ag444-[2]грн!af444-[2]грн!ad444-[2]грн!ac444-[2]грн!ab444-[2]грн!aa444-[2]грн!z444-[2]грн!x444-[2]грн!w444-[2]грн!v444-[2]грн!u444-[2]грн!t444-[2]грн!r444-[2]грн!q444-[2]грн!p444-[2]грн!o444-[2]грн!n444-[2]грн!l444-[2]грн!k444-[2]грн!j444-[2]грн!i444-[2]грн!h444+[2]грн!g444+[2]грн!m444+[2]грн!s444+[2]грн!y444+[2]грн!ae444+[2]грн!ak444</f>
        <v>2</v>
      </c>
      <c r="E444" s="19" t="n">
        <f aca="false">[2]грн!as444*1.05</f>
        <v>1470</v>
      </c>
    </row>
    <row r="445" customFormat="false" ht="15" hidden="false" customHeight="false" outlineLevel="0" collapsed="false">
      <c r="A445" s="23" t="s">
        <v>321</v>
      </c>
      <c r="B445" s="24" t="s">
        <v>10</v>
      </c>
      <c r="C445" s="24" t="s">
        <v>324</v>
      </c>
      <c r="D445" s="15" t="n">
        <f aca="false">[2]грн!f445-[2]грн!aq445-[2]грн!ap445-[2]грн!ao445-[2]грн!an445-[2]грн!am445-[2]грн!al445-[2]грн!aj445-[2]грн!ai445-[2]грн!ah445-[2]грн!ag445-[2]грн!af445-[2]грн!ad445-[2]грн!ac445-[2]грн!ab445-[2]грн!aa445-[2]грн!z445-[2]грн!x445-[2]грн!w445-[2]грн!v445-[2]грн!u445-[2]грн!t445-[2]грн!r445-[2]грн!q445-[2]грн!p445-[2]грн!o445-[2]грн!n445-[2]грн!l445-[2]грн!k445-[2]грн!j445-[2]грн!i445-[2]грн!h445+[2]грн!g445+[2]грн!m445+[2]грн!s445+[2]грн!y445+[2]грн!ae445+[2]грн!ak445</f>
        <v>43</v>
      </c>
      <c r="E445" s="19" t="n">
        <f aca="false">[2]грн!as445*1.05</f>
        <v>1291.5</v>
      </c>
    </row>
    <row r="446" customFormat="false" ht="15" hidden="true" customHeight="false" outlineLevel="0" collapsed="false">
      <c r="A446" s="17" t="s">
        <v>321</v>
      </c>
      <c r="B446" s="18" t="s">
        <v>10</v>
      </c>
      <c r="C446" s="18" t="s">
        <v>325</v>
      </c>
      <c r="D446" s="15" t="n">
        <f aca="false">[2]грн!f446-[2]грн!aq446-[2]грн!ap446-[2]грн!ao446-[2]грн!an446-[2]грн!am446-[2]грн!al446-[2]грн!aj446-[2]грн!ai446-[2]грн!ah446-[2]грн!ag446-[2]грн!af446-[2]грн!ad446-[2]грн!ac446-[2]грн!ab446-[2]грн!aa446-[2]грн!z446-[2]грн!x446-[2]грн!w446-[2]грн!v446-[2]грн!u446-[2]грн!t446-[2]грн!r446-[2]грн!q446-[2]грн!p446-[2]грн!o446-[2]грн!n446-[2]грн!l446-[2]грн!k446-[2]грн!j446-[2]грн!i446-[2]грн!h446+[2]грн!g446+[2]грн!m446+[2]грн!s446+[2]грн!y446+[2]грн!ae446+[2]грн!ak446</f>
        <v>0</v>
      </c>
      <c r="E446" s="19" t="n">
        <f aca="false">[2]грн!as446*1.05</f>
        <v>1186.5</v>
      </c>
    </row>
    <row r="447" customFormat="false" ht="15" hidden="true" customHeight="false" outlineLevel="0" collapsed="false">
      <c r="A447" s="17" t="s">
        <v>321</v>
      </c>
      <c r="B447" s="18" t="s">
        <v>14</v>
      </c>
      <c r="C447" s="18" t="n">
        <v>131</v>
      </c>
      <c r="D447" s="15" t="n">
        <f aca="false">[2]грн!f447-[2]грн!aq447-[2]грн!ap447-[2]грн!ao447-[2]грн!an447-[2]грн!am447-[2]грн!al447-[2]грн!aj447-[2]грн!ai447-[2]грн!ah447-[2]грн!ag447-[2]грн!af447-[2]грн!ad447-[2]грн!ac447-[2]грн!ab447-[2]грн!aa447-[2]грн!z447-[2]грн!x447-[2]грн!w447-[2]грн!v447-[2]грн!u447-[2]грн!t447-[2]грн!r447-[2]грн!q447-[2]грн!p447-[2]грн!o447-[2]грн!n447-[2]грн!l447-[2]грн!k447-[2]грн!j447-[2]грн!i447-[2]грн!h447+[2]грн!g447+[2]грн!m447+[2]грн!s447+[2]грн!y447+[2]грн!ae447+[2]грн!ak447</f>
        <v>0</v>
      </c>
      <c r="E447" s="19" t="n">
        <f aca="false">[2]грн!as447*1.05</f>
        <v>1375.5</v>
      </c>
    </row>
    <row r="448" customFormat="false" ht="15" hidden="false" customHeight="false" outlineLevel="0" collapsed="false">
      <c r="A448" s="23" t="s">
        <v>326</v>
      </c>
      <c r="B448" s="24" t="s">
        <v>10</v>
      </c>
      <c r="C448" s="24" t="s">
        <v>158</v>
      </c>
      <c r="D448" s="15" t="n">
        <f aca="false">[2]грн!f448-[2]грн!aq448-[2]грн!ap448-[2]грн!ao448-[2]грн!an448-[2]грн!am448-[2]грн!al448-[2]грн!aj448-[2]грн!ai448-[2]грн!ah448-[2]грн!ag448-[2]грн!af448-[2]грн!ad448-[2]грн!ac448-[2]грн!ab448-[2]грн!aa448-[2]грн!z448-[2]грн!x448-[2]грн!w448-[2]грн!v448-[2]грн!u448-[2]грн!t448-[2]грн!r448-[2]грн!q448-[2]грн!p448-[2]грн!o448-[2]грн!n448-[2]грн!l448-[2]грн!k448-[2]грн!j448-[2]грн!i448-[2]грн!h448+[2]грн!g448+[2]грн!m448+[2]грн!s448+[2]грн!y448+[2]грн!ae448+[2]грн!ak448</f>
        <v>10</v>
      </c>
      <c r="E448" s="19" t="n">
        <f aca="false">[2]грн!as448*1.05</f>
        <v>1365</v>
      </c>
    </row>
    <row r="449" customFormat="false" ht="15" hidden="true" customHeight="false" outlineLevel="0" collapsed="false">
      <c r="A449" s="17" t="s">
        <v>327</v>
      </c>
      <c r="B449" s="18" t="s">
        <v>14</v>
      </c>
      <c r="C449" s="18" t="s">
        <v>328</v>
      </c>
      <c r="D449" s="15" t="n">
        <f aca="false">[2]грн!f449-[2]грн!aq449-[2]грн!ap449-[2]грн!ao449-[2]грн!an449-[2]грн!am449-[2]грн!al449-[2]грн!aj449-[2]грн!ai449-[2]грн!ah449-[2]грн!ag449-[2]грн!af449-[2]грн!ad449-[2]грн!ac449-[2]грн!ab449-[2]грн!aa449-[2]грн!z449-[2]грн!x449-[2]грн!w449-[2]грн!v449-[2]грн!u449-[2]грн!t449-[2]грн!r449-[2]грн!q449-[2]грн!p449-[2]грн!o449-[2]грн!n449-[2]грн!l449-[2]грн!k449-[2]грн!j449-[2]грн!i449-[2]грн!h449+[2]грн!g449+[2]грн!m449+[2]грн!s449+[2]грн!y449+[2]грн!ae449+[2]грн!ak449</f>
        <v>0</v>
      </c>
      <c r="E449" s="19" t="n">
        <f aca="false">[2]грн!as449*1.05</f>
        <v>1449</v>
      </c>
    </row>
    <row r="450" customFormat="false" ht="15" hidden="true" customHeight="false" outlineLevel="0" collapsed="false">
      <c r="A450" s="17" t="s">
        <v>327</v>
      </c>
      <c r="B450" s="18" t="s">
        <v>17</v>
      </c>
      <c r="C450" s="18" t="s">
        <v>329</v>
      </c>
      <c r="D450" s="15" t="n">
        <f aca="false">[2]грн!f450-[2]грн!aq450-[2]грн!ap450-[2]грн!ao450-[2]грн!an450-[2]грн!am450-[2]грн!al450-[2]грн!aj450-[2]грн!ai450-[2]грн!ah450-[2]грн!ag450-[2]грн!af450-[2]грн!ad450-[2]грн!ac450-[2]грн!ab450-[2]грн!aa450-[2]грн!z450-[2]грн!x450-[2]грн!w450-[2]грн!v450-[2]грн!u450-[2]грн!t450-[2]грн!r450-[2]грн!q450-[2]грн!p450-[2]грн!o450-[2]грн!n450-[2]грн!l450-[2]грн!k450-[2]грн!j450-[2]грн!i450-[2]грн!h450+[2]грн!g450+[2]грн!m450+[2]грн!s450+[2]грн!y450+[2]грн!ae450+[2]грн!ak450</f>
        <v>0</v>
      </c>
      <c r="E450" s="19" t="n">
        <f aca="false">[2]грн!as450*1.05</f>
        <v>1417.5</v>
      </c>
    </row>
    <row r="451" customFormat="false" ht="15" hidden="true" customHeight="false" outlineLevel="0" collapsed="false">
      <c r="A451" s="17" t="s">
        <v>330</v>
      </c>
      <c r="B451" s="18" t="s">
        <v>17</v>
      </c>
      <c r="C451" s="18" t="s">
        <v>285</v>
      </c>
      <c r="D451" s="15" t="n">
        <f aca="false">[2]грн!f451-[2]грн!aq451-[2]грн!ap451-[2]грн!ao451-[2]грн!an451-[2]грн!am451-[2]грн!al451-[2]грн!aj451-[2]грн!ai451-[2]грн!ah451-[2]грн!ag451-[2]грн!af451-[2]грн!ad451-[2]грн!ac451-[2]грн!ab451-[2]грн!aa451-[2]грн!z451-[2]грн!x451-[2]грн!w451-[2]грн!v451-[2]грн!u451-[2]грн!t451-[2]грн!r451-[2]грн!q451-[2]грн!p451-[2]грн!o451-[2]грн!n451-[2]грн!l451-[2]грн!k451-[2]грн!j451-[2]грн!i451-[2]грн!h451+[2]грн!g451+[2]грн!m451+[2]грн!s451+[2]грн!y451+[2]грн!ae451+[2]грн!ak451</f>
        <v>0</v>
      </c>
      <c r="E451" s="19" t="n">
        <f aca="false">[2]грн!as451*1.05</f>
        <v>1186.5</v>
      </c>
    </row>
    <row r="452" customFormat="false" ht="15" hidden="false" customHeight="false" outlineLevel="0" collapsed="false">
      <c r="A452" s="23" t="s">
        <v>330</v>
      </c>
      <c r="B452" s="24" t="s">
        <v>10</v>
      </c>
      <c r="C452" s="24" t="s">
        <v>158</v>
      </c>
      <c r="D452" s="15" t="n">
        <f aca="false">[2]грн!f452-[2]грн!aq452-[2]грн!ap452-[2]грн!ao452-[2]грн!an452-[2]грн!am452-[2]грн!al452-[2]грн!aj452-[2]грн!ai452-[2]грн!ah452-[2]грн!ag452-[2]грн!af452-[2]грн!ad452-[2]грн!ac452-[2]грн!ab452-[2]грн!aa452-[2]грн!z452-[2]грн!x452-[2]грн!w452-[2]грн!v452-[2]грн!u452-[2]грн!t452-[2]грн!r452-[2]грн!q452-[2]грн!p452-[2]грн!o452-[2]грн!n452-[2]грн!l452-[2]грн!k452-[2]грн!j452-[2]грн!i452-[2]грн!h452+[2]грн!g452+[2]грн!m452+[2]грн!s452+[2]грн!y452+[2]грн!ae452+[2]грн!ak452</f>
        <v>4</v>
      </c>
      <c r="E452" s="19" t="n">
        <f aca="false">[2]грн!as452*1.05</f>
        <v>1512</v>
      </c>
    </row>
    <row r="453" customFormat="false" ht="15" hidden="false" customHeight="false" outlineLevel="0" collapsed="false">
      <c r="A453" s="23" t="s">
        <v>331</v>
      </c>
      <c r="B453" s="24" t="s">
        <v>263</v>
      </c>
      <c r="C453" s="24" t="s">
        <v>332</v>
      </c>
      <c r="D453" s="15" t="n">
        <f aca="false">[2]грн!f453-[2]грн!aq453-[2]грн!ap453-[2]грн!ao453-[2]грн!an453-[2]грн!am453-[2]грн!al453-[2]грн!aj453-[2]грн!ai453-[2]грн!ah453-[2]грн!ag453-[2]грн!af453-[2]грн!ad453-[2]грн!ac453-[2]грн!ab453-[2]грн!aa453-[2]грн!z453-[2]грн!x453-[2]грн!w453-[2]грн!v453-[2]грн!u453-[2]грн!t453-[2]грн!r453-[2]грн!q453-[2]грн!p453-[2]грн!o453-[2]грн!n453-[2]грн!l453-[2]грн!k453-[2]грн!j453-[2]грн!i453-[2]грн!h453+[2]грн!g453+[2]грн!m453+[2]грн!s453+[2]грн!y453+[2]грн!ae453+[2]грн!ak453</f>
        <v>2</v>
      </c>
      <c r="E453" s="19" t="n">
        <f aca="false">[2]грн!as453*1.05</f>
        <v>1690.5</v>
      </c>
    </row>
    <row r="454" customFormat="false" ht="15" hidden="true" customHeight="false" outlineLevel="0" collapsed="false">
      <c r="A454" s="17" t="s">
        <v>331</v>
      </c>
      <c r="B454" s="18" t="s">
        <v>17</v>
      </c>
      <c r="C454" s="18" t="s">
        <v>285</v>
      </c>
      <c r="D454" s="15" t="n">
        <f aca="false">[2]грн!f454-[2]грн!aq454-[2]грн!ap454-[2]грн!ao454-[2]грн!an454-[2]грн!am454-[2]грн!al454-[2]грн!aj454-[2]грн!ai454-[2]грн!ah454-[2]грн!ag454-[2]грн!af454-[2]грн!ad454-[2]грн!ac454-[2]грн!ab454-[2]грн!aa454-[2]грн!z454-[2]грн!x454-[2]грн!w454-[2]грн!v454-[2]грн!u454-[2]грн!t454-[2]грн!r454-[2]грн!q454-[2]грн!p454-[2]грн!o454-[2]грн!n454-[2]грн!l454-[2]грн!k454-[2]грн!j454-[2]грн!i454-[2]грн!h454+[2]грн!g454+[2]грн!m454+[2]грн!s454+[2]грн!y454+[2]грн!ae454+[2]грн!ak454</f>
        <v>0</v>
      </c>
      <c r="E454" s="19" t="n">
        <f aca="false">[2]грн!as454*1.05</f>
        <v>1627.5</v>
      </c>
    </row>
    <row r="455" customFormat="false" ht="15" hidden="false" customHeight="false" outlineLevel="0" collapsed="false">
      <c r="A455" s="17" t="s">
        <v>331</v>
      </c>
      <c r="B455" s="18" t="s">
        <v>10</v>
      </c>
      <c r="C455" s="18" t="s">
        <v>333</v>
      </c>
      <c r="D455" s="15" t="n">
        <f aca="false">[2]грн!f455-[2]грн!aq455-[2]грн!ap455-[2]грн!ao455-[2]грн!an455-[2]грн!am455-[2]грн!al455-[2]грн!aj455-[2]грн!ai455-[2]грн!ah455-[2]грн!ag455-[2]грн!af455-[2]грн!ad455-[2]грн!ac455-[2]грн!ab455-[2]грн!aa455-[2]грн!z455-[2]грн!x455-[2]грн!w455-[2]грн!v455-[2]грн!u455-[2]грн!t455-[2]грн!r455-[2]грн!q455-[2]грн!p455-[2]грн!o455-[2]грн!n455-[2]грн!l455-[2]грн!k455-[2]грн!j455-[2]грн!i455-[2]грн!h455+[2]грн!g455+[2]грн!m455+[2]грн!s455+[2]грн!y455+[2]грн!ae455+[2]грн!ak455</f>
        <v>8</v>
      </c>
      <c r="E455" s="19" t="n">
        <f aca="false">[2]грн!as455*1.05</f>
        <v>1680</v>
      </c>
    </row>
    <row r="456" customFormat="false" ht="15" hidden="true" customHeight="false" outlineLevel="0" collapsed="false">
      <c r="A456" s="23" t="s">
        <v>334</v>
      </c>
      <c r="B456" s="24" t="s">
        <v>10</v>
      </c>
      <c r="C456" s="24" t="s">
        <v>158</v>
      </c>
      <c r="D456" s="15" t="n">
        <f aca="false">[2]грн!f456-[2]грн!aq456-[2]грн!ap456-[2]грн!ao456-[2]грн!an456-[2]грн!am456-[2]грн!al456-[2]грн!aj456-[2]грн!ai456-[2]грн!ah456-[2]грн!ag456-[2]грн!af456-[2]грн!ad456-[2]грн!ac456-[2]грн!ab456-[2]грн!aa456-[2]грн!z456-[2]грн!x456-[2]грн!w456-[2]грн!v456-[2]грн!u456-[2]грн!t456-[2]грн!r456-[2]грн!q456-[2]грн!p456-[2]грн!o456-[2]грн!n456-[2]грн!l456-[2]грн!k456-[2]грн!j456-[2]грн!i456-[2]грн!h456+[2]грн!g456+[2]грн!m456+[2]грн!s456+[2]грн!y456+[2]грн!ae456+[2]грн!ak456</f>
        <v>0</v>
      </c>
      <c r="E456" s="19" t="n">
        <f aca="false">[2]грн!as456*1.05</f>
        <v>1680</v>
      </c>
    </row>
    <row r="457" customFormat="false" ht="15" hidden="true" customHeight="false" outlineLevel="0" collapsed="false">
      <c r="A457" s="17" t="s">
        <v>335</v>
      </c>
      <c r="B457" s="18" t="s">
        <v>8</v>
      </c>
      <c r="C457" s="18" t="s">
        <v>336</v>
      </c>
      <c r="D457" s="15" t="n">
        <f aca="false">[2]грн!f457-[2]грн!aq457-[2]грн!ap457-[2]грн!ao457-[2]грн!an457-[2]грн!am457-[2]грн!al457-[2]грн!aj457-[2]грн!ai457-[2]грн!ah457-[2]грн!ag457-[2]грн!af457-[2]грн!ad457-[2]грн!ac457-[2]грн!ab457-[2]грн!aa457-[2]грн!z457-[2]грн!x457-[2]грн!w457-[2]грн!v457-[2]грн!u457-[2]грн!t457-[2]грн!r457-[2]грн!q457-[2]грн!p457-[2]грн!o457-[2]грн!n457-[2]грн!l457-[2]грн!k457-[2]грн!j457-[2]грн!i457-[2]грн!h457+[2]грн!g457+[2]грн!m457+[2]грн!s457+[2]грн!y457+[2]грн!ae457+[2]грн!ak457</f>
        <v>0</v>
      </c>
      <c r="E457" s="19" t="n">
        <f aca="false">[2]грн!as457*1.05</f>
        <v>1470</v>
      </c>
    </row>
    <row r="458" customFormat="false" ht="15" hidden="false" customHeight="false" outlineLevel="0" collapsed="false">
      <c r="A458" s="17" t="s">
        <v>335</v>
      </c>
      <c r="B458" s="18" t="s">
        <v>10</v>
      </c>
      <c r="C458" s="18" t="s">
        <v>337</v>
      </c>
      <c r="D458" s="15" t="n">
        <f aca="false">[2]грн!f458-[2]грн!aq458-[2]грн!ap458-[2]грн!ao458-[2]грн!an458-[2]грн!am458-[2]грн!al458-[2]грн!aj458-[2]грн!ai458-[2]грн!ah458-[2]грн!ag458-[2]грн!af458-[2]грн!ad458-[2]грн!ac458-[2]грн!ab458-[2]грн!aa458-[2]грн!z458-[2]грн!x458-[2]грн!w458-[2]грн!v458-[2]грн!u458-[2]грн!t458-[2]грн!r458-[2]грн!q458-[2]грн!p458-[2]грн!o458-[2]грн!n458-[2]грн!l458-[2]грн!k458-[2]грн!j458-[2]грн!i458-[2]грн!h458+[2]грн!g458+[2]грн!m458+[2]грн!s458+[2]грн!y458+[2]грн!ae458+[2]грн!ak458</f>
        <v>8</v>
      </c>
      <c r="E458" s="19" t="n">
        <f aca="false">[2]грн!as458*1.05</f>
        <v>1680</v>
      </c>
    </row>
    <row r="459" customFormat="false" ht="15" hidden="true" customHeight="false" outlineLevel="0" collapsed="false">
      <c r="A459" s="17" t="s">
        <v>335</v>
      </c>
      <c r="B459" s="18" t="s">
        <v>10</v>
      </c>
      <c r="C459" s="18" t="s">
        <v>276</v>
      </c>
      <c r="D459" s="15" t="n">
        <f aca="false">[2]грн!f459-[2]грн!aq459-[2]грн!ap459-[2]грн!ao459-[2]грн!an459-[2]грн!am459-[2]грн!al459-[2]грн!aj459-[2]грн!ai459-[2]грн!ah459-[2]грн!ag459-[2]грн!af459-[2]грн!ad459-[2]грн!ac459-[2]грн!ab459-[2]грн!aa459-[2]грн!z459-[2]грн!x459-[2]грн!w459-[2]грн!v459-[2]грн!u459-[2]грн!t459-[2]грн!r459-[2]грн!q459-[2]грн!p459-[2]грн!o459-[2]грн!n459-[2]грн!l459-[2]грн!k459-[2]грн!j459-[2]грн!i459-[2]грн!h459+[2]грн!g459+[2]грн!m459+[2]грн!s459+[2]грн!y459+[2]грн!ae459+[2]грн!ak459</f>
        <v>0</v>
      </c>
      <c r="E459" s="19" t="n">
        <f aca="false">[2]грн!as459*1.05</f>
        <v>1417.5</v>
      </c>
    </row>
    <row r="460" customFormat="false" ht="15" hidden="true" customHeight="false" outlineLevel="0" collapsed="false">
      <c r="A460" s="17" t="s">
        <v>335</v>
      </c>
      <c r="B460" s="18" t="s">
        <v>10</v>
      </c>
      <c r="C460" s="18" t="s">
        <v>338</v>
      </c>
      <c r="D460" s="15" t="n">
        <f aca="false">[2]грн!f460-[2]грн!aq460-[2]грн!ap460-[2]грн!ao460-[2]грн!an460-[2]грн!am460-[2]грн!al460-[2]грн!aj460-[2]грн!ai460-[2]грн!ah460-[2]грн!ag460-[2]грн!af460-[2]грн!ad460-[2]грн!ac460-[2]грн!ab460-[2]грн!aa460-[2]грн!z460-[2]грн!x460-[2]грн!w460-[2]грн!v460-[2]грн!u460-[2]грн!t460-[2]грн!r460-[2]грн!q460-[2]грн!p460-[2]грн!o460-[2]грн!n460-[2]грн!l460-[2]грн!k460-[2]грн!j460-[2]грн!i460-[2]грн!h460+[2]грн!g460+[2]грн!m460+[2]грн!s460+[2]грн!y460+[2]грн!ae460+[2]грн!ak460</f>
        <v>0</v>
      </c>
      <c r="E460" s="19" t="n">
        <f aca="false">[2]грн!as460*1.05</f>
        <v>1732.5</v>
      </c>
    </row>
    <row r="461" customFormat="false" ht="15" hidden="false" customHeight="false" outlineLevel="0" collapsed="false">
      <c r="A461" s="17" t="s">
        <v>335</v>
      </c>
      <c r="B461" s="18" t="s">
        <v>14</v>
      </c>
      <c r="C461" s="18" t="s">
        <v>339</v>
      </c>
      <c r="D461" s="15" t="n">
        <f aca="false">[2]грн!f461-[2]грн!aq461-[2]грн!ap461-[2]грн!ao461-[2]грн!an461-[2]грн!am461-[2]грн!al461-[2]грн!aj461-[2]грн!ai461-[2]грн!ah461-[2]грн!ag461-[2]грн!af461-[2]грн!ad461-[2]грн!ac461-[2]грн!ab461-[2]грн!aa461-[2]грн!z461-[2]грн!x461-[2]грн!w461-[2]грн!v461-[2]грн!u461-[2]грн!t461-[2]грн!r461-[2]грн!q461-[2]грн!p461-[2]грн!o461-[2]грн!n461-[2]грн!l461-[2]грн!k461-[2]грн!j461-[2]грн!i461-[2]грн!h461+[2]грн!g461+[2]грн!m461+[2]грн!s461+[2]грн!y461+[2]грн!ae461+[2]грн!ak461</f>
        <v>6</v>
      </c>
      <c r="E461" s="19" t="n">
        <f aca="false">[2]грн!as461*1.05</f>
        <v>1711.5</v>
      </c>
    </row>
    <row r="462" customFormat="false" ht="15" hidden="false" customHeight="false" outlineLevel="0" collapsed="false">
      <c r="A462" s="17" t="s">
        <v>335</v>
      </c>
      <c r="B462" s="18" t="s">
        <v>14</v>
      </c>
      <c r="C462" s="18" t="n">
        <v>218</v>
      </c>
      <c r="D462" s="15" t="n">
        <f aca="false">[2]грн!f462-[2]грн!aq462-[2]грн!ap462-[2]грн!ao462-[2]грн!an462-[2]грн!am462-[2]грн!al462-[2]грн!aj462-[2]грн!ai462-[2]грн!ah462-[2]грн!ag462-[2]грн!af462-[2]грн!ad462-[2]грн!ac462-[2]грн!ab462-[2]грн!aa462-[2]грн!z462-[2]грн!x462-[2]грн!w462-[2]грн!v462-[2]грн!u462-[2]грн!t462-[2]грн!r462-[2]грн!q462-[2]грн!p462-[2]грн!o462-[2]грн!n462-[2]грн!l462-[2]грн!k462-[2]грн!j462-[2]грн!i462-[2]грн!h462+[2]грн!g462+[2]грн!m462+[2]грн!s462+[2]грн!y462+[2]грн!ae462+[2]грн!ak462</f>
        <v>3</v>
      </c>
      <c r="E462" s="19" t="n">
        <f aca="false">[2]грн!as462*1.05</f>
        <v>1732.5</v>
      </c>
    </row>
    <row r="463" customFormat="false" ht="15" hidden="true" customHeight="false" outlineLevel="0" collapsed="false">
      <c r="A463" s="17" t="s">
        <v>335</v>
      </c>
      <c r="B463" s="18" t="s">
        <v>224</v>
      </c>
      <c r="C463" s="17" t="s">
        <v>340</v>
      </c>
      <c r="D463" s="15" t="n">
        <f aca="false">[2]грн!f463-[2]грн!aq463-[2]грн!ap463-[2]грн!ao463-[2]грн!an463-[2]грн!am463-[2]грн!al463-[2]грн!aj463-[2]грн!ai463-[2]грн!ah463-[2]грн!ag463-[2]грн!af463-[2]грн!ad463-[2]грн!ac463-[2]грн!ab463-[2]грн!aa463-[2]грн!z463-[2]грн!x463-[2]грн!w463-[2]грн!v463-[2]грн!u463-[2]грн!t463-[2]грн!r463-[2]грн!q463-[2]грн!p463-[2]грн!o463-[2]грн!n463-[2]грн!l463-[2]грн!k463-[2]грн!j463-[2]грн!i463-[2]грн!h463+[2]грн!g463+[2]грн!m463+[2]грн!s463+[2]грн!y463+[2]грн!ae463+[2]грн!ak463</f>
        <v>0</v>
      </c>
      <c r="E463" s="19" t="n">
        <f aca="false">[2]грн!as463*1.05</f>
        <v>1470</v>
      </c>
    </row>
    <row r="464" customFormat="false" ht="15" hidden="true" customHeight="false" outlineLevel="0" collapsed="false">
      <c r="A464" s="23" t="s">
        <v>341</v>
      </c>
      <c r="B464" s="70" t="s">
        <v>10</v>
      </c>
      <c r="C464" s="23" t="s">
        <v>158</v>
      </c>
      <c r="D464" s="15" t="n">
        <f aca="false">[2]грн!f464-[2]грн!aq464-[2]грн!ap464-[2]грн!ao464-[2]грн!an464-[2]грн!am464-[2]грн!al464-[2]грн!aj464-[2]грн!ai464-[2]грн!ah464-[2]грн!ag464-[2]грн!af464-[2]грн!ad464-[2]грн!ac464-[2]грн!ab464-[2]грн!aa464-[2]грн!z464-[2]грн!x464-[2]грн!w464-[2]грн!v464-[2]грн!u464-[2]грн!t464-[2]грн!r464-[2]грн!q464-[2]грн!p464-[2]грн!o464-[2]грн!n464-[2]грн!l464-[2]грн!k464-[2]грн!j464-[2]грн!i464-[2]грн!h464+[2]грн!g464+[2]грн!m464+[2]грн!s464+[2]грн!y464+[2]грн!ae464+[2]грн!ak464</f>
        <v>0</v>
      </c>
      <c r="E464" s="19" t="n">
        <f aca="false">[2]грн!as464*1.05</f>
        <v>1470</v>
      </c>
    </row>
    <row r="465" customFormat="false" ht="15" hidden="false" customHeight="false" outlineLevel="0" collapsed="false">
      <c r="A465" s="67" t="s">
        <v>342</v>
      </c>
      <c r="B465" s="68"/>
      <c r="C465" s="21"/>
      <c r="D465" s="15"/>
      <c r="E465" s="22" t="n">
        <f aca="false">[2]грн!as465*1.05</f>
        <v>0</v>
      </c>
    </row>
    <row r="466" customFormat="false" ht="15" hidden="true" customHeight="false" outlineLevel="0" collapsed="false">
      <c r="A466" s="17" t="s">
        <v>343</v>
      </c>
      <c r="B466" s="18" t="s">
        <v>20</v>
      </c>
      <c r="C466" s="17" t="s">
        <v>344</v>
      </c>
      <c r="D466" s="15" t="n">
        <f aca="false">[2]грн!f466-[2]грн!aq466-[2]грн!ap466-[2]грн!ao466-[2]грн!an466-[2]грн!am466-[2]грн!al466-[2]грн!aj466-[2]грн!ai466-[2]грн!ah466-[2]грн!ag466-[2]грн!af466-[2]грн!ad466-[2]грн!ac466-[2]грн!ab466-[2]грн!aa466-[2]грн!z466-[2]грн!x466-[2]грн!w466-[2]грн!v466-[2]грн!u466-[2]грн!t466-[2]грн!r466-[2]грн!q466-[2]грн!p466-[2]грн!o466-[2]грн!n466-[2]грн!l466-[2]грн!k466-[2]грн!j466-[2]грн!i466-[2]грн!h466+[2]грн!g466+[2]грн!m466+[2]грн!s466+[2]грн!y466+[2]грн!ae466+[2]грн!ak466</f>
        <v>0</v>
      </c>
      <c r="E466" s="19" t="n">
        <f aca="false">[2]грн!as466*1.05</f>
        <v>2415</v>
      </c>
    </row>
    <row r="467" customFormat="false" ht="15" hidden="false" customHeight="false" outlineLevel="0" collapsed="false">
      <c r="A467" s="67" t="s">
        <v>345</v>
      </c>
      <c r="B467" s="68"/>
      <c r="C467" s="21"/>
      <c r="D467" s="15"/>
      <c r="E467" s="22" t="n">
        <f aca="false">[2]грн!as467*1.05</f>
        <v>0</v>
      </c>
    </row>
    <row r="468" customFormat="false" ht="15" hidden="true" customHeight="false" outlineLevel="0" collapsed="false">
      <c r="A468" s="18" t="s">
        <v>346</v>
      </c>
      <c r="B468" s="17" t="s">
        <v>217</v>
      </c>
      <c r="C468" s="17" t="s">
        <v>347</v>
      </c>
      <c r="D468" s="15" t="n">
        <f aca="false">[2]грн!f468-[2]грн!aq468-[2]грн!ap468-[2]грн!ao468-[2]грн!an468-[2]грн!am468-[2]грн!al468-[2]грн!aj468-[2]грн!ai468-[2]грн!ah468-[2]грн!ag468-[2]грн!af468-[2]грн!ad468-[2]грн!ac468-[2]грн!ab468-[2]грн!aa468-[2]грн!z468-[2]грн!x468-[2]грн!w468-[2]грн!v468-[2]грн!u468-[2]грн!t468-[2]грн!r468-[2]грн!q468-[2]грн!p468-[2]грн!o468-[2]грн!n468-[2]грн!l468-[2]грн!k468-[2]грн!j468-[2]грн!i468-[2]грн!h468+[2]грн!g468+[2]грн!m468+[2]грн!s468+[2]грн!y468+[2]грн!ae468+[2]грн!ak468</f>
        <v>0</v>
      </c>
      <c r="E468" s="19" t="n">
        <v>1375</v>
      </c>
    </row>
    <row r="469" customFormat="false" ht="15" hidden="true" customHeight="false" outlineLevel="0" collapsed="false">
      <c r="A469" s="18" t="s">
        <v>346</v>
      </c>
      <c r="B469" s="17" t="s">
        <v>10</v>
      </c>
      <c r="C469" s="17" t="s">
        <v>348</v>
      </c>
      <c r="D469" s="15" t="n">
        <f aca="false">[2]грн!f469-[2]грн!aq469-[2]грн!ap469-[2]грн!ao469-[2]грн!an469-[2]грн!am469-[2]грн!al469-[2]грн!aj469-[2]грн!ai469-[2]грн!ah469-[2]грн!ag469-[2]грн!af469-[2]грн!ad469-[2]грн!ac469-[2]грн!ab469-[2]грн!aa469-[2]грн!z469-[2]грн!x469-[2]грн!w469-[2]грн!v469-[2]грн!u469-[2]грн!t469-[2]грн!r469-[2]грн!q469-[2]грн!p469-[2]грн!o469-[2]грн!n469-[2]грн!l469-[2]грн!k469-[2]грн!j469-[2]грн!i469-[2]грн!h469+[2]грн!g469+[2]грн!m469+[2]грн!s469+[2]грн!y469+[2]грн!ae469+[2]грн!ak469</f>
        <v>0</v>
      </c>
      <c r="E469" s="19" t="n">
        <v>1350</v>
      </c>
    </row>
    <row r="470" customFormat="false" ht="15" hidden="false" customHeight="false" outlineLevel="0" collapsed="false">
      <c r="A470" s="27" t="s">
        <v>349</v>
      </c>
      <c r="B470" s="51" t="s">
        <v>263</v>
      </c>
      <c r="C470" s="49" t="s">
        <v>350</v>
      </c>
      <c r="D470" s="15" t="n">
        <f aca="false">[2]грн!f470-[2]грн!aq470-[2]грн!ap470-[2]грн!ao470-[2]грн!an470-[2]грн!am470-[2]грн!al470-[2]грн!aj470-[2]грн!ai470-[2]грн!ah470-[2]грн!ag470-[2]грн!af470-[2]грн!ad470-[2]грн!ac470-[2]грн!ab470-[2]грн!aa470-[2]грн!z470-[2]грн!x470-[2]грн!w470-[2]грн!v470-[2]грн!u470-[2]грн!t470-[2]грн!r470-[2]грн!q470-[2]грн!p470-[2]грн!o470-[2]грн!n470-[2]грн!l470-[2]грн!k470-[2]грн!j470-[2]грн!i470-[2]грн!h470+[2]грн!g470+[2]грн!m470+[2]грн!s470+[2]грн!y470+[2]грн!ae470+[2]грн!ak470</f>
        <v>2</v>
      </c>
      <c r="E470" s="19" t="n">
        <v>2020</v>
      </c>
    </row>
    <row r="471" customFormat="false" ht="15" hidden="true" customHeight="false" outlineLevel="0" collapsed="false">
      <c r="A471" s="27" t="s">
        <v>349</v>
      </c>
      <c r="B471" s="51" t="s">
        <v>217</v>
      </c>
      <c r="C471" s="49" t="s">
        <v>350</v>
      </c>
      <c r="D471" s="15" t="n">
        <f aca="false">[2]грн!f471-[2]грн!aq471-[2]грн!ap471-[2]грн!ao471-[2]грн!an471-[2]грн!am471-[2]грн!al471-[2]грн!aj471-[2]грн!ai471-[2]грн!ah471-[2]грн!ag471-[2]грн!af471-[2]грн!ad471-[2]грн!ac471-[2]грн!ab471-[2]грн!aa471-[2]грн!z471-[2]грн!x471-[2]грн!w471-[2]грн!v471-[2]грн!u471-[2]грн!t471-[2]грн!r471-[2]грн!q471-[2]грн!p471-[2]грн!o471-[2]грн!n471-[2]грн!l471-[2]грн!k471-[2]грн!j471-[2]грн!i471-[2]грн!h471+[2]грн!g471+[2]грн!m471+[2]грн!s471+[2]грн!y471+[2]грн!ae471+[2]грн!ak471</f>
        <v>0</v>
      </c>
      <c r="E471" s="19" t="n">
        <f aca="false">[2]грн!as471*1.06</f>
        <v>2067</v>
      </c>
    </row>
    <row r="472" customFormat="false" ht="15" hidden="false" customHeight="false" outlineLevel="0" collapsed="false">
      <c r="A472" s="27" t="s">
        <v>349</v>
      </c>
      <c r="B472" s="28" t="s">
        <v>8</v>
      </c>
      <c r="C472" s="17" t="s">
        <v>351</v>
      </c>
      <c r="D472" s="15" t="n">
        <f aca="false">[2]грн!f472-[2]грн!aq472-[2]грн!ap472-[2]грн!ao472-[2]грн!an472-[2]грн!am472-[2]грн!al472-[2]грн!aj472-[2]грн!ai472-[2]грн!ah472-[2]грн!ag472-[2]грн!af472-[2]грн!ad472-[2]грн!ac472-[2]грн!ab472-[2]грн!aa472-[2]грн!z472-[2]грн!x472-[2]грн!w472-[2]грн!v472-[2]грн!u472-[2]грн!t472-[2]грн!r472-[2]грн!q472-[2]грн!p472-[2]грн!o472-[2]грн!n472-[2]грн!l472-[2]грн!k472-[2]грн!j472-[2]грн!i472-[2]грн!h472+[2]грн!g472+[2]грн!m472+[2]грн!s472+[2]грн!y472+[2]грн!ae472+[2]грн!ak472</f>
        <v>8</v>
      </c>
      <c r="E472" s="19" t="n">
        <v>1970</v>
      </c>
    </row>
    <row r="473" customFormat="false" ht="15" hidden="true" customHeight="false" outlineLevel="0" collapsed="false">
      <c r="A473" s="28" t="s">
        <v>352</v>
      </c>
      <c r="B473" s="28" t="s">
        <v>217</v>
      </c>
      <c r="C473" s="17" t="s">
        <v>353</v>
      </c>
      <c r="D473" s="15" t="n">
        <f aca="false">[2]грн!f473-[2]грн!aq473-[2]грн!ap473-[2]грн!ao473-[2]грн!an473-[2]грн!am473-[2]грн!al473-[2]грн!aj473-[2]грн!ai473-[2]грн!ah473-[2]грн!ag473-[2]грн!af473-[2]грн!ad473-[2]грн!ac473-[2]грн!ab473-[2]грн!aa473-[2]грн!z473-[2]грн!x473-[2]грн!w473-[2]грн!v473-[2]грн!u473-[2]грн!t473-[2]грн!r473-[2]грн!q473-[2]грн!p473-[2]грн!o473-[2]грн!n473-[2]грн!l473-[2]грн!k473-[2]грн!j473-[2]грн!i473-[2]грн!h473+[2]грн!g473+[2]грн!m473+[2]грн!s473+[2]грн!y473+[2]грн!ae473+[2]грн!ak473</f>
        <v>0</v>
      </c>
      <c r="E473" s="19" t="n">
        <f aca="false">[2]грн!as473*1.06</f>
        <v>2014</v>
      </c>
    </row>
    <row r="474" customFormat="false" ht="15" hidden="false" customHeight="false" outlineLevel="0" collapsed="false">
      <c r="A474" s="51" t="s">
        <v>354</v>
      </c>
      <c r="B474" s="51" t="s">
        <v>263</v>
      </c>
      <c r="C474" s="49" t="s">
        <v>355</v>
      </c>
      <c r="D474" s="15" t="n">
        <f aca="false">[2]грн!f474-[2]грн!aq474-[2]грн!ap474-[2]грн!ao474-[2]грн!an474-[2]грн!am474-[2]грн!al474-[2]грн!aj474-[2]грн!ai474-[2]грн!ah474-[2]грн!ag474-[2]грн!af474-[2]грн!ad474-[2]грн!ac474-[2]грн!ab474-[2]грн!aa474-[2]грн!z474-[2]грн!x474-[2]грн!w474-[2]грн!v474-[2]грн!u474-[2]грн!t474-[2]грн!r474-[2]грн!q474-[2]грн!p474-[2]грн!o474-[2]грн!n474-[2]грн!l474-[2]грн!k474-[2]грн!j474-[2]грн!i474-[2]грн!h474+[2]грн!g474+[2]грн!m474+[2]грн!s474+[2]грн!y474+[2]грн!ae474+[2]грн!ak474</f>
        <v>2</v>
      </c>
      <c r="E474" s="19" t="n">
        <f aca="false">[2]грн!as474*1.06</f>
        <v>3074</v>
      </c>
    </row>
    <row r="475" customFormat="false" ht="15" hidden="false" customHeight="false" outlineLevel="0" collapsed="false">
      <c r="A475" s="51" t="s">
        <v>354</v>
      </c>
      <c r="B475" s="51" t="s">
        <v>217</v>
      </c>
      <c r="C475" s="49" t="s">
        <v>356</v>
      </c>
      <c r="D475" s="15" t="n">
        <f aca="false">[2]грн!f475-[2]грн!aq475-[2]грн!ap475-[2]грн!ao475-[2]грн!an475-[2]грн!am475-[2]грн!al475-[2]грн!aj475-[2]грн!ai475-[2]грн!ah475-[2]грн!ag475-[2]грн!af475-[2]грн!ad475-[2]грн!ac475-[2]грн!ab475-[2]грн!aa475-[2]грн!z475-[2]грн!x475-[2]грн!w475-[2]грн!v475-[2]грн!u475-[2]грн!t475-[2]грн!r475-[2]грн!q475-[2]грн!p475-[2]грн!o475-[2]грн!n475-[2]грн!l475-[2]грн!k475-[2]грн!j475-[2]грн!i475-[2]грн!h475+[2]грн!g475+[2]грн!m475+[2]грн!s475+[2]грн!y475+[2]грн!ae475+[2]грн!ak475</f>
        <v>1</v>
      </c>
      <c r="E475" s="19" t="n">
        <f aca="false">[2]грн!as475*1.06</f>
        <v>2544</v>
      </c>
    </row>
    <row r="476" customFormat="false" ht="15" hidden="false" customHeight="false" outlineLevel="0" collapsed="false">
      <c r="A476" s="51" t="s">
        <v>354</v>
      </c>
      <c r="B476" s="28" t="s">
        <v>8</v>
      </c>
      <c r="C476" s="49"/>
      <c r="D476" s="15" t="n">
        <f aca="false">[2]грн!f476-[2]грн!aq476-[2]грн!ap476-[2]грн!ao476-[2]грн!an476-[2]грн!am476-[2]грн!al476-[2]грн!aj476-[2]грн!ai476-[2]грн!ah476-[2]грн!ag476-[2]грн!af476-[2]грн!ad476-[2]грн!ac476-[2]грн!ab476-[2]грн!aa476-[2]грн!z476-[2]грн!x476-[2]грн!w476-[2]грн!v476-[2]грн!u476-[2]грн!t476-[2]грн!r476-[2]грн!q476-[2]грн!p476-[2]грн!o476-[2]грн!n476-[2]грн!l476-[2]грн!k476-[2]грн!j476-[2]грн!i476-[2]грн!h476+[2]грн!g476+[2]грн!m476+[2]грн!s476+[2]грн!y476+[2]грн!ae476+[2]грн!ak476</f>
        <v>1</v>
      </c>
      <c r="E476" s="19" t="n">
        <f aca="false">[2]грн!as476*1.06</f>
        <v>2544</v>
      </c>
    </row>
    <row r="477" customFormat="false" ht="15" hidden="true" customHeight="false" outlineLevel="0" collapsed="false">
      <c r="A477" s="28" t="s">
        <v>357</v>
      </c>
      <c r="B477" s="28" t="s">
        <v>358</v>
      </c>
      <c r="C477" s="17" t="s">
        <v>359</v>
      </c>
      <c r="D477" s="15" t="n">
        <f aca="false">[2]грн!f477-[2]грн!aq477-[2]грн!ap477-[2]грн!ao477-[2]грн!an477-[2]грн!am477-[2]грн!al477-[2]грн!aj477-[2]грн!ai477-[2]грн!ah477-[2]грн!ag477-[2]грн!af477-[2]грн!ad477-[2]грн!ac477-[2]грн!ab477-[2]грн!aa477-[2]грн!z477-[2]грн!x477-[2]грн!w477-[2]грн!v477-[2]грн!u477-[2]грн!t477-[2]грн!r477-[2]грн!q477-[2]грн!p477-[2]грн!o477-[2]грн!n477-[2]грн!l477-[2]грн!k477-[2]грн!j477-[2]грн!i477-[2]грн!h477+[2]грн!g477+[2]грн!m477+[2]грн!s477+[2]грн!y477+[2]грн!ae477+[2]грн!ak477</f>
        <v>0</v>
      </c>
      <c r="E477" s="19" t="n">
        <f aca="false">[2]грн!as477*1.06</f>
        <v>2332</v>
      </c>
    </row>
    <row r="478" customFormat="false" ht="15" hidden="false" customHeight="false" outlineLevel="0" collapsed="false">
      <c r="A478" s="28" t="s">
        <v>360</v>
      </c>
      <c r="B478" s="28" t="s">
        <v>217</v>
      </c>
      <c r="C478" s="17" t="s">
        <v>361</v>
      </c>
      <c r="D478" s="15" t="n">
        <f aca="false">[2]грн!f478-[2]грн!aq478-[2]грн!ap478-[2]грн!ao478-[2]грн!an478-[2]грн!am478-[2]грн!al478-[2]грн!aj478-[2]грн!ai478-[2]грн!ah478-[2]грн!ag478-[2]грн!af478-[2]грн!ad478-[2]грн!ac478-[2]грн!ab478-[2]грн!aa478-[2]грн!z478-[2]грн!x478-[2]грн!w478-[2]грн!v478-[2]грн!u478-[2]грн!t478-[2]грн!r478-[2]грн!q478-[2]грн!p478-[2]грн!o478-[2]грн!n478-[2]грн!l478-[2]грн!k478-[2]грн!j478-[2]грн!i478-[2]грн!h478+[2]грн!g478+[2]грн!m478+[2]грн!s478+[2]грн!y478+[2]грн!ae478+[2]грн!ak478</f>
        <v>4</v>
      </c>
      <c r="E478" s="19" t="n">
        <f aca="false">[2]грн!as478*1.06</f>
        <v>3286</v>
      </c>
    </row>
    <row r="479" customFormat="false" ht="15" hidden="false" customHeight="false" outlineLevel="0" collapsed="false">
      <c r="A479" s="28" t="s">
        <v>360</v>
      </c>
      <c r="B479" s="28" t="s">
        <v>263</v>
      </c>
      <c r="C479" s="17" t="s">
        <v>362</v>
      </c>
      <c r="D479" s="15" t="n">
        <f aca="false">[2]грн!f479-[2]грн!aq479-[2]грн!ap479-[2]грн!ao479-[2]грн!an479-[2]грн!am479-[2]грн!al479-[2]грн!aj479-[2]грн!ai479-[2]грн!ah479-[2]грн!ag479-[2]грн!af479-[2]грн!ad479-[2]грн!ac479-[2]грн!ab479-[2]грн!aa479-[2]грн!z479-[2]грн!x479-[2]грн!w479-[2]грн!v479-[2]грн!u479-[2]грн!t479-[2]грн!r479-[2]грн!q479-[2]грн!p479-[2]грн!o479-[2]грн!n479-[2]грн!l479-[2]грн!k479-[2]грн!j479-[2]грн!i479-[2]грн!h479+[2]грн!g479+[2]грн!m479+[2]грн!s479+[2]грн!y479+[2]грн!ae479+[2]грн!ak479</f>
        <v>2</v>
      </c>
      <c r="E479" s="19" t="n">
        <f aca="false">[2]грн!as479*1.06</f>
        <v>3922</v>
      </c>
    </row>
    <row r="480" customFormat="false" ht="15" hidden="false" customHeight="false" outlineLevel="0" collapsed="false">
      <c r="A480" s="28" t="s">
        <v>363</v>
      </c>
      <c r="B480" s="28" t="s">
        <v>263</v>
      </c>
      <c r="C480" s="17" t="s">
        <v>364</v>
      </c>
      <c r="D480" s="15" t="n">
        <f aca="false">[2]грн!f480-[2]грн!aq480-[2]грн!ap480-[2]грн!ao480-[2]грн!an480-[2]грн!am480-[2]грн!al480-[2]грн!aj480-[2]грн!ai480-[2]грн!ah480-[2]грн!ag480-[2]грн!af480-[2]грн!ad480-[2]грн!ac480-[2]грн!ab480-[2]грн!aa480-[2]грн!z480-[2]грн!x480-[2]грн!w480-[2]грн!v480-[2]грн!u480-[2]грн!t480-[2]грн!r480-[2]грн!q480-[2]грн!p480-[2]грн!o480-[2]грн!n480-[2]грн!l480-[2]грн!k480-[2]грн!j480-[2]грн!i480-[2]грн!h480+[2]грн!g480+[2]грн!m480+[2]грн!s480+[2]грн!y480+[2]грн!ae480+[2]грн!ak480</f>
        <v>4</v>
      </c>
      <c r="E480" s="19" t="n">
        <f aca="false">[2]грн!as480*1.06</f>
        <v>5406</v>
      </c>
    </row>
    <row r="481" customFormat="false" ht="15" hidden="true" customHeight="false" outlineLevel="0" collapsed="false">
      <c r="A481" s="28" t="s">
        <v>365</v>
      </c>
      <c r="B481" s="28" t="s">
        <v>8</v>
      </c>
      <c r="C481" s="17" t="s">
        <v>366</v>
      </c>
      <c r="D481" s="15" t="n">
        <f aca="false">[2]грн!f481-[2]грн!aq481-[2]грн!ap481-[2]грн!ao481-[2]грн!an481-[2]грн!am481-[2]грн!al481-[2]грн!aj481-[2]грн!ai481-[2]грн!ah481-[2]грн!ag481-[2]грн!af481-[2]грн!ad481-[2]грн!ac481-[2]грн!ab481-[2]грн!aa481-[2]грн!z481-[2]грн!x481-[2]грн!w481-[2]грн!v481-[2]грн!u481-[2]грн!t481-[2]грн!r481-[2]грн!q481-[2]грн!p481-[2]грн!o481-[2]грн!n481-[2]грн!l481-[2]грн!k481-[2]грн!j481-[2]грн!i481-[2]грн!h481+[2]грн!g481+[2]грн!m481+[2]грн!s481+[2]грн!y481+[2]грн!ae481+[2]грн!ak481</f>
        <v>0</v>
      </c>
      <c r="E481" s="19" t="n">
        <f aca="false">[2]грн!as481*1.04</f>
        <v>5252</v>
      </c>
    </row>
    <row r="482" customFormat="false" ht="15" hidden="false" customHeight="false" outlineLevel="0" collapsed="false">
      <c r="A482" s="51" t="s">
        <v>367</v>
      </c>
      <c r="B482" s="51" t="s">
        <v>217</v>
      </c>
      <c r="C482" s="49" t="s">
        <v>368</v>
      </c>
      <c r="D482" s="15" t="n">
        <f aca="false">[2]грн!f482-[2]грн!aq482-[2]грн!ap482-[2]грн!ao482-[2]грн!an482-[2]грн!am482-[2]грн!al482-[2]грн!aj482-[2]грн!ai482-[2]грн!ah482-[2]грн!ag482-[2]грн!af482-[2]грн!ad482-[2]грн!ac482-[2]грн!ab482-[2]грн!aa482-[2]грн!z482-[2]грн!x482-[2]грн!w482-[2]грн!v482-[2]грн!u482-[2]грн!t482-[2]грн!r482-[2]грн!q482-[2]грн!p482-[2]грн!o482-[2]грн!n482-[2]грн!l482-[2]грн!k482-[2]грн!j482-[2]грн!i482-[2]грн!h482+[2]грн!g482+[2]грн!m482+[2]грн!s482+[2]грн!y482+[2]грн!ae482+[2]грн!ak482</f>
        <v>2</v>
      </c>
      <c r="E482" s="19" t="n">
        <f aca="false">[2]грн!as482*1.06</f>
        <v>7345.8</v>
      </c>
    </row>
    <row r="483" customFormat="false" ht="15" hidden="true" customHeight="false" outlineLevel="0" collapsed="false">
      <c r="A483" s="28" t="s">
        <v>367</v>
      </c>
      <c r="B483" s="28" t="s">
        <v>263</v>
      </c>
      <c r="C483" s="17" t="s">
        <v>369</v>
      </c>
      <c r="D483" s="15" t="n">
        <f aca="false">[2]грн!f483-[2]грн!aq483-[2]грн!ap483-[2]грн!ao483-[2]грн!an483-[2]грн!am483-[2]грн!al483-[2]грн!aj483-[2]грн!ai483-[2]грн!ah483-[2]грн!ag483-[2]грн!af483-[2]грн!ad483-[2]грн!ac483-[2]грн!ab483-[2]грн!aa483-[2]грн!z483-[2]грн!x483-[2]грн!w483-[2]грн!v483-[2]грн!u483-[2]грн!t483-[2]грн!r483-[2]грн!q483-[2]грн!p483-[2]грн!o483-[2]грн!n483-[2]грн!l483-[2]грн!k483-[2]грн!j483-[2]грн!i483-[2]грн!h483+[2]грн!g483+[2]грн!m483+[2]грн!s483+[2]грн!y483+[2]грн!ae483+[2]грн!ak483</f>
        <v>0</v>
      </c>
      <c r="E483" s="19" t="n">
        <f aca="false">[2]грн!as483*1.06</f>
        <v>9381</v>
      </c>
    </row>
    <row r="484" customFormat="false" ht="15" hidden="false" customHeight="false" outlineLevel="0" collapsed="false">
      <c r="A484" s="28" t="s">
        <v>370</v>
      </c>
      <c r="B484" s="28" t="s">
        <v>8</v>
      </c>
      <c r="C484" s="28" t="s">
        <v>371</v>
      </c>
      <c r="D484" s="15" t="n">
        <f aca="false">[2]грн!f484-[2]грн!aq484-[2]грн!ap484-[2]грн!ao484-[2]грн!an484-[2]грн!am484-[2]грн!al484-[2]грн!aj484-[2]грн!ai484-[2]грн!ah484-[2]грн!ag484-[2]грн!af484-[2]грн!ad484-[2]грн!ac484-[2]грн!ab484-[2]грн!aa484-[2]грн!z484-[2]грн!x484-[2]грн!w484-[2]грн!v484-[2]грн!u484-[2]грн!t484-[2]грн!r484-[2]грн!q484-[2]грн!p484-[2]грн!o484-[2]грн!n484-[2]грн!l484-[2]грн!k484-[2]грн!j484-[2]грн!i484-[2]грн!h484+[2]грн!g484+[2]грн!m484+[2]грн!s484+[2]грн!y484+[2]грн!ae484+[2]грн!ak484</f>
        <v>1</v>
      </c>
      <c r="E484" s="19" t="n">
        <f aca="false">[2]грн!as484*1.06</f>
        <v>4293</v>
      </c>
    </row>
    <row r="485" customFormat="false" ht="15" hidden="false" customHeight="false" outlineLevel="0" collapsed="false">
      <c r="A485" s="28" t="s">
        <v>372</v>
      </c>
      <c r="B485" s="28" t="s">
        <v>217</v>
      </c>
      <c r="C485" s="29" t="s">
        <v>373</v>
      </c>
      <c r="D485" s="15" t="n">
        <f aca="false">[2]грн!f485-[2]грн!aq485-[2]грн!ap485-[2]грн!ao485-[2]грн!an485-[2]грн!am485-[2]грн!al485-[2]грн!aj485-[2]грн!ai485-[2]грн!ah485-[2]грн!ag485-[2]грн!af485-[2]грн!ad485-[2]грн!ac485-[2]грн!ab485-[2]грн!aa485-[2]грн!z485-[2]грн!x485-[2]грн!w485-[2]грн!v485-[2]грн!u485-[2]грн!t485-[2]грн!r485-[2]грн!q485-[2]грн!p485-[2]грн!o485-[2]грн!n485-[2]грн!l485-[2]грн!k485-[2]грн!j485-[2]грн!i485-[2]грн!h485+[2]грн!g485+[2]грн!m485+[2]грн!s485+[2]грн!y485+[2]грн!ae485+[2]грн!ak485</f>
        <v>8</v>
      </c>
      <c r="E485" s="19" t="n">
        <f aca="false">[2]грн!as485*1.04</f>
        <v>2288</v>
      </c>
    </row>
    <row r="486" customFormat="false" ht="15" hidden="false" customHeight="false" outlineLevel="0" collapsed="false">
      <c r="A486" s="28" t="s">
        <v>372</v>
      </c>
      <c r="B486" s="28" t="s">
        <v>8</v>
      </c>
      <c r="C486" s="17" t="s">
        <v>374</v>
      </c>
      <c r="D486" s="15" t="n">
        <f aca="false">[2]грн!f486-[2]грн!aq486-[2]грн!ap486-[2]грн!ao486-[2]грн!an486-[2]грн!am486-[2]грн!al486-[2]грн!aj486-[2]грн!ai486-[2]грн!ah486-[2]грн!ag486-[2]грн!af486-[2]грн!ad486-[2]грн!ac486-[2]грн!ab486-[2]грн!aa486-[2]грн!z486-[2]грн!x486-[2]грн!w486-[2]грн!v486-[2]грн!u486-[2]грн!t486-[2]грн!r486-[2]грн!q486-[2]грн!p486-[2]грн!o486-[2]грн!n486-[2]грн!l486-[2]грн!k486-[2]грн!j486-[2]грн!i486-[2]грн!h486+[2]грн!g486+[2]грн!m486+[2]грн!s486+[2]грн!y486+[2]грн!ae486+[2]грн!ak486</f>
        <v>1</v>
      </c>
      <c r="E486" s="19" t="n">
        <f aca="false">[2]грн!as486*1.04</f>
        <v>2267.2</v>
      </c>
    </row>
    <row r="487" customFormat="false" ht="15" hidden="false" customHeight="false" outlineLevel="0" collapsed="false">
      <c r="A487" s="28" t="s">
        <v>372</v>
      </c>
      <c r="B487" s="28" t="s">
        <v>8</v>
      </c>
      <c r="C487" s="17" t="s">
        <v>375</v>
      </c>
      <c r="D487" s="15" t="n">
        <f aca="false">[2]грн!f487-[2]грн!aq487-[2]грн!ap487-[2]грн!ao487-[2]грн!an487-[2]грн!am487-[2]грн!al487-[2]грн!aj487-[2]грн!ai487-[2]грн!ah487-[2]грн!ag487-[2]грн!af487-[2]грн!ad487-[2]грн!ac487-[2]грн!ab487-[2]грн!aa487-[2]грн!z487-[2]грн!x487-[2]грн!w487-[2]грн!v487-[2]грн!u487-[2]грн!t487-[2]грн!r487-[2]грн!q487-[2]грн!p487-[2]грн!o487-[2]грн!n487-[2]грн!l487-[2]грн!k487-[2]грн!j487-[2]грн!i487-[2]грн!h487+[2]грн!g487+[2]грн!m487+[2]грн!s487+[2]грн!y487+[2]грн!ae487+[2]грн!ak487</f>
        <v>6</v>
      </c>
      <c r="E487" s="19" t="n">
        <v>2250</v>
      </c>
    </row>
    <row r="488" customFormat="false" ht="15" hidden="true" customHeight="false" outlineLevel="0" collapsed="false">
      <c r="A488" s="29" t="s">
        <v>376</v>
      </c>
      <c r="B488" s="28" t="s">
        <v>8</v>
      </c>
      <c r="C488" s="17" t="s">
        <v>377</v>
      </c>
      <c r="D488" s="15" t="n">
        <f aca="false">[2]грн!f488-[2]грн!aq488-[2]грн!ap488-[2]грн!ao488-[2]грн!an488-[2]грн!am488-[2]грн!al488-[2]грн!aj488-[2]грн!ai488-[2]грн!ah488-[2]грн!ag488-[2]грн!af488-[2]грн!ad488-[2]грн!ac488-[2]грн!ab488-[2]грн!aa488-[2]грн!z488-[2]грн!x488-[2]грн!w488-[2]грн!v488-[2]грн!u488-[2]грн!t488-[2]грн!r488-[2]грн!q488-[2]грн!p488-[2]грн!o488-[2]грн!n488-[2]грн!l488-[2]грн!k488-[2]грн!j488-[2]грн!i488-[2]грн!h488+[2]грн!g488+[2]грн!m488+[2]грн!s488+[2]грн!y488+[2]грн!ae488+[2]грн!ak488</f>
        <v>0</v>
      </c>
      <c r="E488" s="19" t="n">
        <f aca="false">[2]грн!as488*1.04</f>
        <v>5512</v>
      </c>
    </row>
    <row r="489" customFormat="false" ht="15" hidden="false" customHeight="false" outlineLevel="0" collapsed="false">
      <c r="A489" s="67" t="s">
        <v>378</v>
      </c>
      <c r="B489" s="68"/>
      <c r="C489" s="21"/>
      <c r="D489" s="15"/>
      <c r="E489" s="22" t="n">
        <f aca="false">[2]грн!as489*1.04</f>
        <v>0</v>
      </c>
    </row>
    <row r="490" customFormat="false" ht="15" hidden="false" customHeight="false" outlineLevel="0" collapsed="false">
      <c r="A490" s="17" t="s">
        <v>379</v>
      </c>
      <c r="B490" s="18" t="s">
        <v>14</v>
      </c>
      <c r="C490" s="18" t="s">
        <v>380</v>
      </c>
      <c r="D490" s="15" t="n">
        <f aca="false">[2]грн!f490-[2]грн!aq490-[2]грн!ap490-[2]грн!ao490-[2]грн!an490-[2]грн!am490-[2]грн!al490-[2]грн!aj490-[2]грн!ai490-[2]грн!ah490-[2]грн!ag490-[2]грн!af490-[2]грн!ad490-[2]грн!ac490-[2]грн!ab490-[2]грн!aa490-[2]грн!z490-[2]грн!x490-[2]грн!w490-[2]грн!v490-[2]грн!u490-[2]грн!t490-[2]грн!r490-[2]грн!q490-[2]грн!p490-[2]грн!o490-[2]грн!n490-[2]грн!l490-[2]грн!k490-[2]грн!j490-[2]грн!i490-[2]грн!h490+[2]грн!g490+[2]грн!m490+[2]грн!s490+[2]грн!y490+[2]грн!ae490+[2]грн!ak490</f>
        <v>8</v>
      </c>
      <c r="E490" s="19" t="n">
        <f aca="false">[2]грн!as490*1.04</f>
        <v>2912</v>
      </c>
    </row>
    <row r="491" customFormat="false" ht="15" hidden="false" customHeight="false" outlineLevel="0" collapsed="false">
      <c r="A491" s="17" t="s">
        <v>379</v>
      </c>
      <c r="B491" s="18" t="s">
        <v>263</v>
      </c>
      <c r="C491" s="18" t="s">
        <v>381</v>
      </c>
      <c r="D491" s="15" t="n">
        <f aca="false">[2]грн!f491-[2]грн!aq491-[2]грн!ap491-[2]грн!ao491-[2]грн!an491-[2]грн!am491-[2]грн!al491-[2]грн!aj491-[2]грн!ai491-[2]грн!ah491-[2]грн!ag491-[2]грн!af491-[2]грн!ad491-[2]грн!ac491-[2]грн!ab491-[2]грн!aa491-[2]грн!z491-[2]грн!x491-[2]грн!w491-[2]грн!v491-[2]грн!u491-[2]грн!t491-[2]грн!r491-[2]грн!q491-[2]грн!p491-[2]грн!o491-[2]грн!n491-[2]грн!l491-[2]грн!k491-[2]грн!j491-[2]грн!i491-[2]грн!h491+[2]грн!g491+[2]грн!m491+[2]грн!s491+[2]грн!y491+[2]грн!ae491+[2]грн!ak491</f>
        <v>8</v>
      </c>
      <c r="E491" s="19" t="n">
        <f aca="false">[2]грн!as491*1.04</f>
        <v>2839.2</v>
      </c>
    </row>
    <row r="492" customFormat="false" ht="15" hidden="false" customHeight="false" outlineLevel="0" collapsed="false">
      <c r="A492" s="17" t="s">
        <v>379</v>
      </c>
      <c r="B492" s="18" t="s">
        <v>382</v>
      </c>
      <c r="C492" s="18" t="str">
        <f aca="false">$C$491</f>
        <v>У-2 10сл</v>
      </c>
      <c r="D492" s="15" t="n">
        <f aca="false">[2]грн!f492-[2]грн!aq492-[2]грн!ap492-[2]грн!ao492-[2]грн!an492-[2]грн!am492-[2]грн!al492-[2]грн!aj492-[2]грн!ai492-[2]грн!ah492-[2]грн!ag492-[2]грн!af492-[2]грн!ad492-[2]грн!ac492-[2]грн!ab492-[2]грн!aa492-[2]грн!z492-[2]грн!x492-[2]грн!w492-[2]грн!v492-[2]грн!u492-[2]грн!t492-[2]грн!r492-[2]грн!q492-[2]грн!p492-[2]грн!o492-[2]грн!n492-[2]грн!l492-[2]грн!k492-[2]грн!j492-[2]грн!i492-[2]грн!h492+[2]грн!g492+[2]грн!m492+[2]грн!s492+[2]грн!y492+[2]грн!ae492+[2]грн!ak492</f>
        <v>2</v>
      </c>
      <c r="E492" s="19" t="n">
        <f aca="false">[2]грн!as492*1.04</f>
        <v>2808</v>
      </c>
    </row>
    <row r="493" customFormat="false" ht="15" hidden="true" customHeight="false" outlineLevel="0" collapsed="false">
      <c r="A493" s="17" t="s">
        <v>383</v>
      </c>
      <c r="B493" s="18" t="s">
        <v>8</v>
      </c>
      <c r="C493" s="18" t="s">
        <v>384</v>
      </c>
      <c r="D493" s="15" t="n">
        <f aca="false">[2]грн!f493-[2]грн!aq493-[2]грн!ap493-[2]грн!ao493-[2]грн!an493-[2]грн!am493-[2]грн!al493-[2]грн!aj493-[2]грн!ai493-[2]грн!ah493-[2]грн!ag493-[2]грн!af493-[2]грн!ad493-[2]грн!ac493-[2]грн!ab493-[2]грн!aa493-[2]грн!z493-[2]грн!x493-[2]грн!w493-[2]грн!v493-[2]грн!u493-[2]грн!t493-[2]грн!r493-[2]грн!q493-[2]грн!p493-[2]грн!o493-[2]грн!n493-[2]грн!l493-[2]грн!k493-[2]грн!j493-[2]грн!i493-[2]грн!h493+[2]грн!g493+[2]грн!m493+[2]грн!s493+[2]грн!y493+[2]грн!ae493+[2]грн!ak493</f>
        <v>0</v>
      </c>
      <c r="E493" s="19" t="n">
        <f aca="false">[2]грн!as493*1.04</f>
        <v>3640</v>
      </c>
    </row>
    <row r="494" customFormat="false" ht="15" hidden="false" customHeight="false" outlineLevel="0" collapsed="false">
      <c r="A494" s="17" t="s">
        <v>383</v>
      </c>
      <c r="B494" s="18" t="s">
        <v>263</v>
      </c>
      <c r="C494" s="18" t="s">
        <v>385</v>
      </c>
      <c r="D494" s="15" t="n">
        <f aca="false">[2]грн!f494-[2]грн!aq494-[2]грн!ap494-[2]грн!ao494-[2]грн!an494-[2]грн!am494-[2]грн!al494-[2]грн!aj494-[2]грн!ai494-[2]грн!ah494-[2]грн!ag494-[2]грн!af494-[2]грн!ad494-[2]грн!ac494-[2]грн!ab494-[2]грн!aa494-[2]грн!z494-[2]грн!x494-[2]грн!w494-[2]грн!v494-[2]грн!u494-[2]грн!t494-[2]грн!r494-[2]грн!q494-[2]грн!p494-[2]грн!o494-[2]грн!n494-[2]грн!l494-[2]грн!k494-[2]грн!j494-[2]грн!i494-[2]грн!h494+[2]грн!g494+[2]грн!m494+[2]грн!s494+[2]грн!y494+[2]грн!ae494+[2]грн!ak494</f>
        <v>3</v>
      </c>
      <c r="E494" s="19" t="n">
        <f aca="false">[2]грн!as494*1.04</f>
        <v>3848</v>
      </c>
    </row>
    <row r="495" customFormat="false" ht="15" hidden="true" customHeight="false" outlineLevel="0" collapsed="false">
      <c r="A495" s="17" t="s">
        <v>383</v>
      </c>
      <c r="B495" s="18" t="s">
        <v>263</v>
      </c>
      <c r="C495" s="18" t="s">
        <v>386</v>
      </c>
      <c r="D495" s="15" t="n">
        <f aca="false">[2]грн!f495-[2]грн!aq495-[2]грн!ap495-[2]грн!ao495-[2]грн!an495-[2]грн!am495-[2]грн!al495-[2]грн!aj495-[2]грн!ai495-[2]грн!ah495-[2]грн!ag495-[2]грн!af495-[2]грн!ad495-[2]грн!ac495-[2]грн!ab495-[2]грн!aa495-[2]грн!z495-[2]грн!x495-[2]грн!w495-[2]грн!v495-[2]грн!u495-[2]грн!t495-[2]грн!r495-[2]грн!q495-[2]грн!p495-[2]грн!o495-[2]грн!n495-[2]грн!l495-[2]грн!k495-[2]грн!j495-[2]грн!i495-[2]грн!h495+[2]грн!g495+[2]грн!m495+[2]грн!s495+[2]грн!y495+[2]грн!ae495+[2]грн!ak495</f>
        <v>0</v>
      </c>
      <c r="E495" s="19" t="n">
        <f aca="false">[2]грн!as495*1.04</f>
        <v>3640</v>
      </c>
    </row>
    <row r="496" customFormat="false" ht="15" hidden="true" customHeight="false" outlineLevel="0" collapsed="false">
      <c r="A496" s="17" t="s">
        <v>383</v>
      </c>
      <c r="B496" s="18" t="s">
        <v>10</v>
      </c>
      <c r="C496" s="18" t="s">
        <v>387</v>
      </c>
      <c r="D496" s="15" t="n">
        <f aca="false">[2]грн!f496-[2]грн!aq496-[2]грн!ap496-[2]грн!ao496-[2]грн!an496-[2]грн!am496-[2]грн!al496-[2]грн!aj496-[2]грн!ai496-[2]грн!ah496-[2]грн!ag496-[2]грн!af496-[2]грн!ad496-[2]грн!ac496-[2]грн!ab496-[2]грн!aa496-[2]грн!z496-[2]грн!x496-[2]грн!w496-[2]грн!v496-[2]грн!u496-[2]грн!t496-[2]грн!r496-[2]грн!q496-[2]грн!p496-[2]грн!o496-[2]грн!n496-[2]грн!l496-[2]грн!k496-[2]грн!j496-[2]грн!i496-[2]грн!h496+[2]грн!g496+[2]грн!m496+[2]грн!s496+[2]грн!y496+[2]грн!ae496+[2]грн!ak496</f>
        <v>0</v>
      </c>
      <c r="E496" s="19" t="n">
        <f aca="false">[2]грн!as496*1.04</f>
        <v>3744</v>
      </c>
    </row>
    <row r="497" customFormat="false" ht="15" hidden="false" customHeight="false" outlineLevel="0" collapsed="false">
      <c r="A497" s="17" t="s">
        <v>383</v>
      </c>
      <c r="B497" s="18" t="s">
        <v>10</v>
      </c>
      <c r="C497" s="18" t="s">
        <v>388</v>
      </c>
      <c r="D497" s="15" t="n">
        <f aca="false">[2]грн!f497-[2]грн!aq497-[2]грн!ap497-[2]грн!ao497-[2]грн!an497-[2]грн!am497-[2]грн!al497-[2]грн!aj497-[2]грн!ai497-[2]грн!ah497-[2]грн!ag497-[2]грн!af497-[2]грн!ad497-[2]грн!ac497-[2]грн!ab497-[2]грн!aa497-[2]грн!z497-[2]грн!x497-[2]грн!w497-[2]грн!v497-[2]грн!u497-[2]грн!t497-[2]грн!r497-[2]грн!q497-[2]грн!p497-[2]грн!o497-[2]грн!n497-[2]грн!l497-[2]грн!k497-[2]грн!j497-[2]грн!i497-[2]грн!h497+[2]грн!g497+[2]грн!m497+[2]грн!s497+[2]грн!y497+[2]грн!ae497+[2]грн!ak497</f>
        <v>7</v>
      </c>
      <c r="E497" s="19" t="n">
        <f aca="false">[2]грн!as497*1.04</f>
        <v>3900</v>
      </c>
    </row>
    <row r="498" customFormat="false" ht="15" hidden="false" customHeight="false" outlineLevel="0" collapsed="false">
      <c r="A498" s="17" t="s">
        <v>383</v>
      </c>
      <c r="B498" s="18" t="s">
        <v>14</v>
      </c>
      <c r="C498" s="18" t="s">
        <v>389</v>
      </c>
      <c r="D498" s="15" t="n">
        <f aca="false">[2]грн!f498-[2]грн!aq498-[2]грн!ap498-[2]грн!ao498-[2]грн!an498-[2]грн!am498-[2]грн!al498-[2]грн!aj498-[2]грн!ai498-[2]грн!ah498-[2]грн!ag498-[2]грн!af498-[2]грн!ad498-[2]грн!ac498-[2]грн!ab498-[2]грн!aa498-[2]грн!z498-[2]грн!x498-[2]грн!w498-[2]грн!v498-[2]грн!u498-[2]грн!t498-[2]грн!r498-[2]грн!q498-[2]грн!p498-[2]грн!o498-[2]грн!n498-[2]грн!l498-[2]грн!k498-[2]грн!j498-[2]грн!i498-[2]грн!h498+[2]грн!g498+[2]грн!m498+[2]грн!s498+[2]грн!y498+[2]грн!ae498+[2]грн!ak498</f>
        <v>4</v>
      </c>
      <c r="E498" s="19" t="n">
        <f aca="false">[2]грн!as498*1.04</f>
        <v>3796</v>
      </c>
    </row>
    <row r="499" customFormat="false" ht="15" hidden="false" customHeight="false" outlineLevel="0" collapsed="false">
      <c r="A499" s="17" t="s">
        <v>383</v>
      </c>
      <c r="B499" s="18" t="s">
        <v>14</v>
      </c>
      <c r="C499" s="18" t="s">
        <v>390</v>
      </c>
      <c r="D499" s="15" t="n">
        <f aca="false">[2]грн!f499-[2]грн!aq499-[2]грн!ap499-[2]грн!ao499-[2]грн!an499-[2]грн!am499-[2]грн!al499-[2]грн!aj499-[2]грн!ai499-[2]грн!ah499-[2]грн!ag499-[2]грн!af499-[2]грн!ad499-[2]грн!ac499-[2]грн!ab499-[2]грн!aa499-[2]грн!z499-[2]грн!x499-[2]грн!w499-[2]грн!v499-[2]грн!u499-[2]грн!t499-[2]грн!r499-[2]грн!q499-[2]грн!p499-[2]грн!o499-[2]грн!n499-[2]грн!l499-[2]грн!k499-[2]грн!j499-[2]грн!i499-[2]грн!h499+[2]грн!g499+[2]грн!m499+[2]грн!s499+[2]грн!y499+[2]грн!ae499+[2]грн!ak499</f>
        <v>2</v>
      </c>
      <c r="E499" s="19" t="n">
        <f aca="false">[2]грн!as499*1.04</f>
        <v>3900</v>
      </c>
    </row>
    <row r="500" customFormat="false" ht="15" hidden="false" customHeight="false" outlineLevel="0" collapsed="false">
      <c r="A500" s="17" t="s">
        <v>383</v>
      </c>
      <c r="B500" s="18" t="s">
        <v>14</v>
      </c>
      <c r="C500" s="18" t="s">
        <v>391</v>
      </c>
      <c r="D500" s="15" t="n">
        <f aca="false">[2]грн!f500-[2]грн!aq500-[2]грн!ap500-[2]грн!ao500-[2]грн!an500-[2]грн!am500-[2]грн!al500-[2]грн!aj500-[2]грн!ai500-[2]грн!ah500-[2]грн!ag500-[2]грн!af500-[2]грн!ad500-[2]грн!ac500-[2]грн!ab500-[2]грн!aa500-[2]грн!z500-[2]грн!x500-[2]грн!w500-[2]грн!v500-[2]грн!u500-[2]грн!t500-[2]грн!r500-[2]грн!q500-[2]грн!p500-[2]грн!o500-[2]грн!n500-[2]грн!l500-[2]грн!k500-[2]грн!j500-[2]грн!i500-[2]грн!h500+[2]грн!g500+[2]грн!m500+[2]грн!s500+[2]грн!y500+[2]грн!ae500+[2]грн!ak500</f>
        <v>40</v>
      </c>
      <c r="E500" s="19" t="n">
        <f aca="false">[2]грн!as500*1.04</f>
        <v>3920.8</v>
      </c>
    </row>
    <row r="501" customFormat="false" ht="15" hidden="false" customHeight="false" outlineLevel="0" collapsed="false">
      <c r="A501" s="17" t="s">
        <v>383</v>
      </c>
      <c r="B501" s="18" t="s">
        <v>382</v>
      </c>
      <c r="C501" s="18" t="s">
        <v>391</v>
      </c>
      <c r="D501" s="15" t="n">
        <f aca="false">[2]грн!f501-[2]грн!aq501-[2]грн!ap501-[2]грн!ao501-[2]грн!an501-[2]грн!am501-[2]грн!al501-[2]грн!aj501-[2]грн!ai501-[2]грн!ah501-[2]грн!ag501-[2]грн!af501-[2]грн!ad501-[2]грн!ac501-[2]грн!ab501-[2]грн!aa501-[2]грн!z501-[2]грн!x501-[2]грн!w501-[2]грн!v501-[2]грн!u501-[2]грн!t501-[2]грн!r501-[2]грн!q501-[2]грн!p501-[2]грн!o501-[2]грн!n501-[2]грн!l501-[2]грн!k501-[2]грн!j501-[2]грн!i501-[2]грн!h501+[2]грн!g501+[2]грн!m501+[2]грн!s501+[2]грн!y501+[2]грн!ae501+[2]грн!ak501</f>
        <v>1</v>
      </c>
      <c r="E501" s="19" t="n">
        <f aca="false">[2]грн!as501*1.04</f>
        <v>3848</v>
      </c>
    </row>
    <row r="502" customFormat="false" ht="15" hidden="true" customHeight="false" outlineLevel="0" collapsed="false">
      <c r="A502" s="17" t="s">
        <v>392</v>
      </c>
      <c r="B502" s="18" t="s">
        <v>10</v>
      </c>
      <c r="C502" s="18" t="s">
        <v>393</v>
      </c>
      <c r="D502" s="15" t="n">
        <f aca="false">[2]грн!f502-[2]грн!aq502-[2]грн!ap502-[2]грн!ao502-[2]грн!an502-[2]грн!am502-[2]грн!al502-[2]грн!aj502-[2]грн!ai502-[2]грн!ah502-[2]грн!ag502-[2]грн!af502-[2]грн!ad502-[2]грн!ac502-[2]грн!ab502-[2]грн!aa502-[2]грн!z502-[2]грн!x502-[2]грн!w502-[2]грн!v502-[2]грн!u502-[2]грн!t502-[2]грн!r502-[2]грн!q502-[2]грн!p502-[2]грн!o502-[2]грн!n502-[2]грн!l502-[2]грн!k502-[2]грн!j502-[2]грн!i502-[2]грн!h502+[2]грн!g502+[2]грн!m502+[2]грн!s502+[2]грн!y502+[2]грн!ae502+[2]грн!ak502</f>
        <v>0</v>
      </c>
      <c r="E502" s="19" t="n">
        <f aca="false">[2]грн!as502*1.04</f>
        <v>1453.92</v>
      </c>
    </row>
    <row r="503" customFormat="false" ht="15" hidden="true" customHeight="false" outlineLevel="0" collapsed="false">
      <c r="A503" s="17" t="s">
        <v>392</v>
      </c>
      <c r="B503" s="18" t="s">
        <v>10</v>
      </c>
      <c r="C503" s="18" t="s">
        <v>394</v>
      </c>
      <c r="D503" s="15" t="n">
        <f aca="false">[2]грн!f503-[2]грн!aq503-[2]грн!ap503-[2]грн!ao503-[2]грн!an503-[2]грн!am503-[2]грн!al503-[2]грн!aj503-[2]грн!ai503-[2]грн!ah503-[2]грн!ag503-[2]грн!af503-[2]грн!ad503-[2]грн!ac503-[2]грн!ab503-[2]грн!aa503-[2]грн!z503-[2]грн!x503-[2]грн!w503-[2]грн!v503-[2]грн!u503-[2]грн!t503-[2]грн!r503-[2]грн!q503-[2]грн!p503-[2]грн!o503-[2]грн!n503-[2]грн!l503-[2]грн!k503-[2]грн!j503-[2]грн!i503-[2]грн!h503+[2]грн!g503+[2]грн!m503+[2]грн!s503+[2]грн!y503+[2]грн!ae503+[2]грн!ak503</f>
        <v>0</v>
      </c>
      <c r="E503" s="19" t="n">
        <f aca="false">[2]грн!as503*1.04</f>
        <v>1456</v>
      </c>
    </row>
    <row r="504" customFormat="false" ht="15" hidden="false" customHeight="false" outlineLevel="0" collapsed="false">
      <c r="A504" s="17" t="s">
        <v>392</v>
      </c>
      <c r="B504" s="18" t="s">
        <v>14</v>
      </c>
      <c r="C504" s="18" t="n">
        <v>310</v>
      </c>
      <c r="D504" s="15" t="n">
        <f aca="false">[2]грн!f504-[2]грн!aq504-[2]грн!ap504-[2]грн!ao504-[2]грн!an504-[2]грн!am504-[2]грн!al504-[2]грн!aj504-[2]грн!ai504-[2]грн!ah504-[2]грн!ag504-[2]грн!af504-[2]грн!ad504-[2]грн!ac504-[2]грн!ab504-[2]грн!aa504-[2]грн!z504-[2]грн!x504-[2]грн!w504-[2]грн!v504-[2]грн!u504-[2]грн!t504-[2]грн!r504-[2]грн!q504-[2]грн!p504-[2]грн!o504-[2]грн!n504-[2]грн!l504-[2]грн!k504-[2]грн!j504-[2]грн!i504-[2]грн!h504+[2]грн!g504+[2]грн!m504+[2]грн!s504+[2]грн!y504+[2]грн!ae504+[2]грн!ak504</f>
        <v>6</v>
      </c>
      <c r="E504" s="19" t="n">
        <f aca="false">[2]грн!as504*1.04</f>
        <v>5304</v>
      </c>
    </row>
    <row r="505" customFormat="false" ht="15" hidden="false" customHeight="false" outlineLevel="0" collapsed="false">
      <c r="A505" s="17" t="s">
        <v>392</v>
      </c>
      <c r="B505" s="18" t="s">
        <v>14</v>
      </c>
      <c r="C505" s="18" t="s">
        <v>395</v>
      </c>
      <c r="D505" s="15" t="n">
        <f aca="false">[2]грн!f505-[2]грн!aq505-[2]грн!ap505-[2]грн!ao505-[2]грн!an505-[2]грн!am505-[2]грн!al505-[2]грн!aj505-[2]грн!ai505-[2]грн!ah505-[2]грн!ag505-[2]грн!af505-[2]грн!ad505-[2]грн!ac505-[2]грн!ab505-[2]грн!aa505-[2]грн!z505-[2]грн!x505-[2]грн!w505-[2]грн!v505-[2]грн!u505-[2]грн!t505-[2]грн!r505-[2]грн!q505-[2]грн!p505-[2]грн!o505-[2]грн!n505-[2]грн!l505-[2]грн!k505-[2]грн!j505-[2]грн!i505-[2]грн!h505+[2]грн!g505+[2]грн!m505+[2]грн!s505+[2]грн!y505+[2]грн!ae505+[2]грн!ak505</f>
        <v>4</v>
      </c>
      <c r="E505" s="19" t="n">
        <f aca="false">[2]грн!as505*1.04</f>
        <v>4680</v>
      </c>
    </row>
    <row r="506" customFormat="false" ht="15" hidden="true" customHeight="false" outlineLevel="0" collapsed="false">
      <c r="A506" s="17" t="str">
        <f aca="false">A505</f>
        <v>10.00/R20 (280Р508)</v>
      </c>
      <c r="B506" s="18" t="s">
        <v>14</v>
      </c>
      <c r="C506" s="18" t="s">
        <v>396</v>
      </c>
      <c r="D506" s="15" t="n">
        <f aca="false">[2]грн!f506-[2]грн!aq506-[2]грн!ap506-[2]грн!ao506-[2]грн!an506-[2]грн!am506-[2]грн!al506-[2]грн!aj506-[2]грн!ai506-[2]грн!ah506-[2]грн!ag506-[2]грн!af506-[2]грн!ad506-[2]грн!ac506-[2]грн!ab506-[2]грн!aa506-[2]грн!z506-[2]грн!x506-[2]грн!w506-[2]грн!v506-[2]грн!u506-[2]грн!t506-[2]грн!r506-[2]грн!q506-[2]грн!p506-[2]грн!o506-[2]грн!n506-[2]грн!l506-[2]грн!k506-[2]грн!j506-[2]грн!i506-[2]грн!h506+[2]грн!g506+[2]грн!m506+[2]грн!s506+[2]грн!y506+[2]грн!ae506+[2]грн!ak506</f>
        <v>0</v>
      </c>
      <c r="E506" s="19" t="n">
        <f aca="false">[2]грн!as506*1.04</f>
        <v>4888</v>
      </c>
    </row>
    <row r="507" customFormat="false" ht="15" hidden="true" customHeight="false" outlineLevel="0" collapsed="false">
      <c r="A507" s="17" t="s">
        <v>392</v>
      </c>
      <c r="B507" s="18" t="s">
        <v>20</v>
      </c>
      <c r="C507" s="18" t="s">
        <v>396</v>
      </c>
      <c r="D507" s="15" t="n">
        <f aca="false">[2]грн!f507-[2]грн!aq507-[2]грн!ap507-[2]грн!ao507-[2]грн!an507-[2]грн!am507-[2]грн!al507-[2]грн!aj507-[2]грн!ai507-[2]грн!ah507-[2]грн!ag507-[2]грн!af507-[2]грн!ad507-[2]грн!ac507-[2]грн!ab507-[2]грн!aa507-[2]грн!z507-[2]грн!x507-[2]грн!w507-[2]грн!v507-[2]грн!u507-[2]грн!t507-[2]грн!r507-[2]грн!q507-[2]грн!p507-[2]грн!o507-[2]грн!n507-[2]грн!l507-[2]грн!k507-[2]грн!j507-[2]грн!i507-[2]грн!h507+[2]грн!g507+[2]грн!m507+[2]грн!s507+[2]грн!y507+[2]грн!ae507+[2]грн!ak507</f>
        <v>0</v>
      </c>
      <c r="E507" s="19" t="n">
        <f aca="false">[2]грн!as507*1.04</f>
        <v>3536</v>
      </c>
    </row>
    <row r="508" customFormat="false" ht="15" hidden="false" customHeight="false" outlineLevel="0" collapsed="false">
      <c r="A508" s="17" t="s">
        <v>392</v>
      </c>
      <c r="B508" s="18" t="s">
        <v>20</v>
      </c>
      <c r="C508" s="18" t="s">
        <v>397</v>
      </c>
      <c r="D508" s="15" t="n">
        <f aca="false">[2]грн!f508-[2]грн!aq508-[2]грн!ap508-[2]грн!ao508-[2]грн!an508-[2]грн!am508-[2]грн!al508-[2]грн!aj508-[2]грн!ai508-[2]грн!ah508-[2]грн!ag508-[2]грн!af508-[2]грн!ad508-[2]грн!ac508-[2]грн!ab508-[2]грн!aa508-[2]грн!z508-[2]грн!x508-[2]грн!w508-[2]грн!v508-[2]грн!u508-[2]грн!t508-[2]грн!r508-[2]грн!q508-[2]грн!p508-[2]грн!o508-[2]грн!n508-[2]грн!l508-[2]грн!k508-[2]грн!j508-[2]грн!i508-[2]грн!h508+[2]грн!g508+[2]грн!m508+[2]грн!s508+[2]грн!y508+[2]грн!ae508+[2]грн!ak508</f>
        <v>8</v>
      </c>
      <c r="E508" s="19" t="n">
        <f aca="false">[2]грн!as508*1.04</f>
        <v>4628</v>
      </c>
    </row>
    <row r="509" customFormat="false" ht="15" hidden="true" customHeight="false" outlineLevel="0" collapsed="false">
      <c r="A509" s="17" t="s">
        <v>392</v>
      </c>
      <c r="B509" s="18" t="s">
        <v>20</v>
      </c>
      <c r="C509" s="18" t="s">
        <v>398</v>
      </c>
      <c r="D509" s="15" t="n">
        <f aca="false">[2]грн!f509-[2]грн!aq509-[2]грн!ap509-[2]грн!ao509-[2]грн!an509-[2]грн!am509-[2]грн!al509-[2]грн!aj509-[2]грн!ai509-[2]грн!ah509-[2]грн!ag509-[2]грн!af509-[2]грн!ad509-[2]грн!ac509-[2]грн!ab509-[2]грн!aa509-[2]грн!z509-[2]грн!x509-[2]грн!w509-[2]грн!v509-[2]грн!u509-[2]грн!t509-[2]грн!r509-[2]грн!q509-[2]грн!p509-[2]грн!o509-[2]грн!n509-[2]грн!l509-[2]грн!k509-[2]грн!j509-[2]грн!i509-[2]грн!h509+[2]грн!g509+[2]грн!m509+[2]грн!s509+[2]грн!y509+[2]грн!ae509+[2]грн!ak509</f>
        <v>0</v>
      </c>
      <c r="E509" s="19" t="n">
        <f aca="false">[2]грн!as509*1.04</f>
        <v>4160</v>
      </c>
    </row>
    <row r="510" customFormat="false" ht="15" hidden="true" customHeight="false" outlineLevel="0" collapsed="false">
      <c r="A510" s="17" t="s">
        <v>399</v>
      </c>
      <c r="B510" s="18" t="s">
        <v>20</v>
      </c>
      <c r="C510" s="18" t="s">
        <v>400</v>
      </c>
      <c r="D510" s="15" t="n">
        <f aca="false">[2]грн!f510-[2]грн!aq510-[2]грн!ap510-[2]грн!ao510-[2]грн!an510-[2]грн!am510-[2]грн!al510-[2]грн!aj510-[2]грн!ai510-[2]грн!ah510-[2]грн!ag510-[2]грн!af510-[2]грн!ad510-[2]грн!ac510-[2]грн!ab510-[2]грн!aa510-[2]грн!z510-[2]грн!x510-[2]грн!w510-[2]грн!v510-[2]грн!u510-[2]грн!t510-[2]грн!r510-[2]грн!q510-[2]грн!p510-[2]грн!o510-[2]грн!n510-[2]грн!l510-[2]грн!k510-[2]грн!j510-[2]грн!i510-[2]грн!h510+[2]грн!g510+[2]грн!m510+[2]грн!s510+[2]грн!y510+[2]грн!ae510+[2]грн!ak510</f>
        <v>0</v>
      </c>
      <c r="E510" s="19" t="n">
        <f aca="false">[2]грн!as510*1.04</f>
        <v>1560</v>
      </c>
    </row>
    <row r="511" customFormat="false" ht="15" hidden="true" customHeight="false" outlineLevel="0" collapsed="false">
      <c r="A511" s="17" t="s">
        <v>399</v>
      </c>
      <c r="B511" s="18" t="s">
        <v>14</v>
      </c>
      <c r="C511" s="18" t="s">
        <v>401</v>
      </c>
      <c r="D511" s="15" t="n">
        <f aca="false">[2]грн!f511-[2]грн!aq511-[2]грн!ap511-[2]грн!ao511-[2]грн!an511-[2]грн!am511-[2]грн!al511-[2]грн!aj511-[2]грн!ai511-[2]грн!ah511-[2]грн!ag511-[2]грн!af511-[2]грн!ad511-[2]грн!ac511-[2]грн!ab511-[2]грн!aa511-[2]грн!z511-[2]грн!x511-[2]грн!w511-[2]грн!v511-[2]грн!u511-[2]грн!t511-[2]грн!r511-[2]грн!q511-[2]грн!p511-[2]грн!o511-[2]грн!n511-[2]грн!l511-[2]грн!k511-[2]грн!j511-[2]грн!i511-[2]грн!h511+[2]грн!g511+[2]грн!m511+[2]грн!s511+[2]грн!y511+[2]грн!ae511+[2]грн!ak511</f>
        <v>0</v>
      </c>
      <c r="E511" s="19" t="n">
        <f aca="false">[2]грн!as511*1.04</f>
        <v>2704</v>
      </c>
    </row>
    <row r="512" customFormat="false" ht="15" hidden="true" customHeight="false" outlineLevel="0" collapsed="false">
      <c r="A512" s="17" t="s">
        <v>402</v>
      </c>
      <c r="B512" s="18" t="s">
        <v>10</v>
      </c>
      <c r="C512" s="18" t="s">
        <v>403</v>
      </c>
      <c r="D512" s="15" t="n">
        <f aca="false">[2]грн!f512-[2]грн!aq512-[2]грн!ap512-[2]грн!ao512-[2]грн!an512-[2]грн!am512-[2]грн!al512-[2]грн!aj512-[2]грн!ai512-[2]грн!ah512-[2]грн!ag512-[2]грн!af512-[2]грн!ad512-[2]грн!ac512-[2]грн!ab512-[2]грн!aa512-[2]грн!z512-[2]грн!x512-[2]грн!w512-[2]грн!v512-[2]грн!u512-[2]грн!t512-[2]грн!r512-[2]грн!q512-[2]грн!p512-[2]грн!o512-[2]грн!n512-[2]грн!l512-[2]грн!k512-[2]грн!j512-[2]грн!i512-[2]грн!h512+[2]грн!g512+[2]грн!m512+[2]грн!s512+[2]грн!y512+[2]грн!ae512+[2]грн!ak512</f>
        <v>0</v>
      </c>
      <c r="E512" s="19" t="n">
        <f aca="false">[2]грн!as512*1.04</f>
        <v>1664</v>
      </c>
    </row>
    <row r="513" customFormat="false" ht="15" hidden="true" customHeight="false" outlineLevel="0" collapsed="false">
      <c r="A513" s="17" t="s">
        <v>402</v>
      </c>
      <c r="B513" s="18" t="s">
        <v>304</v>
      </c>
      <c r="C513" s="18" t="s">
        <v>404</v>
      </c>
      <c r="D513" s="15" t="n">
        <f aca="false">[2]грн!f513-[2]грн!aq513-[2]грн!ap513-[2]грн!ao513-[2]грн!an513-[2]грн!am513-[2]грн!al513-[2]грн!aj513-[2]грн!ai513-[2]грн!ah513-[2]грн!ag513-[2]грн!af513-[2]грн!ad513-[2]грн!ac513-[2]грн!ab513-[2]грн!aa513-[2]грн!z513-[2]грн!x513-[2]грн!w513-[2]грн!v513-[2]грн!u513-[2]грн!t513-[2]грн!r513-[2]грн!q513-[2]грн!p513-[2]грн!o513-[2]грн!n513-[2]грн!l513-[2]грн!k513-[2]грн!j513-[2]грн!i513-[2]грн!h513+[2]грн!g513+[2]грн!m513+[2]грн!s513+[2]грн!y513+[2]грн!ae513+[2]грн!ak513</f>
        <v>0</v>
      </c>
      <c r="E513" s="19" t="n">
        <f aca="false">[2]грн!as513*1.04</f>
        <v>2288</v>
      </c>
    </row>
    <row r="514" customFormat="false" ht="15" hidden="true" customHeight="false" outlineLevel="0" collapsed="false">
      <c r="A514" s="17" t="s">
        <v>402</v>
      </c>
      <c r="B514" s="18" t="s">
        <v>14</v>
      </c>
      <c r="C514" s="18" t="s">
        <v>405</v>
      </c>
      <c r="D514" s="15" t="n">
        <f aca="false">[2]грн!f514-[2]грн!aq514-[2]грн!ap514-[2]грн!ao514-[2]грн!an514-[2]грн!am514-[2]грн!al514-[2]грн!aj514-[2]грн!ai514-[2]грн!ah514-[2]грн!ag514-[2]грн!af514-[2]грн!ad514-[2]грн!ac514-[2]грн!ab514-[2]грн!aa514-[2]грн!z514-[2]грн!x514-[2]грн!w514-[2]грн!v514-[2]грн!u514-[2]грн!t514-[2]грн!r514-[2]грн!q514-[2]грн!p514-[2]грн!o514-[2]грн!n514-[2]грн!l514-[2]грн!k514-[2]грн!j514-[2]грн!i514-[2]грн!h514+[2]грн!g514+[2]грн!m514+[2]грн!s514+[2]грн!y514+[2]грн!ae514+[2]грн!ak514</f>
        <v>0</v>
      </c>
      <c r="E514" s="19" t="n">
        <f aca="false">[2]грн!as514*1.04</f>
        <v>5824</v>
      </c>
    </row>
    <row r="515" customFormat="false" ht="15" hidden="true" customHeight="false" outlineLevel="0" collapsed="false">
      <c r="A515" s="17" t="s">
        <v>402</v>
      </c>
      <c r="B515" s="18" t="s">
        <v>14</v>
      </c>
      <c r="C515" s="18" t="s">
        <v>406</v>
      </c>
      <c r="D515" s="15" t="n">
        <f aca="false">[2]грн!f515-[2]грн!aq515-[2]грн!ap515-[2]грн!ao515-[2]грн!an515-[2]грн!am515-[2]грн!al515-[2]грн!aj515-[2]грн!ai515-[2]грн!ah515-[2]грн!ag515-[2]грн!af515-[2]грн!ad515-[2]грн!ac515-[2]грн!ab515-[2]грн!aa515-[2]грн!z515-[2]грн!x515-[2]грн!w515-[2]грн!v515-[2]грн!u515-[2]грн!t515-[2]грн!r515-[2]грн!q515-[2]грн!p515-[2]грн!o515-[2]грн!n515-[2]грн!l515-[2]грн!k515-[2]грн!j515-[2]грн!i515-[2]грн!h515+[2]грн!g515+[2]грн!m515+[2]грн!s515+[2]грн!y515+[2]грн!ae515+[2]грн!ak515</f>
        <v>0</v>
      </c>
      <c r="E515" s="19" t="n">
        <f aca="false">[2]грн!as515*1.04</f>
        <v>1924</v>
      </c>
    </row>
    <row r="516" customFormat="false" ht="15" hidden="false" customHeight="false" outlineLevel="0" collapsed="false">
      <c r="A516" s="12" t="s">
        <v>407</v>
      </c>
      <c r="B516" s="20"/>
      <c r="C516" s="21"/>
      <c r="D516" s="15"/>
      <c r="E516" s="71" t="n">
        <f aca="false">[2]грн!as516*1.03</f>
        <v>0</v>
      </c>
    </row>
    <row r="517" customFormat="false" ht="15" hidden="true" customHeight="false" outlineLevel="0" collapsed="false">
      <c r="A517" s="17" t="s">
        <v>408</v>
      </c>
      <c r="B517" s="18" t="s">
        <v>409</v>
      </c>
      <c r="C517" s="18" t="s">
        <v>410</v>
      </c>
      <c r="D517" s="15" t="n">
        <f aca="false">[2]грн!f517-[2]грн!aq517-[2]грн!ap517-[2]грн!ao517-[2]грн!an517-[2]грн!am517-[2]грн!al517-[2]грн!aj517-[2]грн!ai517-[2]грн!ah517-[2]грн!ag517-[2]грн!af517-[2]грн!ad517-[2]грн!ac517-[2]грн!ab517-[2]грн!aa517-[2]грн!z517-[2]грн!x517-[2]грн!w517-[2]грн!v517-[2]грн!u517-[2]грн!t517-[2]грн!r517-[2]грн!q517-[2]грн!p517-[2]грн!o517-[2]грн!n517-[2]грн!l517-[2]грн!k517-[2]грн!j517-[2]грн!i517-[2]грн!h517+[2]грн!g517+[2]грн!m517+[2]грн!s517+[2]грн!y517+[2]грн!ae517+[2]грн!ak517</f>
        <v>0</v>
      </c>
      <c r="E517" s="19" t="n">
        <f aca="false">[2]грн!as517*1.1</f>
        <v>341</v>
      </c>
    </row>
    <row r="518" customFormat="false" ht="15" hidden="false" customHeight="false" outlineLevel="0" collapsed="false">
      <c r="A518" s="17" t="s">
        <v>408</v>
      </c>
      <c r="B518" s="18" t="s">
        <v>411</v>
      </c>
      <c r="C518" s="18" t="s">
        <v>412</v>
      </c>
      <c r="D518" s="15" t="n">
        <f aca="false">[2]грн!f518-[2]грн!aq518-[2]грн!ap518-[2]грн!ao518-[2]грн!an518-[2]грн!am518-[2]грн!al518-[2]грн!aj518-[2]грн!ai518-[2]грн!ah518-[2]грн!ag518-[2]грн!af518-[2]грн!ad518-[2]грн!ac518-[2]грн!ab518-[2]грн!aa518-[2]грн!z518-[2]грн!x518-[2]грн!w518-[2]грн!v518-[2]грн!u518-[2]грн!t518-[2]грн!r518-[2]грн!q518-[2]грн!p518-[2]грн!o518-[2]грн!n518-[2]грн!l518-[2]грн!k518-[2]грн!j518-[2]грн!i518-[2]грн!h518+[2]грн!g518+[2]грн!m518+[2]грн!s518+[2]грн!y518+[2]грн!ae518+[2]грн!ak518</f>
        <v>15</v>
      </c>
      <c r="E518" s="19" t="n">
        <f aca="false">[2]грн!as518*1.1</f>
        <v>440</v>
      </c>
    </row>
    <row r="519" customFormat="false" ht="15" hidden="false" customHeight="false" outlineLevel="0" collapsed="false">
      <c r="A519" s="17" t="s">
        <v>408</v>
      </c>
      <c r="B519" s="18" t="s">
        <v>411</v>
      </c>
      <c r="C519" s="18" t="s">
        <v>413</v>
      </c>
      <c r="D519" s="15" t="n">
        <f aca="false">[2]грн!f519-[2]грн!aq519-[2]грн!ap519-[2]грн!ao519-[2]грн!an519-[2]грн!am519-[2]грн!al519-[2]грн!aj519-[2]грн!ai519-[2]грн!ah519-[2]грн!ag519-[2]грн!af519-[2]грн!ad519-[2]грн!ac519-[2]грн!ab519-[2]грн!aa519-[2]грн!z519-[2]грн!x519-[2]грн!w519-[2]грн!v519-[2]грн!u519-[2]грн!t519-[2]грн!r519-[2]грн!q519-[2]грн!p519-[2]грн!o519-[2]грн!n519-[2]грн!l519-[2]грн!k519-[2]грн!j519-[2]грн!i519-[2]грн!h519+[2]грн!g519+[2]грн!m519+[2]грн!s519+[2]грн!y519+[2]грн!ae519+[2]грн!ak519</f>
        <v>17</v>
      </c>
      <c r="E519" s="19" t="n">
        <f aca="false">[2]грн!as519*1.1</f>
        <v>418</v>
      </c>
    </row>
    <row r="520" customFormat="false" ht="15" hidden="false" customHeight="false" outlineLevel="0" collapsed="false">
      <c r="A520" s="17" t="s">
        <v>408</v>
      </c>
      <c r="B520" s="18" t="s">
        <v>411</v>
      </c>
      <c r="C520" s="18" t="s">
        <v>414</v>
      </c>
      <c r="D520" s="15" t="n">
        <f aca="false">[2]грн!f520-[2]грн!aq520-[2]грн!ap520-[2]грн!ao520-[2]грн!an520-[2]грн!am520-[2]грн!al520-[2]грн!aj520-[2]грн!ai520-[2]грн!ah520-[2]грн!ag520-[2]грн!af520-[2]грн!ad520-[2]грн!ac520-[2]грн!ab520-[2]грн!aa520-[2]грн!z520-[2]грн!x520-[2]грн!w520-[2]грн!v520-[2]грн!u520-[2]грн!t520-[2]грн!r520-[2]грн!q520-[2]грн!p520-[2]грн!o520-[2]грн!n520-[2]грн!l520-[2]грн!k520-[2]грн!j520-[2]грн!i520-[2]грн!h520+[2]грн!g520+[2]грн!m520+[2]грн!s520+[2]грн!y520+[2]грн!ae520+[2]грн!ak520</f>
        <v>11</v>
      </c>
      <c r="E520" s="19" t="n">
        <f aca="false">[2]грн!as520*1.1</f>
        <v>451</v>
      </c>
    </row>
    <row r="521" customFormat="false" ht="15" hidden="false" customHeight="false" outlineLevel="0" collapsed="false">
      <c r="A521" s="17" t="s">
        <v>408</v>
      </c>
      <c r="B521" s="18" t="s">
        <v>415</v>
      </c>
      <c r="C521" s="18" t="s">
        <v>416</v>
      </c>
      <c r="D521" s="15" t="n">
        <f aca="false">[2]грн!f521-[2]грн!aq521-[2]грн!ap521-[2]грн!ao521-[2]грн!an521-[2]грн!am521-[2]грн!al521-[2]грн!aj521-[2]грн!ai521-[2]грн!ah521-[2]грн!ag521-[2]грн!af521-[2]грн!ad521-[2]грн!ac521-[2]грн!ab521-[2]грн!aa521-[2]грн!z521-[2]грн!x521-[2]грн!w521-[2]грн!v521-[2]грн!u521-[2]грн!t521-[2]грн!r521-[2]грн!q521-[2]грн!p521-[2]грн!o521-[2]грн!n521-[2]грн!l521-[2]грн!k521-[2]грн!j521-[2]грн!i521-[2]грн!h521+[2]грн!g521+[2]грн!m521+[2]грн!s521+[2]грн!y521+[2]грн!ae521+[2]грн!ak521</f>
        <v>15</v>
      </c>
      <c r="E521" s="19" t="n">
        <f aca="false">[2]грн!as521*1.1</f>
        <v>407</v>
      </c>
    </row>
    <row r="522" customFormat="false" ht="15" hidden="false" customHeight="false" outlineLevel="0" collapsed="false">
      <c r="A522" s="17" t="s">
        <v>408</v>
      </c>
      <c r="B522" s="18" t="s">
        <v>417</v>
      </c>
      <c r="C522" s="18" t="s">
        <v>418</v>
      </c>
      <c r="D522" s="15" t="n">
        <f aca="false">[2]грн!f522-[2]грн!aq522-[2]грн!ap522-[2]грн!ao522-[2]грн!an522-[2]грн!am522-[2]грн!al522-[2]грн!aj522-[2]грн!ai522-[2]грн!ah522-[2]грн!ag522-[2]грн!af522-[2]грн!ad522-[2]грн!ac522-[2]грн!ab522-[2]грн!aa522-[2]грн!z522-[2]грн!x522-[2]грн!w522-[2]грн!v522-[2]грн!u522-[2]грн!t522-[2]грн!r522-[2]грн!q522-[2]грн!p522-[2]грн!o522-[2]грн!n522-[2]грн!l522-[2]грн!k522-[2]грн!j522-[2]грн!i522-[2]грн!h522+[2]грн!g522+[2]грн!m522+[2]грн!s522+[2]грн!y522+[2]грн!ae522+[2]грн!ak522</f>
        <v>21</v>
      </c>
      <c r="E522" s="19" t="n">
        <f aca="false">[2]грн!as522*1.1</f>
        <v>412.5</v>
      </c>
    </row>
    <row r="523" customFormat="false" ht="15" hidden="false" customHeight="false" outlineLevel="0" collapsed="false">
      <c r="A523" s="17" t="s">
        <v>408</v>
      </c>
      <c r="B523" s="18" t="s">
        <v>417</v>
      </c>
      <c r="C523" s="18" t="s">
        <v>419</v>
      </c>
      <c r="D523" s="15" t="n">
        <f aca="false">[2]грн!f523-[2]грн!aq523-[2]грн!ap523-[2]грн!ao523-[2]грн!an523-[2]грн!am523-[2]грн!al523-[2]грн!aj523-[2]грн!ai523-[2]грн!ah523-[2]грн!ag523-[2]грн!af523-[2]грн!ad523-[2]грн!ac523-[2]грн!ab523-[2]грн!aa523-[2]грн!z523-[2]грн!x523-[2]грн!w523-[2]грн!v523-[2]грн!u523-[2]грн!t523-[2]грн!r523-[2]грн!q523-[2]грн!p523-[2]грн!o523-[2]грн!n523-[2]грн!l523-[2]грн!k523-[2]грн!j523-[2]грн!i523-[2]грн!h523+[2]грн!g523+[2]грн!m523+[2]грн!s523+[2]грн!y523+[2]грн!ae523+[2]грн!ak523</f>
        <v>1</v>
      </c>
      <c r="E523" s="19" t="n">
        <f aca="false">[2]грн!as523*1.1</f>
        <v>385</v>
      </c>
    </row>
    <row r="524" customFormat="false" ht="15" hidden="false" customHeight="false" outlineLevel="0" collapsed="false">
      <c r="A524" s="17" t="s">
        <v>408</v>
      </c>
      <c r="B524" s="18" t="s">
        <v>417</v>
      </c>
      <c r="C524" s="18" t="s">
        <v>420</v>
      </c>
      <c r="D524" s="15" t="n">
        <f aca="false">[2]грн!f524-[2]грн!aq524-[2]грн!ap524-[2]грн!ao524-[2]грн!an524-[2]грн!am524-[2]грн!al524-[2]грн!aj524-[2]грн!ai524-[2]грн!ah524-[2]грн!ag524-[2]грн!af524-[2]грн!ad524-[2]грн!ac524-[2]грн!ab524-[2]грн!aa524-[2]грн!z524-[2]грн!x524-[2]грн!w524-[2]грн!v524-[2]грн!u524-[2]грн!t524-[2]грн!r524-[2]грн!q524-[2]грн!p524-[2]грн!o524-[2]грн!n524-[2]грн!l524-[2]грн!k524-[2]грн!j524-[2]грн!i524-[2]грн!h524+[2]грн!g524+[2]грн!m524+[2]грн!s524+[2]грн!y524+[2]грн!ae524+[2]грн!ak524</f>
        <v>12</v>
      </c>
      <c r="E524" s="19" t="n">
        <f aca="false">[2]грн!as524*1.1</f>
        <v>418</v>
      </c>
    </row>
    <row r="525" customFormat="false" ht="15" hidden="false" customHeight="false" outlineLevel="0" collapsed="false">
      <c r="A525" s="17" t="s">
        <v>408</v>
      </c>
      <c r="B525" s="18" t="s">
        <v>417</v>
      </c>
      <c r="C525" s="18" t="s">
        <v>421</v>
      </c>
      <c r="D525" s="15" t="n">
        <f aca="false">[2]грн!f525-[2]грн!aq525-[2]грн!ap525-[2]грн!ao525-[2]грн!an525-[2]грн!am525-[2]грн!al525-[2]грн!aj525-[2]грн!ai525-[2]грн!ah525-[2]грн!ag525-[2]грн!af525-[2]грн!ad525-[2]грн!ac525-[2]грн!ab525-[2]грн!aa525-[2]грн!z525-[2]грн!x525-[2]грн!w525-[2]грн!v525-[2]грн!u525-[2]грн!t525-[2]грн!r525-[2]грн!q525-[2]грн!p525-[2]грн!o525-[2]грн!n525-[2]грн!l525-[2]грн!k525-[2]грн!j525-[2]грн!i525-[2]грн!h525+[2]грн!g525+[2]грн!m525+[2]грн!s525+[2]грн!y525+[2]грн!ae525+[2]грн!ak525</f>
        <v>45</v>
      </c>
      <c r="E525" s="19" t="n">
        <f aca="false">[2]грн!as525*1.1</f>
        <v>412.5</v>
      </c>
    </row>
    <row r="526" customFormat="false" ht="15" hidden="false" customHeight="false" outlineLevel="0" collapsed="false">
      <c r="A526" s="17" t="s">
        <v>408</v>
      </c>
      <c r="B526" s="18" t="s">
        <v>417</v>
      </c>
      <c r="C526" s="18" t="s">
        <v>422</v>
      </c>
      <c r="D526" s="15" t="n">
        <f aca="false">[2]грн!f526-[2]грн!aq526-[2]грн!ap526-[2]грн!ao526-[2]грн!an526-[2]грн!am526-[2]грн!al526-[2]грн!aj526-[2]грн!ai526-[2]грн!ah526-[2]грн!ag526-[2]грн!af526-[2]грн!ad526-[2]грн!ac526-[2]грн!ab526-[2]грн!aa526-[2]грн!z526-[2]грн!x526-[2]грн!w526-[2]грн!v526-[2]грн!u526-[2]грн!t526-[2]грн!r526-[2]грн!q526-[2]грн!p526-[2]грн!o526-[2]грн!n526-[2]грн!l526-[2]грн!k526-[2]грн!j526-[2]грн!i526-[2]грн!h526+[2]грн!g526+[2]грн!m526+[2]грн!s526+[2]грн!y526+[2]грн!ae526+[2]грн!ak526</f>
        <v>2</v>
      </c>
      <c r="E526" s="19" t="n">
        <f aca="false">[2]грн!as526*1.1</f>
        <v>407</v>
      </c>
    </row>
    <row r="527" customFormat="false" ht="15" hidden="true" customHeight="false" outlineLevel="0" collapsed="false">
      <c r="A527" s="17" t="s">
        <v>408</v>
      </c>
      <c r="B527" s="18" t="s">
        <v>423</v>
      </c>
      <c r="C527" s="18" t="s">
        <v>418</v>
      </c>
      <c r="D527" s="15" t="n">
        <f aca="false">[2]грн!f527-[2]грн!aq527-[2]грн!ap527-[2]грн!ao527-[2]грн!an527-[2]грн!am527-[2]грн!al527-[2]грн!aj527-[2]грн!ai527-[2]грн!ah527-[2]грн!ag527-[2]грн!af527-[2]грн!ad527-[2]грн!ac527-[2]грн!ab527-[2]грн!aa527-[2]грн!z527-[2]грн!x527-[2]грн!w527-[2]грн!v527-[2]грн!u527-[2]грн!t527-[2]грн!r527-[2]грн!q527-[2]грн!p527-[2]грн!o527-[2]грн!n527-[2]грн!l527-[2]грн!k527-[2]грн!j527-[2]грн!i527-[2]грн!h527+[2]грн!g527+[2]грн!m527+[2]грн!s527+[2]грн!y527+[2]грн!ae527+[2]грн!ak527</f>
        <v>0</v>
      </c>
      <c r="E527" s="19" t="n">
        <f aca="false">[2]грн!as527*1.1</f>
        <v>330</v>
      </c>
    </row>
    <row r="528" customFormat="false" ht="15" hidden="false" customHeight="false" outlineLevel="0" collapsed="false">
      <c r="A528" s="17" t="s">
        <v>408</v>
      </c>
      <c r="B528" s="18" t="s">
        <v>424</v>
      </c>
      <c r="C528" s="18" t="s">
        <v>425</v>
      </c>
      <c r="D528" s="15" t="n">
        <f aca="false">[2]грн!f528-[2]грн!aq528-[2]грн!ap528-[2]грн!ao528-[2]грн!an528-[2]грн!am528-[2]грн!al528-[2]грн!aj528-[2]грн!ai528-[2]грн!ah528-[2]грн!ag528-[2]грн!af528-[2]грн!ad528-[2]грн!ac528-[2]грн!ab528-[2]грн!aa528-[2]грн!z528-[2]грн!x528-[2]грн!w528-[2]грн!v528-[2]грн!u528-[2]грн!t528-[2]грн!r528-[2]грн!q528-[2]грн!p528-[2]грн!o528-[2]грн!n528-[2]грн!l528-[2]грн!k528-[2]грн!j528-[2]грн!i528-[2]грн!h528+[2]грн!g528+[2]грн!m528+[2]грн!s528+[2]грн!y528+[2]грн!ae528+[2]грн!ak528</f>
        <v>35</v>
      </c>
      <c r="E528" s="19" t="n">
        <f aca="false">[2]грн!as528*1.1</f>
        <v>511.5</v>
      </c>
    </row>
    <row r="529" customFormat="false" ht="15" hidden="false" customHeight="false" outlineLevel="0" collapsed="false">
      <c r="A529" s="17" t="s">
        <v>408</v>
      </c>
      <c r="B529" s="18" t="s">
        <v>426</v>
      </c>
      <c r="C529" s="18" t="s">
        <v>427</v>
      </c>
      <c r="D529" s="15" t="n">
        <f aca="false">[2]грн!f529-[2]грн!aq529-[2]грн!ap529-[2]грн!ao529-[2]грн!an529-[2]грн!am529-[2]грн!al529-[2]грн!aj529-[2]грн!ai529-[2]грн!ah529-[2]грн!ag529-[2]грн!af529-[2]грн!ad529-[2]грн!ac529-[2]грн!ab529-[2]грн!aa529-[2]грн!z529-[2]грн!x529-[2]грн!w529-[2]грн!v529-[2]грн!u529-[2]грн!t529-[2]грн!r529-[2]грн!q529-[2]грн!p529-[2]грн!o529-[2]грн!n529-[2]грн!l529-[2]грн!k529-[2]грн!j529-[2]грн!i529-[2]грн!h529+[2]грн!g529+[2]грн!m529+[2]грн!s529+[2]грн!y529+[2]грн!ae529+[2]грн!ak529</f>
        <v>6</v>
      </c>
      <c r="E529" s="19" t="n">
        <f aca="false">[2]грн!as529*1.1</f>
        <v>440</v>
      </c>
    </row>
    <row r="530" customFormat="false" ht="15" hidden="false" customHeight="false" outlineLevel="0" collapsed="false">
      <c r="A530" s="17" t="s">
        <v>408</v>
      </c>
      <c r="B530" s="18" t="s">
        <v>417</v>
      </c>
      <c r="C530" s="18" t="s">
        <v>428</v>
      </c>
      <c r="D530" s="15" t="n">
        <f aca="false">[2]грн!f530-[2]грн!aq530-[2]грн!ap530-[2]грн!ao530-[2]грн!an530-[2]грн!am530-[2]грн!al530-[2]грн!aj530-[2]грн!ai530-[2]грн!ah530-[2]грн!ag530-[2]грн!af530-[2]грн!ad530-[2]грн!ac530-[2]грн!ab530-[2]грн!aa530-[2]грн!z530-[2]грн!x530-[2]грн!w530-[2]грн!v530-[2]грн!u530-[2]грн!t530-[2]грн!r530-[2]грн!q530-[2]грн!p530-[2]грн!o530-[2]грн!n530-[2]грн!l530-[2]грн!k530-[2]грн!j530-[2]грн!i530-[2]грн!h530+[2]грн!g530+[2]грн!m530+[2]грн!s530+[2]грн!y530+[2]грн!ae530+[2]грн!ak530</f>
        <v>8</v>
      </c>
      <c r="E530" s="19" t="n">
        <f aca="false">[2]грн!as530*1.1</f>
        <v>561</v>
      </c>
    </row>
    <row r="531" customFormat="false" ht="15" hidden="true" customHeight="false" outlineLevel="0" collapsed="false">
      <c r="A531" s="17" t="s">
        <v>408</v>
      </c>
      <c r="B531" s="18" t="s">
        <v>417</v>
      </c>
      <c r="C531" s="18" t="s">
        <v>429</v>
      </c>
      <c r="D531" s="15" t="n">
        <f aca="false">[2]грн!f531-[2]грн!aq531-[2]грн!ap531-[2]грн!ao531-[2]грн!an531-[2]грн!am531-[2]грн!al531-[2]грн!aj531-[2]грн!ai531-[2]грн!ah531-[2]грн!ag531-[2]грн!af531-[2]грн!ad531-[2]грн!ac531-[2]грн!ab531-[2]грн!aa531-[2]грн!z531-[2]грн!x531-[2]грн!w531-[2]грн!v531-[2]грн!u531-[2]грн!t531-[2]грн!r531-[2]грн!q531-[2]грн!p531-[2]грн!o531-[2]грн!n531-[2]грн!l531-[2]грн!k531-[2]грн!j531-[2]грн!i531-[2]грн!h531+[2]грн!g531+[2]грн!m531+[2]грн!s531+[2]грн!y531+[2]грн!ae531+[2]грн!ak531</f>
        <v>0</v>
      </c>
      <c r="E531" s="19" t="n">
        <f aca="false">[2]грн!as531*1.1</f>
        <v>385</v>
      </c>
    </row>
    <row r="532" customFormat="false" ht="15" hidden="false" customHeight="false" outlineLevel="0" collapsed="false">
      <c r="A532" s="17" t="s">
        <v>408</v>
      </c>
      <c r="B532" s="18" t="s">
        <v>430</v>
      </c>
      <c r="C532" s="18" t="s">
        <v>428</v>
      </c>
      <c r="D532" s="15" t="n">
        <f aca="false">[2]грн!f532-[2]грн!aq532-[2]грн!ap532-[2]грн!ao532-[2]грн!an532-[2]грн!am532-[2]грн!al532-[2]грн!aj532-[2]грн!ai532-[2]грн!ah532-[2]грн!ag532-[2]грн!af532-[2]грн!ad532-[2]грн!ac532-[2]грн!ab532-[2]грн!aa532-[2]грн!z532-[2]грн!x532-[2]грн!w532-[2]грн!v532-[2]грн!u532-[2]грн!t532-[2]грн!r532-[2]грн!q532-[2]грн!p532-[2]грн!o532-[2]грн!n532-[2]грн!l532-[2]грн!k532-[2]грн!j532-[2]грн!i532-[2]грн!h532+[2]грн!g532+[2]грн!m532+[2]грн!s532+[2]грн!y532+[2]грн!ae532+[2]грн!ak532</f>
        <v>2</v>
      </c>
      <c r="E532" s="19" t="n">
        <f aca="false">[2]грн!as532*1.1</f>
        <v>660</v>
      </c>
    </row>
    <row r="533" customFormat="false" ht="15" hidden="false" customHeight="false" outlineLevel="0" collapsed="false">
      <c r="A533" s="42" t="s">
        <v>408</v>
      </c>
      <c r="B533" s="43" t="s">
        <v>431</v>
      </c>
      <c r="C533" s="43" t="s">
        <v>432</v>
      </c>
      <c r="D533" s="15" t="n">
        <f aca="false">[2]грн!f533-[2]грн!aq533-[2]грн!ap533-[2]грн!ao533-[2]грн!an533-[2]грн!am533-[2]грн!al533-[2]грн!aj533-[2]грн!ai533-[2]грн!ah533-[2]грн!ag533-[2]грн!af533-[2]грн!ad533-[2]грн!ac533-[2]грн!ab533-[2]грн!aa533-[2]грн!z533-[2]грн!x533-[2]грн!w533-[2]грн!v533-[2]грн!u533-[2]грн!t533-[2]грн!r533-[2]грн!q533-[2]грн!p533-[2]грн!o533-[2]грн!n533-[2]грн!l533-[2]грн!k533-[2]грн!j533-[2]грн!i533-[2]грн!h533+[2]грн!g533+[2]грн!m533+[2]грн!s533+[2]грн!y533+[2]грн!ae533+[2]грн!ak533</f>
        <v>4</v>
      </c>
      <c r="E533" s="44" t="n">
        <f aca="false">[2]грн!as533*1.1</f>
        <v>330</v>
      </c>
    </row>
    <row r="534" customFormat="false" ht="15" hidden="false" customHeight="false" outlineLevel="0" collapsed="false">
      <c r="A534" s="17" t="s">
        <v>408</v>
      </c>
      <c r="B534" s="18" t="s">
        <v>433</v>
      </c>
      <c r="C534" s="18" t="s">
        <v>434</v>
      </c>
      <c r="D534" s="15" t="n">
        <f aca="false">[2]грн!f534-[2]грн!aq534-[2]грн!ap534-[2]грн!ao534-[2]грн!an534-[2]грн!am534-[2]грн!al534-[2]грн!aj534-[2]грн!ai534-[2]грн!ah534-[2]грн!ag534-[2]грн!af534-[2]грн!ad534-[2]грн!ac534-[2]грн!ab534-[2]грн!aa534-[2]грн!z534-[2]грн!x534-[2]грн!w534-[2]грн!v534-[2]грн!u534-[2]грн!t534-[2]грн!r534-[2]грн!q534-[2]грн!p534-[2]грн!o534-[2]грн!n534-[2]грн!l534-[2]грн!k534-[2]грн!j534-[2]грн!i534-[2]грн!h534+[2]грн!g534+[2]грн!m534+[2]грн!s534+[2]грн!y534+[2]грн!ae534+[2]грн!ak534</f>
        <v>3</v>
      </c>
      <c r="E534" s="19" t="n">
        <f aca="false">[2]грн!as534*1.1</f>
        <v>594</v>
      </c>
    </row>
    <row r="535" customFormat="false" ht="15" hidden="true" customHeight="false" outlineLevel="0" collapsed="false">
      <c r="A535" s="17" t="s">
        <v>408</v>
      </c>
      <c r="B535" s="18" t="s">
        <v>426</v>
      </c>
      <c r="C535" s="18" t="s">
        <v>435</v>
      </c>
      <c r="D535" s="15" t="n">
        <f aca="false">[2]грн!f535-[2]грн!aq535-[2]грн!ap535-[2]грн!ao535-[2]грн!an535-[2]грн!am535-[2]грн!al535-[2]грн!aj535-[2]грн!ai535-[2]грн!ah535-[2]грн!ag535-[2]грн!af535-[2]грн!ad535-[2]грн!ac535-[2]грн!ab535-[2]грн!aa535-[2]грн!z535-[2]грн!x535-[2]грн!w535-[2]грн!v535-[2]грн!u535-[2]грн!t535-[2]грн!r535-[2]грн!q535-[2]грн!p535-[2]грн!o535-[2]грн!n535-[2]грн!l535-[2]грн!k535-[2]грн!j535-[2]грн!i535-[2]грн!h535+[2]грн!g535+[2]грн!m535+[2]грн!s535+[2]грн!y535+[2]грн!ae535+[2]грн!ak535</f>
        <v>0</v>
      </c>
      <c r="E535" s="19" t="n">
        <f aca="false">[2]грн!as535*1.1</f>
        <v>539</v>
      </c>
    </row>
    <row r="536" customFormat="false" ht="15" hidden="false" customHeight="false" outlineLevel="0" collapsed="false">
      <c r="A536" s="17" t="s">
        <v>408</v>
      </c>
      <c r="B536" s="18" t="s">
        <v>436</v>
      </c>
      <c r="C536" s="18" t="s">
        <v>437</v>
      </c>
      <c r="D536" s="15" t="n">
        <f aca="false">[2]грн!f536-[2]грн!aq536-[2]грн!ap536-[2]грн!ao536-[2]грн!an536-[2]грн!am536-[2]грн!al536-[2]грн!aj536-[2]грн!ai536-[2]грн!ah536-[2]грн!ag536-[2]грн!af536-[2]грн!ad536-[2]грн!ac536-[2]грн!ab536-[2]грн!aa536-[2]грн!z536-[2]грн!x536-[2]грн!w536-[2]грн!v536-[2]грн!u536-[2]грн!t536-[2]грн!r536-[2]грн!q536-[2]грн!p536-[2]грн!o536-[2]грн!n536-[2]грн!l536-[2]грн!k536-[2]грн!j536-[2]грн!i536-[2]грн!h536+[2]грн!g536+[2]грн!m536+[2]грн!s536+[2]грн!y536+[2]грн!ae536+[2]грн!ak536</f>
        <v>6</v>
      </c>
      <c r="E536" s="19" t="n">
        <f aca="false">[2]грн!as536*1.1</f>
        <v>627</v>
      </c>
    </row>
    <row r="537" customFormat="false" ht="15" hidden="true" customHeight="false" outlineLevel="0" collapsed="false">
      <c r="A537" s="17" t="s">
        <v>408</v>
      </c>
      <c r="B537" s="18" t="s">
        <v>426</v>
      </c>
      <c r="C537" s="18" t="s">
        <v>438</v>
      </c>
      <c r="D537" s="15" t="n">
        <f aca="false">[2]грн!f537-[2]грн!aq537-[2]грн!ap537-[2]грн!ao537-[2]грн!an537-[2]грн!am537-[2]грн!al537-[2]грн!aj537-[2]грн!ai537-[2]грн!ah537-[2]грн!ag537-[2]грн!af537-[2]грн!ad537-[2]грн!ac537-[2]грн!ab537-[2]грн!aa537-[2]грн!z537-[2]грн!x537-[2]грн!w537-[2]грн!v537-[2]грн!u537-[2]грн!t537-[2]грн!r537-[2]грн!q537-[2]грн!p537-[2]грн!o537-[2]грн!n537-[2]грн!l537-[2]грн!k537-[2]грн!j537-[2]грн!i537-[2]грн!h537+[2]грн!g537+[2]грн!m537+[2]грн!s537+[2]грн!y537+[2]грн!ae537+[2]грн!ak537</f>
        <v>0</v>
      </c>
      <c r="E537" s="19" t="n">
        <f aca="false">[2]грн!as537*1.1</f>
        <v>484</v>
      </c>
    </row>
    <row r="538" customFormat="false" ht="15" hidden="false" customHeight="false" outlineLevel="0" collapsed="false">
      <c r="A538" s="17" t="s">
        <v>408</v>
      </c>
      <c r="B538" s="18" t="s">
        <v>426</v>
      </c>
      <c r="C538" s="18" t="s">
        <v>439</v>
      </c>
      <c r="D538" s="15" t="n">
        <f aca="false">[2]грн!f538-[2]грн!aq538-[2]грн!ap538-[2]грн!ao538-[2]грн!an538-[2]грн!am538-[2]грн!al538-[2]грн!aj538-[2]грн!ai538-[2]грн!ah538-[2]грн!ag538-[2]грн!af538-[2]грн!ad538-[2]грн!ac538-[2]грн!ab538-[2]грн!aa538-[2]грн!z538-[2]грн!x538-[2]грн!w538-[2]грн!v538-[2]грн!u538-[2]грн!t538-[2]грн!r538-[2]грн!q538-[2]грн!p538-[2]грн!o538-[2]грн!n538-[2]грн!l538-[2]грн!k538-[2]грн!j538-[2]грн!i538-[2]грн!h538+[2]грн!g538+[2]грн!m538+[2]грн!s538+[2]грн!y538+[2]грн!ae538+[2]грн!ak538</f>
        <v>17</v>
      </c>
      <c r="E538" s="19" t="n">
        <f aca="false">[2]грн!as538*1.1</f>
        <v>451</v>
      </c>
    </row>
    <row r="539" customFormat="false" ht="15" hidden="false" customHeight="false" outlineLevel="0" collapsed="false">
      <c r="A539" s="17" t="s">
        <v>408</v>
      </c>
      <c r="B539" s="18" t="s">
        <v>440</v>
      </c>
      <c r="C539" s="18" t="s">
        <v>441</v>
      </c>
      <c r="D539" s="15" t="n">
        <f aca="false">[2]грн!f539-[2]грн!aq539-[2]грн!ap539-[2]грн!ao539-[2]грн!an539-[2]грн!am539-[2]грн!al539-[2]грн!aj539-[2]грн!ai539-[2]грн!ah539-[2]грн!ag539-[2]грн!af539-[2]грн!ad539-[2]грн!ac539-[2]грн!ab539-[2]грн!aa539-[2]грн!z539-[2]грн!x539-[2]грн!w539-[2]грн!v539-[2]грн!u539-[2]грн!t539-[2]грн!r539-[2]грн!q539-[2]грн!p539-[2]грн!o539-[2]грн!n539-[2]грн!l539-[2]грн!k539-[2]грн!j539-[2]грн!i539-[2]грн!h539+[2]грн!g539+[2]грн!m539+[2]грн!s539+[2]грн!y539+[2]грн!ae539+[2]грн!ak539</f>
        <v>4</v>
      </c>
      <c r="E539" s="19" t="n">
        <f aca="false">[2]грн!as539*1.1</f>
        <v>671</v>
      </c>
    </row>
    <row r="540" customFormat="false" ht="15" hidden="false" customHeight="false" outlineLevel="0" collapsed="false">
      <c r="A540" s="17" t="s">
        <v>408</v>
      </c>
      <c r="B540" s="18" t="s">
        <v>442</v>
      </c>
      <c r="C540" s="18" t="s">
        <v>443</v>
      </c>
      <c r="D540" s="15" t="n">
        <f aca="false">[2]грн!f540-[2]грн!aq540-[2]грн!ap540-[2]грн!ao540-[2]грн!an540-[2]грн!am540-[2]грн!al540-[2]грн!aj540-[2]грн!ai540-[2]грн!ah540-[2]грн!ag540-[2]грн!af540-[2]грн!ad540-[2]грн!ac540-[2]грн!ab540-[2]грн!aa540-[2]грн!z540-[2]грн!x540-[2]грн!w540-[2]грн!v540-[2]грн!u540-[2]грн!t540-[2]грн!r540-[2]грн!q540-[2]грн!p540-[2]грн!o540-[2]грн!n540-[2]грн!l540-[2]грн!k540-[2]грн!j540-[2]грн!i540-[2]грн!h540+[2]грн!g540+[2]грн!m540+[2]грн!s540+[2]грн!y540+[2]грн!ae540+[2]грн!ak540</f>
        <v>14</v>
      </c>
      <c r="E540" s="19" t="n">
        <f aca="false">[2]грн!as540*1.1</f>
        <v>803</v>
      </c>
    </row>
    <row r="541" customFormat="false" ht="15" hidden="false" customHeight="false" outlineLevel="0" collapsed="false">
      <c r="A541" s="17" t="s">
        <v>408</v>
      </c>
      <c r="B541" s="18" t="s">
        <v>444</v>
      </c>
      <c r="C541" s="18" t="s">
        <v>445</v>
      </c>
      <c r="D541" s="15" t="n">
        <f aca="false">[2]грн!f541-[2]грн!aq541-[2]грн!ap541-[2]грн!ao541-[2]грн!an541-[2]грн!am541-[2]грн!al541-[2]грн!aj541-[2]грн!ai541-[2]грн!ah541-[2]грн!ag541-[2]грн!af541-[2]грн!ad541-[2]грн!ac541-[2]грн!ab541-[2]грн!aa541-[2]грн!z541-[2]грн!x541-[2]грн!w541-[2]грн!v541-[2]грн!u541-[2]грн!t541-[2]грн!r541-[2]грн!q541-[2]грн!p541-[2]грн!o541-[2]грн!n541-[2]грн!l541-[2]грн!k541-[2]грн!j541-[2]грн!i541-[2]грн!h541+[2]грн!g541+[2]грн!m541+[2]грн!s541+[2]грн!y541+[2]грн!ae541+[2]грн!ak541</f>
        <v>4</v>
      </c>
      <c r="E541" s="19" t="n">
        <f aca="false">[2]грн!as541*1.1</f>
        <v>605</v>
      </c>
    </row>
    <row r="542" customFormat="false" ht="15" hidden="true" customHeight="false" outlineLevel="0" collapsed="false">
      <c r="A542" s="17" t="s">
        <v>408</v>
      </c>
      <c r="B542" s="18" t="s">
        <v>446</v>
      </c>
      <c r="C542" s="18" t="s">
        <v>447</v>
      </c>
      <c r="D542" s="15" t="n">
        <f aca="false">[2]грн!f542-[2]грн!aq542-[2]грн!ap542-[2]грн!ao542-[2]грн!an542-[2]грн!am542-[2]грн!al542-[2]грн!aj542-[2]грн!ai542-[2]грн!ah542-[2]грн!ag542-[2]грн!af542-[2]грн!ad542-[2]грн!ac542-[2]грн!ab542-[2]грн!aa542-[2]грн!z542-[2]грн!x542-[2]грн!w542-[2]грн!v542-[2]грн!u542-[2]грн!t542-[2]грн!r542-[2]грн!q542-[2]грн!p542-[2]грн!o542-[2]грн!n542-[2]грн!l542-[2]грн!k542-[2]грн!j542-[2]грн!i542-[2]грн!h542+[2]грн!g542+[2]грн!m542+[2]грн!s542+[2]грн!y542+[2]грн!ae542+[2]грн!ak542</f>
        <v>0</v>
      </c>
      <c r="E542" s="19" t="n">
        <f aca="false">[2]грн!as542*1.1</f>
        <v>957</v>
      </c>
    </row>
    <row r="543" customFormat="false" ht="15" hidden="false" customHeight="false" outlineLevel="0" collapsed="false">
      <c r="A543" s="17" t="s">
        <v>408</v>
      </c>
      <c r="B543" s="18" t="s">
        <v>448</v>
      </c>
      <c r="C543" s="18" t="s">
        <v>449</v>
      </c>
      <c r="D543" s="15" t="n">
        <f aca="false">[2]грн!f543-[2]грн!aq543-[2]грн!ap543-[2]грн!ao543-[2]грн!an543-[2]грн!am543-[2]грн!al543-[2]грн!aj543-[2]грн!ai543-[2]грн!ah543-[2]грн!ag543-[2]грн!af543-[2]грн!ad543-[2]грн!ac543-[2]грн!ab543-[2]грн!aa543-[2]грн!z543-[2]грн!x543-[2]грн!w543-[2]грн!v543-[2]грн!u543-[2]грн!t543-[2]грн!r543-[2]грн!q543-[2]грн!p543-[2]грн!o543-[2]грн!n543-[2]грн!l543-[2]грн!k543-[2]грн!j543-[2]грн!i543-[2]грн!h543+[2]грн!g543+[2]грн!m543+[2]грн!s543+[2]грн!y543+[2]грн!ae543+[2]грн!ak543</f>
        <v>15</v>
      </c>
      <c r="E543" s="19" t="n">
        <f aca="false">[2]грн!as543*1.1</f>
        <v>643.5</v>
      </c>
    </row>
    <row r="544" customFormat="false" ht="15" hidden="false" customHeight="false" outlineLevel="0" collapsed="false">
      <c r="A544" s="17" t="s">
        <v>408</v>
      </c>
      <c r="B544" s="18" t="s">
        <v>450</v>
      </c>
      <c r="C544" s="18" t="s">
        <v>451</v>
      </c>
      <c r="D544" s="15" t="n">
        <f aca="false">[2]грн!f544-[2]грн!aq544-[2]грн!ap544-[2]грн!ao544-[2]грн!an544-[2]грн!am544-[2]грн!al544-[2]грн!aj544-[2]грн!ai544-[2]грн!ah544-[2]грн!ag544-[2]грн!af544-[2]грн!ad544-[2]грн!ac544-[2]грн!ab544-[2]грн!aa544-[2]грн!z544-[2]грн!x544-[2]грн!w544-[2]грн!v544-[2]грн!u544-[2]грн!t544-[2]грн!r544-[2]грн!q544-[2]грн!p544-[2]грн!o544-[2]грн!n544-[2]грн!l544-[2]грн!k544-[2]грн!j544-[2]грн!i544-[2]грн!h544+[2]грн!g544+[2]грн!m544+[2]грн!s544+[2]грн!y544+[2]грн!ae544+[2]грн!ak544</f>
        <v>35</v>
      </c>
      <c r="E544" s="19" t="n">
        <f aca="false">[2]грн!as544*1.1</f>
        <v>770</v>
      </c>
    </row>
    <row r="545" customFormat="false" ht="15" hidden="false" customHeight="false" outlineLevel="0" collapsed="false">
      <c r="A545" s="17" t="s">
        <v>408</v>
      </c>
      <c r="B545" s="18" t="s">
        <v>450</v>
      </c>
      <c r="C545" s="18" t="s">
        <v>452</v>
      </c>
      <c r="D545" s="15" t="n">
        <f aca="false">[2]грн!f545-[2]грн!aq545-[2]грн!ap545-[2]грн!ao545-[2]грн!an545-[2]грн!am545-[2]грн!al545-[2]грн!aj545-[2]грн!ai545-[2]грн!ah545-[2]грн!ag545-[2]грн!af545-[2]грн!ad545-[2]грн!ac545-[2]грн!ab545-[2]грн!aa545-[2]грн!z545-[2]грн!x545-[2]грн!w545-[2]грн!v545-[2]грн!u545-[2]грн!t545-[2]грн!r545-[2]грн!q545-[2]грн!p545-[2]грн!o545-[2]грн!n545-[2]грн!l545-[2]грн!k545-[2]грн!j545-[2]грн!i545-[2]грн!h545+[2]грн!g545+[2]грн!m545+[2]грн!s545+[2]грн!y545+[2]грн!ae545+[2]грн!ak545</f>
        <v>3</v>
      </c>
      <c r="E545" s="19" t="n">
        <f aca="false">[2]грн!as545*1.1</f>
        <v>803</v>
      </c>
    </row>
    <row r="546" customFormat="false" ht="15" hidden="true" customHeight="false" outlineLevel="0" collapsed="false">
      <c r="A546" s="17" t="s">
        <v>408</v>
      </c>
      <c r="B546" s="18" t="s">
        <v>450</v>
      </c>
      <c r="C546" s="18" t="s">
        <v>453</v>
      </c>
      <c r="D546" s="15" t="n">
        <f aca="false">[2]грн!f546-[2]грн!aq546-[2]грн!ap546-[2]грн!ao546-[2]грн!an546-[2]грн!am546-[2]грн!al546-[2]грн!aj546-[2]грн!ai546-[2]грн!ah546-[2]грн!ag546-[2]грн!af546-[2]грн!ad546-[2]грн!ac546-[2]грн!ab546-[2]грн!aa546-[2]грн!z546-[2]грн!x546-[2]грн!w546-[2]грн!v546-[2]грн!u546-[2]грн!t546-[2]грн!r546-[2]грн!q546-[2]грн!p546-[2]грн!o546-[2]грн!n546-[2]грн!l546-[2]грн!k546-[2]грн!j546-[2]грн!i546-[2]грн!h546+[2]грн!g546+[2]грн!m546+[2]грн!s546+[2]грн!y546+[2]грн!ae546+[2]грн!ak546</f>
        <v>0</v>
      </c>
      <c r="E546" s="19" t="n">
        <f aca="false">[2]грн!as546*1.1</f>
        <v>803</v>
      </c>
    </row>
    <row r="547" customFormat="false" ht="15" hidden="false" customHeight="false" outlineLevel="0" collapsed="false">
      <c r="A547" s="17" t="s">
        <v>408</v>
      </c>
      <c r="B547" s="18" t="s">
        <v>450</v>
      </c>
      <c r="C547" s="18" t="s">
        <v>454</v>
      </c>
      <c r="D547" s="15" t="n">
        <f aca="false">[2]грн!f547-[2]грн!aq547-[2]грн!ap547-[2]грн!ao547-[2]грн!an547-[2]грн!am547-[2]грн!al547-[2]грн!aj547-[2]грн!ai547-[2]грн!ah547-[2]грн!ag547-[2]грн!af547-[2]грн!ad547-[2]грн!ac547-[2]грн!ab547-[2]грн!aa547-[2]грн!z547-[2]грн!x547-[2]грн!w547-[2]грн!v547-[2]грн!u547-[2]грн!t547-[2]грн!r547-[2]грн!q547-[2]грн!p547-[2]грн!o547-[2]грн!n547-[2]грн!l547-[2]грн!k547-[2]грн!j547-[2]грн!i547-[2]грн!h547+[2]грн!g547+[2]грн!m547+[2]грн!s547+[2]грн!y547+[2]грн!ae547+[2]грн!ak547</f>
        <v>16</v>
      </c>
      <c r="E547" s="19" t="n">
        <f aca="false">[2]грн!as547*1.1</f>
        <v>803</v>
      </c>
    </row>
    <row r="548" customFormat="false" ht="15" hidden="false" customHeight="false" outlineLevel="0" collapsed="false">
      <c r="A548" s="17" t="s">
        <v>408</v>
      </c>
      <c r="B548" s="18" t="s">
        <v>455</v>
      </c>
      <c r="C548" s="18" t="s">
        <v>456</v>
      </c>
      <c r="D548" s="15" t="n">
        <f aca="false">[2]грн!f548-[2]грн!aq548-[2]грн!ap548-[2]грн!ao548-[2]грн!an548-[2]грн!am548-[2]грн!al548-[2]грн!aj548-[2]грн!ai548-[2]грн!ah548-[2]грн!ag548-[2]грн!af548-[2]грн!ad548-[2]грн!ac548-[2]грн!ab548-[2]грн!aa548-[2]грн!z548-[2]грн!x548-[2]грн!w548-[2]грн!v548-[2]грн!u548-[2]грн!t548-[2]грн!r548-[2]грн!q548-[2]грн!p548-[2]грн!o548-[2]грн!n548-[2]грн!l548-[2]грн!k548-[2]грн!j548-[2]грн!i548-[2]грн!h548+[2]грн!g548+[2]грн!m548+[2]грн!s548+[2]грн!y548+[2]грн!ae548+[2]грн!ak548</f>
        <v>24</v>
      </c>
      <c r="E548" s="19" t="n">
        <f aca="false">[2]грн!as548*1.1</f>
        <v>814</v>
      </c>
    </row>
    <row r="549" customFormat="false" ht="15" hidden="true" customHeight="false" outlineLevel="0" collapsed="false">
      <c r="A549" s="17" t="s">
        <v>408</v>
      </c>
      <c r="B549" s="18" t="s">
        <v>457</v>
      </c>
      <c r="C549" s="18" t="s">
        <v>458</v>
      </c>
      <c r="D549" s="15" t="n">
        <f aca="false">[2]грн!f549-[2]грн!aq549-[2]грн!ap549-[2]грн!ao549-[2]грн!an549-[2]грн!am549-[2]грн!al549-[2]грн!aj549-[2]грн!ai549-[2]грн!ah549-[2]грн!ag549-[2]грн!af549-[2]грн!ad549-[2]грн!ac549-[2]грн!ab549-[2]грн!aa549-[2]грн!z549-[2]грн!x549-[2]грн!w549-[2]грн!v549-[2]грн!u549-[2]грн!t549-[2]грн!r549-[2]грн!q549-[2]грн!p549-[2]грн!o549-[2]грн!n549-[2]грн!l549-[2]грн!k549-[2]грн!j549-[2]грн!i549-[2]грн!h549+[2]грн!g549+[2]грн!m549+[2]грн!s549+[2]грн!y549+[2]грн!ae549+[2]грн!ak549</f>
        <v>0</v>
      </c>
      <c r="E549" s="19" t="n">
        <f aca="false">[2]грн!as549*1.1</f>
        <v>385</v>
      </c>
    </row>
    <row r="550" customFormat="false" ht="15" hidden="false" customHeight="false" outlineLevel="0" collapsed="false">
      <c r="A550" s="17" t="s">
        <v>408</v>
      </c>
      <c r="B550" s="18" t="s">
        <v>459</v>
      </c>
      <c r="C550" s="18" t="s">
        <v>460</v>
      </c>
      <c r="D550" s="15" t="n">
        <f aca="false">[2]грн!f550-[2]грн!aq550-[2]грн!ap550-[2]грн!ao550-[2]грн!an550-[2]грн!am550-[2]грн!al550-[2]грн!aj550-[2]грн!ai550-[2]грн!ah550-[2]грн!ag550-[2]грн!af550-[2]грн!ad550-[2]грн!ac550-[2]грн!ab550-[2]грн!aa550-[2]грн!z550-[2]грн!x550-[2]грн!w550-[2]грн!v550-[2]грн!u550-[2]грн!t550-[2]грн!r550-[2]грн!q550-[2]грн!p550-[2]грн!o550-[2]грн!n550-[2]грн!l550-[2]грн!k550-[2]грн!j550-[2]грн!i550-[2]грн!h550+[2]грн!g550+[2]грн!m550+[2]грн!s550+[2]грн!y550+[2]грн!ae550+[2]грн!ak550</f>
        <v>4</v>
      </c>
      <c r="E550" s="19" t="n">
        <f aca="false">[2]грн!as550*1.1</f>
        <v>1265</v>
      </c>
    </row>
    <row r="551" customFormat="false" ht="15" hidden="false" customHeight="false" outlineLevel="0" collapsed="false">
      <c r="A551" s="17" t="s">
        <v>408</v>
      </c>
      <c r="B551" s="18" t="s">
        <v>461</v>
      </c>
      <c r="C551" s="18" t="s">
        <v>462</v>
      </c>
      <c r="D551" s="15" t="n">
        <f aca="false">[2]грн!f551-[2]грн!aq551-[2]грн!ap551-[2]грн!ao551-[2]грн!an551-[2]грн!am551-[2]грн!al551-[2]грн!aj551-[2]грн!ai551-[2]грн!ah551-[2]грн!ag551-[2]грн!af551-[2]грн!ad551-[2]грн!ac551-[2]грн!ab551-[2]грн!aa551-[2]грн!z551-[2]грн!x551-[2]грн!w551-[2]грн!v551-[2]грн!u551-[2]грн!t551-[2]грн!r551-[2]грн!q551-[2]грн!p551-[2]грн!o551-[2]грн!n551-[2]грн!l551-[2]грн!k551-[2]грн!j551-[2]грн!i551-[2]грн!h551+[2]грн!g551+[2]грн!m551+[2]грн!s551+[2]грн!y551+[2]грн!ae551+[2]грн!ak551</f>
        <v>2</v>
      </c>
      <c r="E551" s="19" t="n">
        <f aca="false">[2]грн!as551*1.1</f>
        <v>847</v>
      </c>
    </row>
    <row r="552" customFormat="false" ht="15" hidden="false" customHeight="false" outlineLevel="0" collapsed="false">
      <c r="A552" s="42" t="s">
        <v>408</v>
      </c>
      <c r="B552" s="43" t="s">
        <v>461</v>
      </c>
      <c r="C552" s="43" t="s">
        <v>462</v>
      </c>
      <c r="D552" s="15" t="n">
        <f aca="false">[2]грн!f552-[2]грн!aq552-[2]грн!ap552-[2]грн!ao552-[2]грн!an552-[2]грн!am552-[2]грн!al552-[2]грн!aj552-[2]грн!ai552-[2]грн!ah552-[2]грн!ag552-[2]грн!af552-[2]грн!ad552-[2]грн!ac552-[2]грн!ab552-[2]грн!aa552-[2]грн!z552-[2]грн!x552-[2]грн!w552-[2]грн!v552-[2]грн!u552-[2]грн!t552-[2]грн!r552-[2]грн!q552-[2]грн!p552-[2]грн!o552-[2]грн!n552-[2]грн!l552-[2]грн!k552-[2]грн!j552-[2]грн!i552-[2]грн!h552+[2]грн!g552+[2]грн!m552+[2]грн!s552+[2]грн!y552+[2]грн!ae552+[2]грн!ak552</f>
        <v>1</v>
      </c>
      <c r="E552" s="44" t="n">
        <f aca="false">[2]грн!as552*1.1</f>
        <v>847</v>
      </c>
    </row>
    <row r="553" customFormat="false" ht="15" hidden="true" customHeight="false" outlineLevel="0" collapsed="false">
      <c r="A553" s="17" t="s">
        <v>408</v>
      </c>
      <c r="B553" s="18" t="s">
        <v>463</v>
      </c>
      <c r="C553" s="18" t="s">
        <v>464</v>
      </c>
      <c r="D553" s="15" t="n">
        <f aca="false">[2]грн!f553-[2]грн!aq553-[2]грн!ap553-[2]грн!ao553-[2]грн!an553-[2]грн!am553-[2]грн!al553-[2]грн!aj553-[2]грн!ai553-[2]грн!ah553-[2]грн!ag553-[2]грн!af553-[2]грн!ad553-[2]грн!ac553-[2]грн!ab553-[2]грн!aa553-[2]грн!z553-[2]грн!x553-[2]грн!w553-[2]грн!v553-[2]грн!u553-[2]грн!t553-[2]грн!r553-[2]грн!q553-[2]грн!p553-[2]грн!o553-[2]грн!n553-[2]грн!l553-[2]грн!k553-[2]грн!j553-[2]грн!i553-[2]грн!h553+[2]грн!g553+[2]грн!m553+[2]грн!s553+[2]грн!y553+[2]грн!ae553+[2]грн!ak553</f>
        <v>0</v>
      </c>
      <c r="E553" s="19" t="n">
        <f aca="false">[2]грн!as553*1.1</f>
        <v>1045</v>
      </c>
    </row>
    <row r="554" customFormat="false" ht="15" hidden="true" customHeight="false" outlineLevel="0" collapsed="false">
      <c r="A554" s="17" t="s">
        <v>408</v>
      </c>
      <c r="B554" s="18" t="s">
        <v>465</v>
      </c>
      <c r="C554" s="18" t="s">
        <v>466</v>
      </c>
      <c r="D554" s="15" t="n">
        <f aca="false">[2]грн!f554-[2]грн!aq554-[2]грн!ap554-[2]грн!ao554-[2]грн!an554-[2]грн!am554-[2]грн!al554-[2]грн!aj554-[2]грн!ai554-[2]грн!ah554-[2]грн!ag554-[2]грн!af554-[2]грн!ad554-[2]грн!ac554-[2]грн!ab554-[2]грн!aa554-[2]грн!z554-[2]грн!x554-[2]грн!w554-[2]грн!v554-[2]грн!u554-[2]грн!t554-[2]грн!r554-[2]грн!q554-[2]грн!p554-[2]грн!o554-[2]грн!n554-[2]грн!l554-[2]грн!k554-[2]грн!j554-[2]грн!i554-[2]грн!h554+[2]грн!g554+[2]грн!m554+[2]грн!s554+[2]грн!y554+[2]грн!ae554+[2]грн!ak554</f>
        <v>0</v>
      </c>
      <c r="E554" s="19" t="n">
        <f aca="false">[2]грн!as554*1.1</f>
        <v>1760</v>
      </c>
    </row>
    <row r="555" customFormat="false" ht="15" hidden="true" customHeight="false" outlineLevel="0" collapsed="false">
      <c r="A555" s="17" t="s">
        <v>467</v>
      </c>
      <c r="B555" s="18" t="s">
        <v>468</v>
      </c>
      <c r="C555" s="18" t="s">
        <v>469</v>
      </c>
      <c r="D555" s="15" t="n">
        <f aca="false">[2]грн!f555-[2]грн!aq555-[2]грн!ap555-[2]грн!ao555-[2]грн!an555-[2]грн!am555-[2]грн!al555-[2]грн!aj555-[2]грн!ai555-[2]грн!ah555-[2]грн!ag555-[2]грн!af555-[2]грн!ad555-[2]грн!ac555-[2]грн!ab555-[2]грн!aa555-[2]грн!z555-[2]грн!x555-[2]грн!w555-[2]грн!v555-[2]грн!u555-[2]грн!t555-[2]грн!r555-[2]грн!q555-[2]грн!p555-[2]грн!o555-[2]грн!n555-[2]грн!l555-[2]грн!k555-[2]грн!j555-[2]грн!i555-[2]грн!h555+[2]грн!g555+[2]грн!m555+[2]грн!s555+[2]грн!y555+[2]грн!ae555+[2]грн!ak555</f>
        <v>0</v>
      </c>
      <c r="E555" s="19" t="n">
        <f aca="false">[2]грн!as555*1.1</f>
        <v>1265</v>
      </c>
    </row>
    <row r="556" customFormat="false" ht="15" hidden="true" customHeight="false" outlineLevel="0" collapsed="false">
      <c r="A556" s="17" t="s">
        <v>467</v>
      </c>
      <c r="B556" s="18" t="s">
        <v>470</v>
      </c>
      <c r="C556" s="18" t="s">
        <v>471</v>
      </c>
      <c r="D556" s="15" t="n">
        <f aca="false">[2]грн!f556-[2]грн!aq556-[2]грн!ap556-[2]грн!ao556-[2]грн!an556-[2]грн!am556-[2]грн!al556-[2]грн!aj556-[2]грн!ai556-[2]грн!ah556-[2]грн!ag556-[2]грн!af556-[2]грн!ad556-[2]грн!ac556-[2]грн!ab556-[2]грн!aa556-[2]грн!z556-[2]грн!x556-[2]грн!w556-[2]грн!v556-[2]грн!u556-[2]грн!t556-[2]грн!r556-[2]грн!q556-[2]грн!p556-[2]грн!o556-[2]грн!n556-[2]грн!l556-[2]грн!k556-[2]грн!j556-[2]грн!i556-[2]грн!h556+[2]грн!g556+[2]грн!m556+[2]грн!s556+[2]грн!y556+[2]грн!ae556+[2]грн!ak556</f>
        <v>0</v>
      </c>
      <c r="E556" s="19" t="n">
        <f aca="false">[2]грн!as556*1.1</f>
        <v>1265</v>
      </c>
    </row>
    <row r="557" customFormat="false" ht="15" hidden="false" customHeight="false" outlineLevel="0" collapsed="false">
      <c r="A557" s="17" t="s">
        <v>408</v>
      </c>
      <c r="B557" s="18" t="s">
        <v>472</v>
      </c>
      <c r="C557" s="18" t="s">
        <v>473</v>
      </c>
      <c r="D557" s="15" t="n">
        <f aca="false">[2]грн!f557-[2]грн!aq557-[2]грн!ap557-[2]грн!ao557-[2]грн!an557-[2]грн!am557-[2]грн!al557-[2]грн!aj557-[2]грн!ai557-[2]грн!ah557-[2]грн!ag557-[2]грн!af557-[2]грн!ad557-[2]грн!ac557-[2]грн!ab557-[2]грн!aa557-[2]грн!z557-[2]грн!x557-[2]грн!w557-[2]грн!v557-[2]грн!u557-[2]грн!t557-[2]грн!r557-[2]грн!q557-[2]грн!p557-[2]грн!o557-[2]грн!n557-[2]грн!l557-[2]грн!k557-[2]грн!j557-[2]грн!i557-[2]грн!h557+[2]грн!g557+[2]грн!m557+[2]грн!s557+[2]грн!y557+[2]грн!ae557+[2]грн!ak557</f>
        <v>1</v>
      </c>
      <c r="E557" s="19" t="n">
        <f aca="false">[2]грн!as557*1.1</f>
        <v>1265</v>
      </c>
    </row>
    <row r="558" customFormat="false" ht="15" hidden="false" customHeight="false" outlineLevel="0" collapsed="false">
      <c r="A558" s="72" t="s">
        <v>467</v>
      </c>
      <c r="B558" s="73" t="s">
        <v>474</v>
      </c>
      <c r="C558" s="73" t="s">
        <v>475</v>
      </c>
      <c r="D558" s="15" t="n">
        <f aca="false">[2]грн!f558-[2]грн!aq558-[2]грн!ap558-[2]грн!ao558-[2]грн!an558-[2]грн!am558-[2]грн!al558-[2]грн!aj558-[2]грн!ai558-[2]грн!ah558-[2]грн!ag558-[2]грн!af558-[2]грн!ad558-[2]грн!ac558-[2]грн!ab558-[2]грн!aa558-[2]грн!z558-[2]грн!x558-[2]грн!w558-[2]грн!v558-[2]грн!u558-[2]грн!t558-[2]грн!r558-[2]грн!q558-[2]грн!p558-[2]грн!o558-[2]грн!n558-[2]грн!l558-[2]грн!k558-[2]грн!j558-[2]грн!i558-[2]грн!h558+[2]грн!g558+[2]грн!m558+[2]грн!s558+[2]грн!y558+[2]грн!ae558+[2]грн!ak558</f>
        <v>3</v>
      </c>
      <c r="E558" s="19" t="n">
        <f aca="false">[2]грн!as558*1.1</f>
        <v>1265</v>
      </c>
    </row>
    <row r="559" customFormat="false" ht="15" hidden="false" customHeight="false" outlineLevel="0" collapsed="false">
      <c r="A559" s="72" t="s">
        <v>476</v>
      </c>
      <c r="B559" s="17" t="s">
        <v>477</v>
      </c>
      <c r="C559" s="17" t="s">
        <v>478</v>
      </c>
      <c r="D559" s="15" t="n">
        <f aca="false">[2]грн!f559-[2]грн!aq559-[2]грн!ap559-[2]грн!ao559-[2]грн!an559-[2]грн!am559-[2]грн!al559-[2]грн!aj559-[2]грн!ai559-[2]грн!ah559-[2]грн!ag559-[2]грн!af559-[2]грн!ad559-[2]грн!ac559-[2]грн!ab559-[2]грн!aa559-[2]грн!z559-[2]грн!x559-[2]грн!w559-[2]грн!v559-[2]грн!u559-[2]грн!t559-[2]грн!r559-[2]грн!q559-[2]грн!p559-[2]грн!o559-[2]грн!n559-[2]грн!l559-[2]грн!k559-[2]грн!j559-[2]грн!i559-[2]грн!h559+[2]грн!g559+[2]грн!m559+[2]грн!s559+[2]грн!y559+[2]грн!ae559+[2]грн!ak559</f>
        <v>4</v>
      </c>
      <c r="E559" s="19" t="n">
        <f aca="false">[2]грн!as559*1.1</f>
        <v>1540</v>
      </c>
    </row>
    <row r="560" customFormat="false" ht="15" hidden="false" customHeight="false" outlineLevel="0" collapsed="false">
      <c r="A560" s="72" t="s">
        <v>476</v>
      </c>
      <c r="B560" s="17" t="s">
        <v>479</v>
      </c>
      <c r="C560" s="17" t="s">
        <v>480</v>
      </c>
      <c r="D560" s="15" t="n">
        <f aca="false">[2]грн!f560-[2]грн!aq560-[2]грн!ap560-[2]грн!ao560-[2]грн!an560-[2]грн!am560-[2]грн!al560-[2]грн!aj560-[2]грн!ai560-[2]грн!ah560-[2]грн!ag560-[2]грн!af560-[2]грн!ad560-[2]грн!ac560-[2]грн!ab560-[2]грн!aa560-[2]грн!z560-[2]грн!x560-[2]грн!w560-[2]грн!v560-[2]грн!u560-[2]грн!t560-[2]грн!r560-[2]грн!q560-[2]грн!p560-[2]грн!o560-[2]грн!n560-[2]грн!l560-[2]грн!k560-[2]грн!j560-[2]грн!i560-[2]грн!h560+[2]грн!g560+[2]грн!m560+[2]грн!s560+[2]грн!y560+[2]грн!ae560+[2]грн!ak560</f>
        <v>2</v>
      </c>
      <c r="E560" s="19" t="n">
        <f aca="false">[2]грн!as560*1.1</f>
        <v>1650</v>
      </c>
    </row>
    <row r="561" customFormat="false" ht="15" hidden="false" customHeight="false" outlineLevel="0" collapsed="false">
      <c r="A561" s="72" t="s">
        <v>476</v>
      </c>
      <c r="B561" s="73" t="s">
        <v>481</v>
      </c>
      <c r="C561" s="73" t="s">
        <v>482</v>
      </c>
      <c r="D561" s="15" t="n">
        <f aca="false">[2]грн!f561-[2]грн!aq561-[2]грн!ap561-[2]грн!ao561-[2]грн!an561-[2]грн!am561-[2]грн!al561-[2]грн!aj561-[2]грн!ai561-[2]грн!ah561-[2]грн!ag561-[2]грн!af561-[2]грн!ad561-[2]грн!ac561-[2]грн!ab561-[2]грн!aa561-[2]грн!z561-[2]грн!x561-[2]грн!w561-[2]грн!v561-[2]грн!u561-[2]грн!t561-[2]грн!r561-[2]грн!q561-[2]грн!p561-[2]грн!o561-[2]грн!n561-[2]грн!l561-[2]грн!k561-[2]грн!j561-[2]грн!i561-[2]грн!h561+[2]грн!g561+[2]грн!m561+[2]грн!s561+[2]грн!y561+[2]грн!ae561+[2]грн!ak561</f>
        <v>2</v>
      </c>
      <c r="E561" s="19" t="n">
        <f aca="false">[2]грн!as561*1.1</f>
        <v>1595</v>
      </c>
    </row>
    <row r="562" customFormat="false" ht="15" hidden="false" customHeight="false" outlineLevel="0" collapsed="false">
      <c r="A562" s="72" t="s">
        <v>476</v>
      </c>
      <c r="B562" s="73" t="s">
        <v>483</v>
      </c>
      <c r="C562" s="73" t="s">
        <v>482</v>
      </c>
      <c r="D562" s="15" t="n">
        <f aca="false">[2]грн!f562-[2]грн!aq562-[2]грн!ap562-[2]грн!ao562-[2]грн!an562-[2]грн!am562-[2]грн!al562-[2]грн!aj562-[2]грн!ai562-[2]грн!ah562-[2]грн!ag562-[2]грн!af562-[2]грн!ad562-[2]грн!ac562-[2]грн!ab562-[2]грн!aa562-[2]грн!z562-[2]грн!x562-[2]грн!w562-[2]грн!v562-[2]грн!u562-[2]грн!t562-[2]грн!r562-[2]грн!q562-[2]грн!p562-[2]грн!o562-[2]грн!n562-[2]грн!l562-[2]грн!k562-[2]грн!j562-[2]грн!i562-[2]грн!h562+[2]грн!g562+[2]грн!m562+[2]грн!s562+[2]грн!y562+[2]грн!ae562+[2]грн!ak562</f>
        <v>20</v>
      </c>
      <c r="E562" s="19" t="n">
        <f aca="false">[2]грн!as562*1.1</f>
        <v>1430</v>
      </c>
    </row>
    <row r="563" customFormat="false" ht="15" hidden="true" customHeight="false" outlineLevel="0" collapsed="false">
      <c r="A563" s="72" t="s">
        <v>484</v>
      </c>
      <c r="B563" s="73" t="s">
        <v>485</v>
      </c>
      <c r="C563" s="73"/>
      <c r="D563" s="15" t="n">
        <f aca="false">[2]грн!f563-[2]грн!aq563-[2]грн!ap563-[2]грн!ao563-[2]грн!an563-[2]грн!am563-[2]грн!al563-[2]грн!aj563-[2]грн!ai563-[2]грн!ah563-[2]грн!ag563-[2]грн!af563-[2]грн!ad563-[2]грн!ac563-[2]грн!ab563-[2]грн!aa563-[2]грн!z563-[2]грн!x563-[2]грн!w563-[2]грн!v563-[2]грн!u563-[2]грн!t563-[2]грн!r563-[2]грн!q563-[2]грн!p563-[2]грн!o563-[2]грн!n563-[2]грн!l563-[2]грн!k563-[2]грн!j563-[2]грн!i563-[2]грн!h563+[2]грн!g563+[2]грн!m563+[2]грн!s563+[2]грн!y563+[2]грн!ae563+[2]грн!ak563</f>
        <v>0</v>
      </c>
      <c r="E563" s="19" t="n">
        <f aca="false">[2]грн!as563*1.08</f>
        <v>1728</v>
      </c>
    </row>
    <row r="564" customFormat="false" ht="15" hidden="true" customHeight="false" outlineLevel="0" collapsed="false">
      <c r="A564" s="17" t="s">
        <v>408</v>
      </c>
      <c r="B564" s="18" t="s">
        <v>486</v>
      </c>
      <c r="C564" s="18" t="s">
        <v>487</v>
      </c>
      <c r="D564" s="15" t="n">
        <f aca="false">[2]грн!f564-[2]грн!aq564-[2]грн!ap564-[2]грн!ao564-[2]грн!an564-[2]грн!am564-[2]грн!al564-[2]грн!aj564-[2]грн!ai564-[2]грн!ah564-[2]грн!ag564-[2]грн!af564-[2]грн!ad564-[2]грн!ac564-[2]грн!ab564-[2]грн!aa564-[2]грн!z564-[2]грн!x564-[2]грн!w564-[2]грн!v564-[2]грн!u564-[2]грн!t564-[2]грн!r564-[2]грн!q564-[2]грн!p564-[2]грн!o564-[2]грн!n564-[2]грн!l564-[2]грн!k564-[2]грн!j564-[2]грн!i564-[2]грн!h564+[2]грн!g564+[2]грн!m564+[2]грн!s564+[2]грн!y564+[2]грн!ae564+[2]грн!ak564</f>
        <v>0</v>
      </c>
      <c r="E564" s="19" t="n">
        <f aca="false">[2]грн!as564*1.1</f>
        <v>1122</v>
      </c>
    </row>
    <row r="565" customFormat="false" ht="15" hidden="false" customHeight="false" outlineLevel="0" collapsed="false">
      <c r="A565" s="72" t="s">
        <v>476</v>
      </c>
      <c r="B565" s="73" t="s">
        <v>488</v>
      </c>
      <c r="C565" s="73" t="s">
        <v>489</v>
      </c>
      <c r="D565" s="15" t="n">
        <f aca="false">[2]грн!f565-[2]грн!aq565-[2]грн!ap565-[2]грн!ao565-[2]грн!an565-[2]грн!am565-[2]грн!al565-[2]грн!aj565-[2]грн!ai565-[2]грн!ah565-[2]грн!ag565-[2]грн!af565-[2]грн!ad565-[2]грн!ac565-[2]грн!ab565-[2]грн!aa565-[2]грн!z565-[2]грн!x565-[2]грн!w565-[2]грн!v565-[2]грн!u565-[2]грн!t565-[2]грн!r565-[2]грн!q565-[2]грн!p565-[2]грн!o565-[2]грн!n565-[2]грн!l565-[2]грн!k565-[2]грн!j565-[2]грн!i565-[2]грн!h565+[2]грн!g565+[2]грн!m565+[2]грн!s565+[2]грн!y565+[2]грн!ae565+[2]грн!ak565</f>
        <v>8</v>
      </c>
      <c r="E565" s="19" t="n">
        <f aca="false">[2]грн!as565*1.08</f>
        <v>1890</v>
      </c>
    </row>
    <row r="566" customFormat="false" ht="15" hidden="false" customHeight="false" outlineLevel="0" collapsed="false">
      <c r="A566" s="17" t="s">
        <v>408</v>
      </c>
      <c r="B566" s="73" t="s">
        <v>488</v>
      </c>
      <c r="C566" s="73" t="s">
        <v>490</v>
      </c>
      <c r="D566" s="15" t="n">
        <f aca="false">[2]грн!f566-[2]грн!aq566-[2]грн!ap566-[2]грн!ao566-[2]грн!an566-[2]грн!am566-[2]грн!al566-[2]грн!aj566-[2]грн!ai566-[2]грн!ah566-[2]грн!ag566-[2]грн!af566-[2]грн!ad566-[2]грн!ac566-[2]грн!ab566-[2]грн!aa566-[2]грн!z566-[2]грн!x566-[2]грн!w566-[2]грн!v566-[2]грн!u566-[2]грн!t566-[2]грн!r566-[2]грн!q566-[2]грн!p566-[2]грн!o566-[2]грн!n566-[2]грн!l566-[2]грн!k566-[2]грн!j566-[2]грн!i566-[2]грн!h566+[2]грн!g566+[2]грн!m566+[2]грн!s566+[2]грн!y566+[2]грн!ae566+[2]грн!ak566</f>
        <v>7</v>
      </c>
      <c r="E566" s="19" t="n">
        <f aca="false">[2]грн!as566*1.08</f>
        <v>1976.4</v>
      </c>
    </row>
    <row r="567" customFormat="false" ht="15" hidden="false" customHeight="false" outlineLevel="0" collapsed="false">
      <c r="A567" s="72" t="s">
        <v>476</v>
      </c>
      <c r="B567" s="73" t="s">
        <v>491</v>
      </c>
      <c r="C567" s="73" t="s">
        <v>492</v>
      </c>
      <c r="D567" s="15" t="n">
        <f aca="false">[2]грн!f567-[2]грн!aq567-[2]грн!ap567-[2]грн!ao567-[2]грн!an567-[2]грн!am567-[2]грн!al567-[2]грн!aj567-[2]грн!ai567-[2]грн!ah567-[2]грн!ag567-[2]грн!af567-[2]грн!ad567-[2]грн!ac567-[2]грн!ab567-[2]грн!aa567-[2]грн!z567-[2]грн!x567-[2]грн!w567-[2]грн!v567-[2]грн!u567-[2]грн!t567-[2]грн!r567-[2]грн!q567-[2]грн!p567-[2]грн!o567-[2]грн!n567-[2]грн!l567-[2]грн!k567-[2]грн!j567-[2]грн!i567-[2]грн!h567+[2]грн!g567+[2]грн!m567+[2]грн!s567+[2]грн!y567+[2]грн!ae567+[2]грн!ak567</f>
        <v>4</v>
      </c>
      <c r="E567" s="19" t="n">
        <f aca="false">[2]грн!as567*1.08</f>
        <v>1890</v>
      </c>
    </row>
    <row r="568" customFormat="false" ht="15" hidden="true" customHeight="false" outlineLevel="0" collapsed="false">
      <c r="A568" s="72" t="s">
        <v>467</v>
      </c>
      <c r="B568" s="73" t="s">
        <v>493</v>
      </c>
      <c r="C568" s="73"/>
      <c r="D568" s="15" t="n">
        <f aca="false">[2]грн!f568-[2]грн!aq568-[2]грн!ap568-[2]грн!ao568-[2]грн!an568-[2]грн!am568-[2]грн!al568-[2]грн!aj568-[2]грн!ai568-[2]грн!ah568-[2]грн!ag568-[2]грн!af568-[2]грн!ad568-[2]грн!ac568-[2]грн!ab568-[2]грн!aa568-[2]грн!z568-[2]грн!x568-[2]грн!w568-[2]грн!v568-[2]грн!u568-[2]грн!t568-[2]грн!r568-[2]грн!q568-[2]грн!p568-[2]грн!o568-[2]грн!n568-[2]грн!l568-[2]грн!k568-[2]грн!j568-[2]грн!i568-[2]грн!h568+[2]грн!g568+[2]грн!m568+[2]грн!s568+[2]грн!y568+[2]грн!ae568+[2]грн!ak568</f>
        <v>0</v>
      </c>
      <c r="E568" s="19" t="n">
        <f aca="false">[2]грн!as568*1.08</f>
        <v>2106</v>
      </c>
    </row>
    <row r="569" customFormat="false" ht="15" hidden="false" customHeight="false" outlineLevel="0" collapsed="false">
      <c r="A569" s="72" t="s">
        <v>476</v>
      </c>
      <c r="B569" s="73" t="s">
        <v>493</v>
      </c>
      <c r="C569" s="73"/>
      <c r="D569" s="15" t="n">
        <f aca="false">[2]грн!f569-[2]грн!aq569-[2]грн!ap569-[2]грн!ao569-[2]грн!an569-[2]грн!am569-[2]грн!al569-[2]грн!aj569-[2]грн!ai569-[2]грн!ah569-[2]грн!ag569-[2]грн!af569-[2]грн!ad569-[2]грн!ac569-[2]грн!ab569-[2]грн!aa569-[2]грн!z569-[2]грн!x569-[2]грн!w569-[2]грн!v569-[2]грн!u569-[2]грн!t569-[2]грн!r569-[2]грн!q569-[2]грн!p569-[2]грн!o569-[2]грн!n569-[2]грн!l569-[2]грн!k569-[2]грн!j569-[2]грн!i569-[2]грн!h569+[2]грн!g569+[2]грн!m569+[2]грн!s569+[2]грн!y569+[2]грн!ae569+[2]грн!ak569</f>
        <v>4</v>
      </c>
      <c r="E569" s="19" t="n">
        <f aca="false">[2]грн!as569*1.08</f>
        <v>2214</v>
      </c>
    </row>
    <row r="570" customFormat="false" ht="15" hidden="false" customHeight="false" outlineLevel="0" collapsed="false">
      <c r="A570" s="72" t="s">
        <v>476</v>
      </c>
      <c r="B570" s="73" t="s">
        <v>494</v>
      </c>
      <c r="C570" s="73" t="s">
        <v>495</v>
      </c>
      <c r="D570" s="15" t="n">
        <f aca="false">[2]грн!f570-[2]грн!aq570-[2]грн!ap570-[2]грн!ao570-[2]грн!an570-[2]грн!am570-[2]грн!al570-[2]грн!aj570-[2]грн!ai570-[2]грн!ah570-[2]грн!ag570-[2]грн!af570-[2]грн!ad570-[2]грн!ac570-[2]грн!ab570-[2]грн!aa570-[2]грн!z570-[2]грн!x570-[2]грн!w570-[2]грн!v570-[2]грн!u570-[2]грн!t570-[2]грн!r570-[2]грн!q570-[2]грн!p570-[2]грн!o570-[2]грн!n570-[2]грн!l570-[2]грн!k570-[2]грн!j570-[2]грн!i570-[2]грн!h570+[2]грн!g570+[2]грн!m570+[2]грн!s570+[2]грн!y570+[2]грн!ae570+[2]грн!ak570</f>
        <v>4</v>
      </c>
      <c r="E570" s="19" t="n">
        <f aca="false">[2]грн!as570*1.08</f>
        <v>2052</v>
      </c>
    </row>
    <row r="571" customFormat="false" ht="15" hidden="true" customHeight="false" outlineLevel="0" collapsed="false">
      <c r="A571" s="72" t="s">
        <v>496</v>
      </c>
      <c r="B571" s="73" t="s">
        <v>497</v>
      </c>
      <c r="C571" s="73" t="s">
        <v>498</v>
      </c>
      <c r="D571" s="15" t="n">
        <f aca="false">[2]грн!f571-[2]грн!aq571-[2]грн!ap571-[2]грн!ao571-[2]грн!an571-[2]грн!am571-[2]грн!al571-[2]грн!aj571-[2]грн!ai571-[2]грн!ah571-[2]грн!ag571-[2]грн!af571-[2]грн!ad571-[2]грн!ac571-[2]грн!ab571-[2]грн!aa571-[2]грн!z571-[2]грн!x571-[2]грн!w571-[2]грн!v571-[2]грн!u571-[2]грн!t571-[2]грн!r571-[2]грн!q571-[2]грн!p571-[2]грн!o571-[2]грн!n571-[2]грн!l571-[2]грн!k571-[2]грн!j571-[2]грн!i571-[2]грн!h571+[2]грн!g571+[2]грн!m571+[2]грн!s571+[2]грн!y571+[2]грн!ae571+[2]грн!ak571</f>
        <v>0</v>
      </c>
      <c r="E571" s="19" t="n">
        <f aca="false">[2]грн!as571*1.08</f>
        <v>2160</v>
      </c>
    </row>
    <row r="572" customFormat="false" ht="15" hidden="false" customHeight="false" outlineLevel="0" collapsed="false">
      <c r="A572" s="72" t="s">
        <v>467</v>
      </c>
      <c r="B572" s="73" t="s">
        <v>499</v>
      </c>
      <c r="C572" s="73" t="s">
        <v>500</v>
      </c>
      <c r="D572" s="15" t="n">
        <f aca="false">[2]грн!f572-[2]грн!aq572-[2]грн!ap572-[2]грн!ao572-[2]грн!an572-[2]грн!am572-[2]грн!al572-[2]грн!aj572-[2]грн!ai572-[2]грн!ah572-[2]грн!ag572-[2]грн!af572-[2]грн!ad572-[2]грн!ac572-[2]грн!ab572-[2]грн!aa572-[2]грн!z572-[2]грн!x572-[2]грн!w572-[2]грн!v572-[2]грн!u572-[2]грн!t572-[2]грн!r572-[2]грн!q572-[2]грн!p572-[2]грн!o572-[2]грн!n572-[2]грн!l572-[2]грн!k572-[2]грн!j572-[2]грн!i572-[2]грн!h572+[2]грн!g572+[2]грн!m572+[2]грн!s572+[2]грн!y572+[2]грн!ae572+[2]грн!ak572</f>
        <v>6</v>
      </c>
      <c r="E572" s="19" t="n">
        <f aca="false">[2]грн!as572*1.08</f>
        <v>2376</v>
      </c>
    </row>
    <row r="573" customFormat="false" ht="15" hidden="false" customHeight="false" outlineLevel="0" collapsed="false">
      <c r="A573" s="72" t="s">
        <v>501</v>
      </c>
      <c r="B573" s="73" t="s">
        <v>494</v>
      </c>
      <c r="C573" s="73" t="s">
        <v>502</v>
      </c>
      <c r="D573" s="15" t="n">
        <f aca="false">[2]грн!f573-[2]грн!aq573-[2]грн!ap573-[2]грн!ao573-[2]грн!an573-[2]грн!am573-[2]грн!al573-[2]грн!aj573-[2]грн!ai573-[2]грн!ah573-[2]грн!ag573-[2]грн!af573-[2]грн!ad573-[2]грн!ac573-[2]грн!ab573-[2]грн!aa573-[2]грн!z573-[2]грн!x573-[2]грн!w573-[2]грн!v573-[2]грн!u573-[2]грн!t573-[2]грн!r573-[2]грн!q573-[2]грн!p573-[2]грн!o573-[2]грн!n573-[2]грн!l573-[2]грн!k573-[2]грн!j573-[2]грн!i573-[2]грн!h573+[2]грн!g573+[2]грн!m573+[2]грн!s573+[2]грн!y573+[2]грн!ae573+[2]грн!ak573</f>
        <v>1</v>
      </c>
      <c r="E573" s="19" t="n">
        <f aca="false">[2]грн!as573*1.08</f>
        <v>2646</v>
      </c>
    </row>
    <row r="574" customFormat="false" ht="15" hidden="true" customHeight="false" outlineLevel="0" collapsed="false">
      <c r="A574" s="72" t="s">
        <v>496</v>
      </c>
      <c r="B574" s="73" t="s">
        <v>503</v>
      </c>
      <c r="C574" s="73" t="s">
        <v>504</v>
      </c>
      <c r="D574" s="15" t="n">
        <f aca="false">[2]грн!f574-[2]грн!aq574-[2]грн!ap574-[2]грн!ao574-[2]грн!an574-[2]грн!am574-[2]грн!al574-[2]грн!aj574-[2]грн!ai574-[2]грн!ah574-[2]грн!ag574-[2]грн!af574-[2]грн!ad574-[2]грн!ac574-[2]грн!ab574-[2]грн!aa574-[2]грн!z574-[2]грн!x574-[2]грн!w574-[2]грн!v574-[2]грн!u574-[2]грн!t574-[2]грн!r574-[2]грн!q574-[2]грн!p574-[2]грн!o574-[2]грн!n574-[2]грн!l574-[2]грн!k574-[2]грн!j574-[2]грн!i574-[2]грн!h574+[2]грн!g574+[2]грн!m574+[2]грн!s574+[2]грн!y574+[2]грн!ae574+[2]грн!ak574</f>
        <v>0</v>
      </c>
      <c r="E574" s="19" t="n">
        <f aca="false">[2]грн!as574*1.08</f>
        <v>2268</v>
      </c>
    </row>
    <row r="575" customFormat="false" ht="15" hidden="false" customHeight="false" outlineLevel="0" collapsed="false">
      <c r="A575" s="17" t="s">
        <v>408</v>
      </c>
      <c r="B575" s="73" t="s">
        <v>505</v>
      </c>
      <c r="C575" s="73" t="s">
        <v>506</v>
      </c>
      <c r="D575" s="15" t="n">
        <f aca="false">[2]грн!f575-[2]грн!aq575-[2]грн!ap575-[2]грн!ao575-[2]грн!an575-[2]грн!am575-[2]грн!al575-[2]грн!aj575-[2]грн!ai575-[2]грн!ah575-[2]грн!ag575-[2]грн!af575-[2]грн!ad575-[2]грн!ac575-[2]грн!ab575-[2]грн!aa575-[2]грн!z575-[2]грн!x575-[2]грн!w575-[2]грн!v575-[2]грн!u575-[2]грн!t575-[2]грн!r575-[2]грн!q575-[2]грн!p575-[2]грн!o575-[2]грн!n575-[2]грн!l575-[2]грн!k575-[2]грн!j575-[2]грн!i575-[2]грн!h575+[2]грн!g575+[2]грн!m575+[2]грн!s575+[2]грн!y575+[2]грн!ae575+[2]грн!ak575</f>
        <v>6</v>
      </c>
      <c r="E575" s="19" t="n">
        <f aca="false">[2]грн!as575*1.08</f>
        <v>2376</v>
      </c>
    </row>
    <row r="576" customFormat="false" ht="15" hidden="true" customHeight="false" outlineLevel="0" collapsed="false">
      <c r="A576" s="72" t="s">
        <v>467</v>
      </c>
      <c r="B576" s="73" t="s">
        <v>494</v>
      </c>
      <c r="C576" s="73"/>
      <c r="D576" s="15" t="n">
        <f aca="false">[2]грн!f576-[2]грн!aq576-[2]грн!ap576-[2]грн!ao576-[2]грн!an576-[2]грн!am576-[2]грн!al576-[2]грн!aj576-[2]грн!ai576-[2]грн!ah576-[2]грн!ag576-[2]грн!af576-[2]грн!ad576-[2]грн!ac576-[2]грн!ab576-[2]грн!aa576-[2]грн!z576-[2]грн!x576-[2]грн!w576-[2]грн!v576-[2]грн!u576-[2]грн!t576-[2]грн!r576-[2]грн!q576-[2]грн!p576-[2]грн!o576-[2]грн!n576-[2]грн!l576-[2]грн!k576-[2]грн!j576-[2]грн!i576-[2]грн!h576+[2]грн!g576+[2]грн!m576+[2]грн!s576+[2]грн!y576+[2]грн!ae576+[2]грн!ak576</f>
        <v>0</v>
      </c>
      <c r="E576" s="19" t="n">
        <f aca="false">[2]грн!as576*1.08</f>
        <v>2160</v>
      </c>
    </row>
    <row r="577" customFormat="false" ht="15" hidden="false" customHeight="false" outlineLevel="0" collapsed="false">
      <c r="A577" s="42" t="s">
        <v>408</v>
      </c>
      <c r="B577" s="43" t="s">
        <v>507</v>
      </c>
      <c r="C577" s="43"/>
      <c r="D577" s="15" t="n">
        <f aca="false">[2]грн!f577-[2]грн!aq577-[2]грн!ap577-[2]грн!ao577-[2]грн!an577-[2]грн!am577-[2]грн!al577-[2]грн!aj577-[2]грн!ai577-[2]грн!ah577-[2]грн!ag577-[2]грн!af577-[2]грн!ad577-[2]грн!ac577-[2]грн!ab577-[2]грн!aa577-[2]грн!z577-[2]грн!x577-[2]грн!w577-[2]грн!v577-[2]грн!u577-[2]грн!t577-[2]грн!r577-[2]грн!q577-[2]грн!p577-[2]грн!o577-[2]грн!n577-[2]грн!l577-[2]грн!k577-[2]грн!j577-[2]грн!i577-[2]грн!h577+[2]грн!g577+[2]грн!m577+[2]грн!s577+[2]грн!y577+[2]грн!ae577+[2]грн!ak577</f>
        <v>4</v>
      </c>
      <c r="E577" s="44" t="n">
        <f aca="false">[2]грн!as577*1.1</f>
        <v>440</v>
      </c>
    </row>
    <row r="578" customFormat="false" ht="15" hidden="false" customHeight="false" outlineLevel="0" collapsed="false">
      <c r="A578" s="42" t="s">
        <v>408</v>
      </c>
      <c r="B578" s="74" t="s">
        <v>508</v>
      </c>
      <c r="C578" s="43" t="s">
        <v>509</v>
      </c>
      <c r="D578" s="15" t="n">
        <f aca="false">[2]грн!f578-[2]грн!aq578-[2]грн!ap578-[2]грн!ao578-[2]грн!an578-[2]грн!am578-[2]грн!al578-[2]грн!aj578-[2]грн!ai578-[2]грн!ah578-[2]грн!ag578-[2]грн!af578-[2]грн!ad578-[2]грн!ac578-[2]грн!ab578-[2]грн!aa578-[2]грн!z578-[2]грн!x578-[2]грн!w578-[2]грн!v578-[2]грн!u578-[2]грн!t578-[2]грн!r578-[2]грн!q578-[2]грн!p578-[2]грн!o578-[2]грн!n578-[2]грн!l578-[2]грн!k578-[2]грн!j578-[2]грн!i578-[2]грн!h578+[2]грн!g578+[2]грн!m578+[2]грн!s578+[2]грн!y578+[2]грн!ae578+[2]грн!ak578</f>
        <v>4</v>
      </c>
      <c r="E578" s="44" t="n">
        <f aca="false">[2]грн!as578*1.1</f>
        <v>550</v>
      </c>
    </row>
    <row r="579" customFormat="false" ht="15" hidden="false" customHeight="false" outlineLevel="0" collapsed="false">
      <c r="A579" s="42" t="s">
        <v>408</v>
      </c>
      <c r="B579" s="74"/>
      <c r="C579" s="75" t="n">
        <v>17.5</v>
      </c>
      <c r="D579" s="15" t="n">
        <f aca="false">[2]грн!f579-[2]грн!aq579-[2]грн!ap579-[2]грн!ao579-[2]грн!an579-[2]грн!am579-[2]грн!al579-[2]грн!aj579-[2]грн!ai579-[2]грн!ah579-[2]грн!ag579-[2]грн!af579-[2]грн!ad579-[2]грн!ac579-[2]грн!ab579-[2]грн!aa579-[2]грн!z579-[2]грн!x579-[2]грн!w579-[2]грн!v579-[2]грн!u579-[2]грн!t579-[2]грн!r579-[2]грн!q579-[2]грн!p579-[2]грн!o579-[2]грн!n579-[2]грн!l579-[2]грн!k579-[2]грн!j579-[2]грн!i579-[2]грн!h579+[2]грн!g579+[2]грн!m579+[2]грн!s579+[2]грн!y579+[2]грн!ae579+[2]грн!ak579</f>
        <v>1</v>
      </c>
      <c r="E579" s="44" t="n">
        <f aca="false">[2]грн!as579*1.15</f>
        <v>920</v>
      </c>
    </row>
    <row r="580" customFormat="false" ht="15" hidden="false" customHeight="false" outlineLevel="0" collapsed="false">
      <c r="A580" s="42" t="s">
        <v>408</v>
      </c>
      <c r="B580" s="74" t="s">
        <v>510</v>
      </c>
      <c r="C580" s="75" t="s">
        <v>511</v>
      </c>
      <c r="D580" s="15" t="n">
        <f aca="false">[2]грн!f580-[2]грн!aq580-[2]грн!ap580-[2]грн!ao580-[2]грн!an580-[2]грн!am580-[2]грн!al580-[2]грн!aj580-[2]грн!ai580-[2]грн!ah580-[2]грн!ag580-[2]грн!af580-[2]грн!ad580-[2]грн!ac580-[2]грн!ab580-[2]грн!aa580-[2]грн!z580-[2]грн!x580-[2]грн!w580-[2]грн!v580-[2]грн!u580-[2]грн!t580-[2]грн!r580-[2]грн!q580-[2]грн!p580-[2]грн!o580-[2]грн!n580-[2]грн!l580-[2]грн!k580-[2]грн!j580-[2]грн!i580-[2]грн!h580+[2]грн!g580+[2]грн!m580+[2]грн!s580+[2]грн!y580+[2]грн!ae580+[2]грн!ak580</f>
        <v>4</v>
      </c>
      <c r="E580" s="44"/>
    </row>
    <row r="581" customFormat="false" ht="15" hidden="false" customHeight="false" outlineLevel="0" collapsed="false">
      <c r="A581" s="42" t="s">
        <v>408</v>
      </c>
      <c r="B581" s="74" t="s">
        <v>512</v>
      </c>
      <c r="C581" s="75" t="s">
        <v>511</v>
      </c>
      <c r="D581" s="15" t="n">
        <f aca="false">[2]грн!f581-[2]грн!aq581-[2]грн!ap581-[2]грн!ao581-[2]грн!an581-[2]грн!am581-[2]грн!al581-[2]грн!aj581-[2]грн!ai581-[2]грн!ah581-[2]грн!ag581-[2]грн!af581-[2]грн!ad581-[2]грн!ac581-[2]грн!ab581-[2]грн!aa581-[2]грн!z581-[2]грн!x581-[2]грн!w581-[2]грн!v581-[2]грн!u581-[2]грн!t581-[2]грн!r581-[2]грн!q581-[2]грн!p581-[2]грн!o581-[2]грн!n581-[2]грн!l581-[2]грн!k581-[2]грн!j581-[2]грн!i581-[2]грн!h581+[2]грн!g581+[2]грн!m581+[2]грн!s581+[2]грн!y581+[2]грн!ae581+[2]грн!ak581</f>
        <v>4</v>
      </c>
      <c r="E581" s="44" t="s">
        <v>513</v>
      </c>
    </row>
    <row r="582" customFormat="false" ht="15" hidden="false" customHeight="false" outlineLevel="0" collapsed="false">
      <c r="A582" s="42" t="s">
        <v>408</v>
      </c>
      <c r="B582" s="74" t="s">
        <v>514</v>
      </c>
      <c r="C582" s="75" t="s">
        <v>515</v>
      </c>
      <c r="D582" s="15" t="n">
        <f aca="false">[2]грн!f582-[2]грн!aq582-[2]грн!ap582-[2]грн!ao582-[2]грн!an582-[2]грн!am582-[2]грн!al582-[2]грн!aj582-[2]грн!ai582-[2]грн!ah582-[2]грн!ag582-[2]грн!af582-[2]грн!ad582-[2]грн!ac582-[2]грн!ab582-[2]грн!aa582-[2]грн!z582-[2]грн!x582-[2]грн!w582-[2]грн!v582-[2]грн!u582-[2]грн!t582-[2]грн!r582-[2]грн!q582-[2]грн!p582-[2]грн!o582-[2]грн!n582-[2]грн!l582-[2]грн!k582-[2]грн!j582-[2]грн!i582-[2]грн!h582+[2]грн!g582+[2]грн!m582+[2]грн!s582+[2]грн!y582+[2]грн!ae582+[2]грн!ak582</f>
        <v>4</v>
      </c>
      <c r="E582" s="44" t="n">
        <f aca="false">[2]грн!as582*1.15</f>
        <v>747.5</v>
      </c>
    </row>
    <row r="583" customFormat="false" ht="15" hidden="false" customHeight="false" outlineLevel="0" collapsed="false">
      <c r="A583" s="42" t="s">
        <v>408</v>
      </c>
      <c r="B583" s="74" t="s">
        <v>516</v>
      </c>
      <c r="C583" s="75"/>
      <c r="D583" s="15" t="n">
        <f aca="false">[2]грн!f583-[2]грн!aq583-[2]грн!ap583-[2]грн!ao583-[2]грн!an583-[2]грн!am583-[2]грн!al583-[2]грн!aj583-[2]грн!ai583-[2]грн!ah583-[2]грн!ag583-[2]грн!af583-[2]грн!ad583-[2]грн!ac583-[2]грн!ab583-[2]грн!aa583-[2]грн!z583-[2]грн!x583-[2]грн!w583-[2]грн!v583-[2]грн!u583-[2]грн!t583-[2]грн!r583-[2]грн!q583-[2]грн!p583-[2]грн!o583-[2]грн!n583-[2]грн!l583-[2]грн!k583-[2]грн!j583-[2]грн!i583-[2]грн!h583+[2]грн!g583+[2]грн!m583+[2]грн!s583+[2]грн!y583+[2]грн!ae583+[2]грн!ak583</f>
        <v>4</v>
      </c>
      <c r="E583" s="44" t="n">
        <f aca="false">[2]грн!as583*1.15</f>
        <v>1437.5</v>
      </c>
    </row>
    <row r="584" customFormat="false" ht="15" hidden="true" customHeight="false" outlineLevel="0" collapsed="false">
      <c r="A584" s="17" t="s">
        <v>517</v>
      </c>
      <c r="B584" s="35" t="s">
        <v>518</v>
      </c>
      <c r="C584" s="66"/>
      <c r="D584" s="15" t="n">
        <f aca="false">[2]грн!f584-[2]грн!aq584-[2]грн!ap584-[2]грн!ao584-[2]грн!an584-[2]грн!am584-[2]грн!al584-[2]грн!aj584-[2]грн!ai584-[2]грн!ah584-[2]грн!ag584-[2]грн!af584-[2]грн!ad584-[2]грн!ac584-[2]грн!ab584-[2]грн!aa584-[2]грн!z584-[2]грн!x584-[2]грн!w584-[2]грн!v584-[2]грн!u584-[2]грн!t584-[2]грн!r584-[2]грн!q584-[2]грн!p584-[2]грн!o584-[2]грн!n584-[2]грн!l584-[2]грн!k584-[2]грн!j584-[2]грн!i584-[2]грн!h584+[2]грн!g584+[2]грн!m584+[2]грн!s584+[2]грн!y584+[2]грн!ae584+[2]грн!ak584</f>
        <v>0</v>
      </c>
      <c r="E584" s="19" t="n">
        <f aca="false">[2]грн!as584*1.15</f>
        <v>149.5</v>
      </c>
    </row>
    <row r="585" customFormat="false" ht="15" hidden="false" customHeight="false" outlineLevel="0" collapsed="false">
      <c r="A585" s="17" t="s">
        <v>517</v>
      </c>
      <c r="B585" s="35" t="s">
        <v>519</v>
      </c>
      <c r="C585" s="18" t="s">
        <v>520</v>
      </c>
      <c r="D585" s="15" t="n">
        <f aca="false">[2]грн!f585-[2]грн!aq585-[2]грн!ap585-[2]грн!ao585-[2]грн!an585-[2]грн!am585-[2]грн!al585-[2]грн!aj585-[2]грн!ai585-[2]грн!ah585-[2]грн!ag585-[2]грн!af585-[2]грн!ad585-[2]грн!ac585-[2]грн!ab585-[2]грн!aa585-[2]грн!z585-[2]грн!x585-[2]грн!w585-[2]грн!v585-[2]грн!u585-[2]грн!t585-[2]грн!r585-[2]грн!q585-[2]грн!p585-[2]грн!o585-[2]грн!n585-[2]грн!l585-[2]грн!k585-[2]грн!j585-[2]грн!i585-[2]грн!h585+[2]грн!g585+[2]грн!m585+[2]грн!s585+[2]грн!y585+[2]грн!ae585+[2]грн!ak585</f>
        <v>8</v>
      </c>
      <c r="E585" s="19" t="n">
        <f aca="false">[2]грн!as585*1.15</f>
        <v>184</v>
      </c>
    </row>
    <row r="586" customFormat="false" ht="15" hidden="false" customHeight="false" outlineLevel="0" collapsed="false">
      <c r="A586" s="17" t="s">
        <v>517</v>
      </c>
      <c r="B586" s="35" t="s">
        <v>521</v>
      </c>
      <c r="C586" s="18"/>
      <c r="D586" s="15" t="n">
        <f aca="false">[2]грн!f586-[2]грн!aq586-[2]грн!ap586-[2]грн!ao586-[2]грн!an586-[2]грн!am586-[2]грн!al586-[2]грн!aj586-[2]грн!ai586-[2]грн!ah586-[2]грн!ag586-[2]грн!af586-[2]грн!ad586-[2]грн!ac586-[2]грн!ab586-[2]грн!aa586-[2]грн!z586-[2]грн!x586-[2]грн!w586-[2]грн!v586-[2]грн!u586-[2]грн!t586-[2]грн!r586-[2]грн!q586-[2]грн!p586-[2]грн!o586-[2]грн!n586-[2]грн!l586-[2]грн!k586-[2]грн!j586-[2]грн!i586-[2]грн!h586+[2]грн!g586+[2]грн!m586+[2]грн!s586+[2]грн!y586+[2]грн!ae586+[2]грн!ak586</f>
        <v>20</v>
      </c>
      <c r="E586" s="19" t="n">
        <f aca="false">[2]грн!as586*1.15</f>
        <v>80.5</v>
      </c>
    </row>
    <row r="587" customFormat="false" ht="15" hidden="false" customHeight="false" outlineLevel="0" collapsed="false">
      <c r="A587" s="17" t="s">
        <v>517</v>
      </c>
      <c r="B587" s="35" t="s">
        <v>522</v>
      </c>
      <c r="C587" s="18"/>
      <c r="D587" s="15" t="n">
        <f aca="false">[2]грн!f587-[2]грн!aq587-[2]грн!ap587-[2]грн!ao587-[2]грн!an587-[2]грн!am587-[2]грн!al587-[2]грн!aj587-[2]грн!ai587-[2]грн!ah587-[2]грн!ag587-[2]грн!af587-[2]грн!ad587-[2]грн!ac587-[2]грн!ab587-[2]грн!aa587-[2]грн!z587-[2]грн!x587-[2]грн!w587-[2]грн!v587-[2]грн!u587-[2]грн!t587-[2]грн!r587-[2]грн!q587-[2]грн!p587-[2]грн!o587-[2]грн!n587-[2]грн!l587-[2]грн!k587-[2]грн!j587-[2]грн!i587-[2]грн!h587+[2]грн!g587+[2]грн!m587+[2]грн!s587+[2]грн!y587+[2]грн!ae587+[2]грн!ak587</f>
        <v>18</v>
      </c>
      <c r="E587" s="19" t="n">
        <f aca="false">[2]грн!as587*1.15</f>
        <v>126.5</v>
      </c>
    </row>
    <row r="588" customFormat="false" ht="15" hidden="false" customHeight="false" outlineLevel="0" collapsed="false">
      <c r="A588" s="17" t="s">
        <v>517</v>
      </c>
      <c r="B588" s="35" t="s">
        <v>523</v>
      </c>
      <c r="C588" s="18"/>
      <c r="D588" s="15" t="n">
        <f aca="false">[2]грн!f588-[2]грн!aq588-[2]грн!ap588-[2]грн!ao588-[2]грн!an588-[2]грн!am588-[2]грн!al588-[2]грн!aj588-[2]грн!ai588-[2]грн!ah588-[2]грн!ag588-[2]грн!af588-[2]грн!ad588-[2]грн!ac588-[2]грн!ab588-[2]грн!aa588-[2]грн!z588-[2]грн!x588-[2]грн!w588-[2]грн!v588-[2]грн!u588-[2]грн!t588-[2]грн!r588-[2]грн!q588-[2]грн!p588-[2]грн!o588-[2]грн!n588-[2]грн!l588-[2]грн!k588-[2]грн!j588-[2]грн!i588-[2]грн!h588+[2]грн!g588+[2]грн!m588+[2]грн!s588+[2]грн!y588+[2]грн!ae588+[2]грн!ak588</f>
        <v>23</v>
      </c>
      <c r="E588" s="19" t="n">
        <f aca="false">[2]грн!as588*1.15</f>
        <v>138</v>
      </c>
    </row>
    <row r="589" customFormat="false" ht="15" hidden="false" customHeight="false" outlineLevel="0" collapsed="false">
      <c r="A589" s="17" t="s">
        <v>524</v>
      </c>
      <c r="B589" s="35" t="s">
        <v>525</v>
      </c>
      <c r="C589" s="18"/>
      <c r="D589" s="15" t="n">
        <f aca="false">[2]грн!f589-[2]грн!aq589-[2]грн!ap589-[2]грн!ao589-[2]грн!an589-[2]грн!am589-[2]грн!al589-[2]грн!aj589-[2]грн!ai589-[2]грн!ah589-[2]грн!ag589-[2]грн!af589-[2]грн!ad589-[2]грн!ac589-[2]грн!ab589-[2]грн!aa589-[2]грн!z589-[2]грн!x589-[2]грн!w589-[2]грн!v589-[2]грн!u589-[2]грн!t589-[2]грн!r589-[2]грн!q589-[2]грн!p589-[2]грн!o589-[2]грн!n589-[2]грн!l589-[2]грн!k589-[2]грн!j589-[2]грн!i589-[2]грн!h589+[2]грн!g589+[2]грн!m589+[2]грн!s589+[2]грн!y589+[2]грн!ae589+[2]грн!ak589</f>
        <v>14</v>
      </c>
      <c r="E589" s="19" t="n">
        <f aca="false">[2]грн!as589*1.15</f>
        <v>69</v>
      </c>
    </row>
    <row r="590" customFormat="false" ht="15" hidden="false" customHeight="false" outlineLevel="0" collapsed="false">
      <c r="A590" s="17" t="s">
        <v>524</v>
      </c>
      <c r="B590" s="35" t="s">
        <v>526</v>
      </c>
      <c r="C590" s="18" t="s">
        <v>527</v>
      </c>
      <c r="D590" s="15" t="n">
        <f aca="false">[2]грн!f590-[2]грн!aq590-[2]грн!ap590-[2]грн!ao590-[2]грн!an590-[2]грн!am590-[2]грн!al590-[2]грн!aj590-[2]грн!ai590-[2]грн!ah590-[2]грн!ag590-[2]грн!af590-[2]грн!ad590-[2]грн!ac590-[2]грн!ab590-[2]грн!aa590-[2]грн!z590-[2]грн!x590-[2]грн!w590-[2]грн!v590-[2]грн!u590-[2]грн!t590-[2]грн!r590-[2]грн!q590-[2]грн!p590-[2]грн!o590-[2]грн!n590-[2]грн!l590-[2]грн!k590-[2]грн!j590-[2]грн!i590-[2]грн!h590+[2]грн!g590+[2]грн!m590+[2]грн!s590+[2]грн!y590+[2]грн!ae590+[2]грн!ak590</f>
        <v>20</v>
      </c>
      <c r="E590" s="19" t="n">
        <f aca="false">[2]грн!as590*1.15</f>
        <v>92</v>
      </c>
    </row>
    <row r="591" customFormat="false" ht="15" hidden="false" customHeight="false" outlineLevel="0" collapsed="false">
      <c r="A591" s="17" t="s">
        <v>524</v>
      </c>
      <c r="B591" s="35" t="s">
        <v>528</v>
      </c>
      <c r="C591" s="18"/>
      <c r="D591" s="15" t="n">
        <f aca="false">[2]грн!f591-[2]грн!aq591-[2]грн!ap591-[2]грн!ao591-[2]грн!an591-[2]грн!am591-[2]грн!al591-[2]грн!aj591-[2]грн!ai591-[2]грн!ah591-[2]грн!ag591-[2]грн!af591-[2]грн!ad591-[2]грн!ac591-[2]грн!ab591-[2]грн!aa591-[2]грн!z591-[2]грн!x591-[2]грн!w591-[2]грн!v591-[2]грн!u591-[2]грн!t591-[2]грн!r591-[2]грн!q591-[2]грн!p591-[2]грн!o591-[2]грн!n591-[2]грн!l591-[2]грн!k591-[2]грн!j591-[2]грн!i591-[2]грн!h591+[2]грн!g591+[2]грн!m591+[2]грн!s591+[2]грн!y591+[2]грн!ae591+[2]грн!ak591</f>
        <v>145</v>
      </c>
      <c r="E591" s="19" t="n">
        <f aca="false">[2]грн!as591*1.15</f>
        <v>120.75</v>
      </c>
    </row>
    <row r="592" customFormat="false" ht="15" hidden="false" customHeight="false" outlineLevel="0" collapsed="false">
      <c r="A592" s="17" t="s">
        <v>524</v>
      </c>
      <c r="B592" s="35" t="s">
        <v>529</v>
      </c>
      <c r="C592" s="18"/>
      <c r="D592" s="15" t="n">
        <f aca="false">[2]грн!f592-[2]грн!aq592-[2]грн!ap592-[2]грн!ao592-[2]грн!an592-[2]грн!am592-[2]грн!al592-[2]грн!aj592-[2]грн!ai592-[2]грн!ah592-[2]грн!ag592-[2]грн!af592-[2]грн!ad592-[2]грн!ac592-[2]грн!ab592-[2]грн!aa592-[2]грн!z592-[2]грн!x592-[2]грн!w592-[2]грн!v592-[2]грн!u592-[2]грн!t592-[2]грн!r592-[2]грн!q592-[2]грн!p592-[2]грн!o592-[2]грн!n592-[2]грн!l592-[2]грн!k592-[2]грн!j592-[2]грн!i592-[2]грн!h592+[2]грн!g592+[2]грн!m592+[2]грн!s592+[2]грн!y592+[2]грн!ae592+[2]грн!ak592</f>
        <v>83</v>
      </c>
      <c r="E592" s="19" t="n">
        <f aca="false">[2]грн!as592*1.15</f>
        <v>126.5</v>
      </c>
    </row>
    <row r="593" customFormat="false" ht="15" hidden="false" customHeight="false" outlineLevel="0" collapsed="false">
      <c r="A593" s="17" t="s">
        <v>524</v>
      </c>
      <c r="B593" s="35" t="s">
        <v>530</v>
      </c>
      <c r="C593" s="18"/>
      <c r="D593" s="15" t="n">
        <f aca="false">[2]грн!f593-[2]грн!aq593-[2]грн!ap593-[2]грн!ao593-[2]грн!an593-[2]грн!am593-[2]грн!al593-[2]грн!aj593-[2]грн!ai593-[2]грн!ah593-[2]грн!ag593-[2]грн!af593-[2]грн!ad593-[2]грн!ac593-[2]грн!ab593-[2]грн!aa593-[2]грн!z593-[2]грн!x593-[2]грн!w593-[2]грн!v593-[2]грн!u593-[2]грн!t593-[2]грн!r593-[2]грн!q593-[2]грн!p593-[2]грн!o593-[2]грн!n593-[2]грн!l593-[2]грн!k593-[2]грн!j593-[2]грн!i593-[2]грн!h593+[2]грн!g593+[2]грн!m593+[2]грн!s593+[2]грн!y593+[2]грн!ae593+[2]грн!ak593</f>
        <v>68</v>
      </c>
      <c r="E593" s="19" t="n">
        <f aca="false">[2]грн!as593*1.15</f>
        <v>143.75</v>
      </c>
    </row>
    <row r="594" customFormat="false" ht="15" hidden="false" customHeight="false" outlineLevel="0" collapsed="false">
      <c r="A594" s="17" t="s">
        <v>524</v>
      </c>
      <c r="B594" s="35" t="s">
        <v>531</v>
      </c>
      <c r="C594" s="18"/>
      <c r="D594" s="15" t="n">
        <f aca="false">[2]грн!f594-[2]грн!aq594-[2]грн!ap594-[2]грн!ao594-[2]грн!an594-[2]грн!am594-[2]грн!al594-[2]грн!aj594-[2]грн!ai594-[2]грн!ah594-[2]грн!ag594-[2]грн!af594-[2]грн!ad594-[2]грн!ac594-[2]грн!ab594-[2]грн!aa594-[2]грн!z594-[2]грн!x594-[2]грн!w594-[2]грн!v594-[2]грн!u594-[2]грн!t594-[2]грн!r594-[2]грн!q594-[2]грн!p594-[2]грн!o594-[2]грн!n594-[2]грн!l594-[2]грн!k594-[2]грн!j594-[2]грн!i594-[2]грн!h594+[2]грн!g594+[2]грн!m594+[2]грн!s594+[2]грн!y594+[2]грн!ae594+[2]грн!ak594</f>
        <v>53</v>
      </c>
      <c r="E594" s="19" t="n">
        <f aca="false">[2]грн!as594*1.15</f>
        <v>151.8</v>
      </c>
    </row>
    <row r="595" customFormat="false" ht="15" hidden="false" customHeight="false" outlineLevel="0" collapsed="false">
      <c r="A595" s="17" t="s">
        <v>524</v>
      </c>
      <c r="B595" s="76" t="s">
        <v>532</v>
      </c>
      <c r="C595" s="77"/>
      <c r="D595" s="15" t="n">
        <f aca="false">[2]грн!f595-[2]грн!aq595-[2]грн!ap595-[2]грн!ao595-[2]грн!an595-[2]грн!am595-[2]грн!al595-[2]грн!aj595-[2]грн!ai595-[2]грн!ah595-[2]грн!ag595-[2]грн!af595-[2]грн!ad595-[2]грн!ac595-[2]грн!ab595-[2]грн!aa595-[2]грн!z595-[2]грн!x595-[2]грн!w595-[2]грн!v595-[2]грн!u595-[2]грн!t595-[2]грн!r595-[2]грн!q595-[2]грн!p595-[2]грн!o595-[2]грн!n595-[2]грн!l595-[2]грн!k595-[2]грн!j595-[2]грн!i595-[2]грн!h595+[2]грн!g595+[2]грн!m595+[2]грн!s595+[2]грн!y595+[2]грн!ae595+[2]грн!ak595</f>
        <v>28</v>
      </c>
      <c r="E595" s="19" t="n">
        <f aca="false">[2]грн!as595*1.15</f>
        <v>161</v>
      </c>
    </row>
    <row r="596" customFormat="false" ht="15" hidden="false" customHeight="false" outlineLevel="0" collapsed="false">
      <c r="A596" s="17" t="s">
        <v>524</v>
      </c>
      <c r="B596" s="76" t="s">
        <v>533</v>
      </c>
      <c r="C596" s="77" t="s">
        <v>534</v>
      </c>
      <c r="D596" s="15" t="n">
        <f aca="false">[2]грн!f596-[2]грн!aq596-[2]грн!ap596-[2]грн!ao596-[2]грн!an596-[2]грн!am596-[2]грн!al596-[2]грн!aj596-[2]грн!ai596-[2]грн!ah596-[2]грн!ag596-[2]грн!af596-[2]грн!ad596-[2]грн!ac596-[2]грн!ab596-[2]грн!aa596-[2]грн!z596-[2]грн!x596-[2]грн!w596-[2]грн!v596-[2]грн!u596-[2]грн!t596-[2]грн!r596-[2]грн!q596-[2]грн!p596-[2]грн!o596-[2]грн!n596-[2]грн!l596-[2]грн!k596-[2]грн!j596-[2]грн!i596-[2]грн!h596+[2]грн!g596+[2]грн!m596+[2]грн!s596+[2]грн!y596+[2]грн!ae596+[2]грн!ak596</f>
        <v>2</v>
      </c>
      <c r="E596" s="19" t="n">
        <f aca="false">[2]грн!as596*1.15</f>
        <v>195.5</v>
      </c>
    </row>
    <row r="597" customFormat="false" ht="15" hidden="false" customHeight="false" outlineLevel="0" collapsed="false">
      <c r="A597" s="17" t="s">
        <v>524</v>
      </c>
      <c r="B597" s="18" t="s">
        <v>535</v>
      </c>
      <c r="C597" s="66"/>
      <c r="D597" s="15" t="n">
        <f aca="false">[2]грн!f597-[2]грн!aq597-[2]грн!ap597-[2]грн!ao597-[2]грн!an597-[2]грн!am597-[2]грн!al597-[2]грн!aj597-[2]грн!ai597-[2]грн!ah597-[2]грн!ag597-[2]грн!af597-[2]грн!ad597-[2]грн!ac597-[2]грн!ab597-[2]грн!aa597-[2]грн!z597-[2]грн!x597-[2]грн!w597-[2]грн!v597-[2]грн!u597-[2]грн!t597-[2]грн!r597-[2]грн!q597-[2]грн!p597-[2]грн!o597-[2]грн!n597-[2]грн!l597-[2]грн!k597-[2]грн!j597-[2]грн!i597-[2]грн!h597+[2]грн!g597+[2]грн!m597+[2]грн!s597+[2]грн!y597+[2]грн!ae597+[2]грн!ak597</f>
        <v>36</v>
      </c>
      <c r="E597" s="19" t="n">
        <f aca="false">[2]грн!as597*1.15</f>
        <v>172.5</v>
      </c>
    </row>
    <row r="598" customFormat="false" ht="15" hidden="false" customHeight="false" outlineLevel="0" collapsed="false">
      <c r="A598" s="17" t="str">
        <f aca="false">A597</f>
        <v>Камера</v>
      </c>
      <c r="B598" s="28" t="s">
        <v>536</v>
      </c>
      <c r="C598" s="66"/>
      <c r="D598" s="15" t="n">
        <f aca="false">[2]грн!f598-[2]грн!aq598-[2]грн!ap598-[2]грн!ao598-[2]грн!an598-[2]грн!am598-[2]грн!al598-[2]грн!aj598-[2]грн!ai598-[2]грн!ah598-[2]грн!ag598-[2]грн!af598-[2]грн!ad598-[2]грн!ac598-[2]грн!ab598-[2]грн!aa598-[2]грн!z598-[2]грн!x598-[2]грн!w598-[2]грн!v598-[2]грн!u598-[2]грн!t598-[2]грн!r598-[2]грн!q598-[2]грн!p598-[2]грн!o598-[2]грн!n598-[2]грн!l598-[2]грн!k598-[2]грн!j598-[2]грн!i598-[2]грн!h598+[2]грн!g598+[2]грн!m598+[2]грн!s598+[2]грн!y598+[2]грн!ae598+[2]грн!ak598</f>
        <v>95</v>
      </c>
      <c r="E598" s="19" t="n">
        <f aca="false">[2]грн!as598*1.15</f>
        <v>178.25</v>
      </c>
    </row>
    <row r="599" customFormat="false" ht="15" hidden="false" customHeight="false" outlineLevel="0" collapsed="false">
      <c r="A599" s="17" t="s">
        <v>524</v>
      </c>
      <c r="B599" s="78" t="s">
        <v>537</v>
      </c>
      <c r="C599" s="66" t="s">
        <v>520</v>
      </c>
      <c r="D599" s="15" t="n">
        <f aca="false">[2]грн!f599-[2]грн!aq599-[2]грн!ap599-[2]грн!ao599-[2]грн!an599-[2]грн!am599-[2]грн!al599-[2]грн!aj599-[2]грн!ai599-[2]грн!ah599-[2]грн!ag599-[2]грн!af599-[2]грн!ad599-[2]грн!ac599-[2]грн!ab599-[2]грн!aa599-[2]грн!z599-[2]грн!x599-[2]грн!w599-[2]грн!v599-[2]грн!u599-[2]грн!t599-[2]грн!r599-[2]грн!q599-[2]грн!p599-[2]грн!o599-[2]грн!n599-[2]грн!l599-[2]грн!k599-[2]грн!j599-[2]грн!i599-[2]грн!h599+[2]грн!g599+[2]грн!m599+[2]грн!s599+[2]грн!y599+[2]грн!ae599+[2]грн!ak599</f>
        <v>27</v>
      </c>
      <c r="E599" s="19" t="n">
        <f aca="false">[2]грн!as599*1.15</f>
        <v>80.5</v>
      </c>
    </row>
    <row r="600" customFormat="false" ht="15" hidden="false" customHeight="false" outlineLevel="0" collapsed="false">
      <c r="A600" s="17" t="s">
        <v>524</v>
      </c>
      <c r="B600" s="78" t="s">
        <v>538</v>
      </c>
      <c r="C600" s="66" t="s">
        <v>539</v>
      </c>
      <c r="D600" s="15" t="n">
        <f aca="false">[2]грн!f600-[2]грн!aq600-[2]грн!ap600-[2]грн!ao600-[2]грн!an600-[2]грн!am600-[2]грн!al600-[2]грн!aj600-[2]грн!ai600-[2]грн!ah600-[2]грн!ag600-[2]грн!af600-[2]грн!ad600-[2]грн!ac600-[2]грн!ab600-[2]грн!aa600-[2]грн!z600-[2]грн!x600-[2]грн!w600-[2]грн!v600-[2]грн!u600-[2]грн!t600-[2]грн!r600-[2]грн!q600-[2]грн!p600-[2]грн!o600-[2]грн!n600-[2]грн!l600-[2]грн!k600-[2]грн!j600-[2]грн!i600-[2]грн!h600+[2]грн!g600+[2]грн!m600+[2]грн!s600+[2]грн!y600+[2]грн!ae600+[2]грн!ak600</f>
        <v>26</v>
      </c>
      <c r="E600" s="19" t="n">
        <f aca="false">[2]грн!as600*1.15</f>
        <v>264.5</v>
      </c>
    </row>
    <row r="601" customFormat="false" ht="15" hidden="false" customHeight="false" outlineLevel="0" collapsed="false">
      <c r="A601" s="17" t="s">
        <v>524</v>
      </c>
      <c r="B601" s="78" t="s">
        <v>540</v>
      </c>
      <c r="C601" s="66"/>
      <c r="D601" s="15" t="n">
        <f aca="false">[2]грн!f601-[2]грн!aq601-[2]грн!ap601-[2]грн!ao601-[2]грн!an601-[2]грн!am601-[2]грн!al601-[2]грн!aj601-[2]грн!ai601-[2]грн!ah601-[2]грн!ag601-[2]грн!af601-[2]грн!ad601-[2]грн!ac601-[2]грн!ab601-[2]грн!aa601-[2]грн!z601-[2]грн!x601-[2]грн!w601-[2]грн!v601-[2]грн!u601-[2]грн!t601-[2]грн!r601-[2]грн!q601-[2]грн!p601-[2]грн!o601-[2]грн!n601-[2]грн!l601-[2]грн!k601-[2]грн!j601-[2]грн!i601-[2]грн!h601+[2]грн!g601+[2]грн!m601+[2]грн!s601+[2]грн!y601+[2]грн!ae601+[2]грн!ak601</f>
        <v>8</v>
      </c>
      <c r="E601" s="19" t="n">
        <f aca="false">[2]грн!as601*1.15</f>
        <v>115</v>
      </c>
    </row>
    <row r="602" customFormat="false" ht="15" hidden="true" customHeight="false" outlineLevel="0" collapsed="false">
      <c r="A602" s="17" t="s">
        <v>524</v>
      </c>
      <c r="B602" s="78" t="s">
        <v>541</v>
      </c>
      <c r="C602" s="77" t="s">
        <v>542</v>
      </c>
      <c r="D602" s="15" t="n">
        <f aca="false">[2]грн!f602-[2]грн!aq602-[2]грн!ap602-[2]грн!ao602-[2]грн!an602-[2]грн!am602-[2]грн!al602-[2]грн!aj602-[2]грн!ai602-[2]грн!ah602-[2]грн!ag602-[2]грн!af602-[2]грн!ad602-[2]грн!ac602-[2]грн!ab602-[2]грн!aa602-[2]грн!z602-[2]грн!x602-[2]грн!w602-[2]грн!v602-[2]грн!u602-[2]грн!t602-[2]грн!r602-[2]грн!q602-[2]грн!p602-[2]грн!o602-[2]грн!n602-[2]грн!l602-[2]грн!k602-[2]грн!j602-[2]грн!i602-[2]грн!h602+[2]грн!g602+[2]грн!m602+[2]грн!s602+[2]грн!y602+[2]грн!ae602+[2]грн!ak602</f>
        <v>0</v>
      </c>
      <c r="E602" s="19" t="n">
        <f aca="false">[2]грн!as602*1.15</f>
        <v>195.5</v>
      </c>
    </row>
    <row r="603" customFormat="false" ht="15" hidden="true" customHeight="false" outlineLevel="0" collapsed="false">
      <c r="A603" s="17" t="s">
        <v>524</v>
      </c>
      <c r="B603" s="78" t="s">
        <v>543</v>
      </c>
      <c r="C603" s="28" t="s">
        <v>527</v>
      </c>
      <c r="D603" s="15" t="n">
        <f aca="false">[2]грн!f603-[2]грн!aq603-[2]грн!ap603-[2]грн!ao603-[2]грн!an603-[2]грн!am603-[2]грн!al603-[2]грн!aj603-[2]грн!ai603-[2]грн!ah603-[2]грн!ag603-[2]грн!af603-[2]грн!ad603-[2]грн!ac603-[2]грн!ab603-[2]грн!aa603-[2]грн!z603-[2]грн!x603-[2]грн!w603-[2]грн!v603-[2]грн!u603-[2]грн!t603-[2]грн!r603-[2]грн!q603-[2]грн!p603-[2]грн!o603-[2]грн!n603-[2]грн!l603-[2]грн!k603-[2]грн!j603-[2]грн!i603-[2]грн!h603+[2]грн!g603+[2]грн!m603+[2]грн!s603+[2]грн!y603+[2]грн!ae603+[2]грн!ak603</f>
        <v>0</v>
      </c>
      <c r="E603" s="19" t="n">
        <v>350</v>
      </c>
    </row>
    <row r="604" customFormat="false" ht="15" hidden="true" customHeight="false" outlineLevel="0" collapsed="false">
      <c r="A604" s="29" t="s">
        <v>524</v>
      </c>
      <c r="B604" s="18" t="n">
        <v>240</v>
      </c>
      <c r="C604" s="28"/>
      <c r="D604" s="15" t="n">
        <f aca="false">[2]грн!f604-[2]грн!aq604-[2]грн!ap604-[2]грн!ao604-[2]грн!an604-[2]грн!am604-[2]грн!al604-[2]грн!aj604-[2]грн!ai604-[2]грн!ah604-[2]грн!ag604-[2]грн!af604-[2]грн!ad604-[2]грн!ac604-[2]грн!ab604-[2]грн!aa604-[2]грн!z604-[2]грн!x604-[2]грн!w604-[2]грн!v604-[2]грн!u604-[2]грн!t604-[2]грн!r604-[2]грн!q604-[2]грн!p604-[2]грн!o604-[2]грн!n604-[2]грн!l604-[2]грн!k604-[2]грн!j604-[2]грн!i604-[2]грн!h604+[2]грн!g604+[2]грн!m604+[2]грн!s604+[2]грн!y604+[2]грн!ae604+[2]грн!ak604</f>
        <v>0</v>
      </c>
      <c r="E604" s="19" t="n">
        <f aca="false">[2]грн!as604*1.05</f>
        <v>315</v>
      </c>
    </row>
    <row r="605" customFormat="false" ht="15" hidden="false" customHeight="false" outlineLevel="0" collapsed="false">
      <c r="A605" s="18" t="s">
        <v>524</v>
      </c>
      <c r="B605" s="18" t="n">
        <v>260</v>
      </c>
      <c r="C605" s="18"/>
      <c r="D605" s="15" t="n">
        <f aca="false">[2]грн!f605-[2]грн!aq605-[2]грн!ap605-[2]грн!ao605-[2]грн!an605-[2]грн!am605-[2]грн!al605-[2]грн!aj605-[2]грн!ai605-[2]грн!ah605-[2]грн!ag605-[2]грн!af605-[2]грн!ad605-[2]грн!ac605-[2]грн!ab605-[2]грн!aa605-[2]грн!z605-[2]грн!x605-[2]грн!w605-[2]грн!v605-[2]грн!u605-[2]грн!t605-[2]грн!r605-[2]грн!q605-[2]грн!p605-[2]грн!o605-[2]грн!n605-[2]грн!l605-[2]грн!k605-[2]грн!j605-[2]грн!i605-[2]грн!h605+[2]грн!g605+[2]грн!m605+[2]грн!s605+[2]грн!y605+[2]грн!ae605+[2]грн!ak605</f>
        <v>12</v>
      </c>
      <c r="E605" s="19" t="n">
        <f aca="false">[2]грн!as605*1.05</f>
        <v>367.5</v>
      </c>
    </row>
    <row r="606" customFormat="false" ht="15" hidden="false" customHeight="false" outlineLevel="0" collapsed="false">
      <c r="A606" s="79" t="s">
        <v>524</v>
      </c>
      <c r="B606" s="80" t="n">
        <v>260</v>
      </c>
      <c r="C606" s="28" t="s">
        <v>544</v>
      </c>
      <c r="D606" s="81" t="n">
        <f aca="false">[2]грн!f606-[2]грн!aq606-[2]грн!ap606-[2]грн!ao606-[2]грн!an606-[2]грн!am606-[2]грн!al606-[2]грн!aj606-[2]грн!ai606-[2]грн!ah606-[2]грн!ag606-[2]грн!af606-[2]грн!ad606-[2]грн!ac606-[2]грн!ab606-[2]грн!aa606-[2]грн!z606-[2]грн!x606-[2]грн!w606-[2]грн!v606-[2]грн!u606-[2]грн!t606-[2]грн!r606-[2]грн!q606-[2]грн!p606-[2]грн!o606-[2]грн!n606-[2]грн!l606-[2]грн!k606-[2]грн!j606-[2]грн!i606-[2]грн!h606+[2]грн!g606+[2]грн!m606+[2]грн!s606+[2]грн!y606+[2]грн!ae606+[2]грн!ak606</f>
        <v>4</v>
      </c>
      <c r="E606" s="19" t="n">
        <f aca="false">[2]грн!as606*1.05</f>
        <v>336</v>
      </c>
    </row>
    <row r="607" customFormat="false" ht="15" hidden="false" customHeight="false" outlineLevel="0" collapsed="false">
      <c r="A607" s="17" t="s">
        <v>524</v>
      </c>
      <c r="B607" s="18" t="n">
        <v>280</v>
      </c>
      <c r="C607" s="18"/>
      <c r="D607" s="15" t="n">
        <f aca="false">[2]грн!f607-[2]грн!aq607-[2]грн!ap607-[2]грн!ao607-[2]грн!an607-[2]грн!am607-[2]грн!al607-[2]грн!aj607-[2]грн!ai607-[2]грн!ah607-[2]грн!ag607-[2]грн!af607-[2]грн!ad607-[2]грн!ac607-[2]грн!ab607-[2]грн!aa607-[2]грн!z607-[2]грн!x607-[2]грн!w607-[2]грн!v607-[2]грн!u607-[2]грн!t607-[2]грн!r607-[2]грн!q607-[2]грн!p607-[2]грн!o607-[2]грн!n607-[2]грн!l607-[2]грн!k607-[2]грн!j607-[2]грн!i607-[2]грн!h607+[2]грн!g607+[2]грн!m607+[2]грн!s607+[2]грн!y607+[2]грн!ae607+[2]грн!ak607</f>
        <v>2</v>
      </c>
      <c r="E607" s="82" t="n">
        <f aca="false">[2]грн!as607*1.05</f>
        <v>388.5</v>
      </c>
    </row>
    <row r="608" customFormat="false" ht="15" hidden="false" customHeight="false" outlineLevel="0" collapsed="false">
      <c r="A608" s="18" t="s">
        <v>524</v>
      </c>
      <c r="B608" s="18" t="s">
        <v>545</v>
      </c>
      <c r="C608" s="28" t="s">
        <v>546</v>
      </c>
      <c r="D608" s="15" t="n">
        <f aca="false">[2]грн!f608-[2]грн!aq608-[2]грн!ap608-[2]грн!ao608-[2]грн!an608-[2]грн!am608-[2]грн!al608-[2]грн!aj608-[2]грн!ai608-[2]грн!ah608-[2]грн!ag608-[2]грн!af608-[2]грн!ad608-[2]грн!ac608-[2]грн!ab608-[2]грн!aa608-[2]грн!z608-[2]грн!x608-[2]грн!w608-[2]грн!v608-[2]грн!u608-[2]грн!t608-[2]грн!r608-[2]грн!q608-[2]грн!p608-[2]грн!o608-[2]грн!n608-[2]грн!l608-[2]грн!k608-[2]грн!j608-[2]грн!i608-[2]грн!h608+[2]грн!g608+[2]грн!m608+[2]грн!s608+[2]грн!y608+[2]грн!ae608+[2]грн!ak608</f>
        <v>3</v>
      </c>
      <c r="E608" s="19" t="n">
        <f aca="false">[2]грн!as608*1.05</f>
        <v>525</v>
      </c>
    </row>
  </sheetData>
  <autoFilter ref="D2:D61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 zeroHeight="false" outlineLevelRow="0" outlineLevelCol="0"/>
  <cols>
    <col collapsed="false" customWidth="true" hidden="false" outlineLevel="0" max="1" min="1" style="2" width="12.13"/>
    <col collapsed="false" customWidth="true" hidden="false" outlineLevel="0" max="2" min="2" style="2" width="15.28"/>
    <col collapsed="false" customWidth="true" hidden="false" outlineLevel="0" max="3" min="3" style="1" width="32.13"/>
    <col collapsed="false" customWidth="true" hidden="true" outlineLevel="0" max="4" min="4" style="1" width="8.55"/>
    <col collapsed="false" customWidth="true" hidden="true" outlineLevel="0" max="5" min="5" style="1" width="6.42"/>
    <col collapsed="false" customWidth="true" hidden="true" outlineLevel="0" max="6" min="6" style="1" width="4.99"/>
    <col collapsed="false" customWidth="true" hidden="false" outlineLevel="0" max="7" min="7" style="83" width="8.7"/>
    <col collapsed="false" customWidth="true" hidden="false" outlineLevel="0" max="8" min="8" style="3" width="5.7"/>
    <col collapsed="false" customWidth="true" hidden="false" outlineLevel="0" max="9" min="9" style="84" width="6.55"/>
    <col collapsed="false" customWidth="true" hidden="false" outlineLevel="0" max="10" min="10" style="85" width="8.7"/>
    <col collapsed="false" customWidth="true" hidden="false" outlineLevel="0" max="1025" min="11" style="0" width="8.96"/>
  </cols>
  <sheetData>
    <row r="1" customFormat="false" ht="15" hidden="false" customHeight="false" outlineLevel="0" collapsed="false">
      <c r="A1" s="86"/>
      <c r="B1" s="87"/>
      <c r="C1" s="88" t="s">
        <v>0</v>
      </c>
      <c r="D1" s="89"/>
      <c r="E1" s="90"/>
      <c r="F1" s="90"/>
      <c r="G1" s="91"/>
      <c r="H1" s="92"/>
      <c r="I1" s="93"/>
    </row>
    <row r="2" customFormat="false" ht="51" hidden="false" customHeight="false" outlineLevel="0" collapsed="false">
      <c r="A2" s="94" t="s">
        <v>1</v>
      </c>
      <c r="B2" s="94" t="s">
        <v>2</v>
      </c>
      <c r="C2" s="94" t="s">
        <v>3</v>
      </c>
      <c r="D2" s="95" t="s">
        <v>547</v>
      </c>
      <c r="E2" s="96" t="s">
        <v>548</v>
      </c>
      <c r="F2" s="96" t="s">
        <v>549</v>
      </c>
      <c r="G2" s="97" t="s">
        <v>550</v>
      </c>
      <c r="H2" s="98" t="s">
        <v>551</v>
      </c>
      <c r="I2" s="99" t="s">
        <v>552</v>
      </c>
      <c r="J2" s="100"/>
    </row>
    <row r="3" customFormat="false" ht="15" hidden="false" customHeight="false" outlineLevel="0" collapsed="false">
      <c r="A3" s="101" t="s">
        <v>12</v>
      </c>
      <c r="B3" s="102"/>
      <c r="C3" s="103"/>
      <c r="D3" s="103"/>
      <c r="E3" s="103"/>
      <c r="F3" s="103"/>
      <c r="G3" s="104"/>
      <c r="H3" s="105"/>
      <c r="I3" s="105"/>
    </row>
    <row r="4" customFormat="false" ht="15" hidden="true" customHeight="false" outlineLevel="0" collapsed="false">
      <c r="A4" s="106" t="s">
        <v>13</v>
      </c>
      <c r="B4" s="25" t="s">
        <v>553</v>
      </c>
      <c r="C4" s="107" t="s">
        <v>554</v>
      </c>
      <c r="D4" s="107"/>
      <c r="E4" s="107"/>
      <c r="F4" s="107"/>
      <c r="G4" s="108"/>
      <c r="H4" s="105" t="n">
        <f aca="false">'[2]$ лето'!j4-'[2]$ лето'!au4-'[2]$ лето'!at4-'[2]$ лето'!as4-'[2]$ лето'!ar4-'[2]$ лето'!aq4-'[2]$ лето'!ap4-'[2]$ лето'!an4-'[2]$ лето'!am4-'[2]$ лето'!al4-'[2]$ лето'!ak4-'[2]$ лето'!aj4-'[2]$ лето'!ah4-'[2]$ лето'!ag4-'[2]$ лето'!af4-'[2]$ лето'!ae4-'[2]$ лето'!ad4-'[2]$ лето'!ab4-'[2]$ лето'!aa4-'[2]$ лето'!z4-'[2]$ лето'!y4-'[2]$ лето'!x4-'[2]$ лето'!v4-'[2]$ лето'!u4-'[2]$ лето'!t4-'[2]$ лето'!s4-'[2]$ лето'!r4-'[2]$ лето'!p4-'[2]$ лето'!o4-'[2]$ лето'!n4-'[2]$ лето'!m4-'[2]$ лето'!l4+'[2]$ лето'!k4+'[2]$ лето'!q4+'[2]$ лето'!w4+'[2]$ лето'!ac4+'[2]$ лето'!ai4+'[2]$ лето'!ao4</f>
        <v>0</v>
      </c>
      <c r="I4" s="109" t="n">
        <f aca="false">'[2]$ лето'!ay4*1.1</f>
        <v>0</v>
      </c>
    </row>
    <row r="5" customFormat="false" ht="15" hidden="false" customHeight="false" outlineLevel="0" collapsed="false">
      <c r="A5" s="110" t="s">
        <v>15</v>
      </c>
      <c r="B5" s="111"/>
      <c r="C5" s="112"/>
      <c r="D5" s="112"/>
      <c r="E5" s="112"/>
      <c r="F5" s="112"/>
      <c r="G5" s="104"/>
      <c r="H5" s="105"/>
      <c r="I5" s="105" t="n">
        <f aca="false">'[2]$ лето'!ay5*1.1</f>
        <v>0</v>
      </c>
      <c r="J5" s="113"/>
    </row>
    <row r="6" customFormat="false" ht="15" hidden="true" customHeight="false" outlineLevel="0" collapsed="false">
      <c r="A6" s="114" t="s">
        <v>16</v>
      </c>
      <c r="B6" s="115" t="s">
        <v>555</v>
      </c>
      <c r="C6" s="116" t="s">
        <v>556</v>
      </c>
      <c r="D6" s="116"/>
      <c r="E6" s="116"/>
      <c r="F6" s="116"/>
      <c r="G6" s="108"/>
      <c r="H6" s="105" t="n">
        <f aca="false">'[2]$ лето'!j6-'[2]$ лето'!au6-'[2]$ лето'!at6-'[2]$ лето'!as6-'[2]$ лето'!ar6-'[2]$ лето'!aq6-'[2]$ лето'!ap6-'[2]$ лето'!an6-'[2]$ лето'!am6-'[2]$ лето'!al6-'[2]$ лето'!ak6-'[2]$ лето'!aj6-'[2]$ лето'!ah6-'[2]$ лето'!ag6-'[2]$ лето'!af6-'[2]$ лето'!ae6-'[2]$ лето'!ad6-'[2]$ лето'!ab6-'[2]$ лето'!aa6-'[2]$ лето'!z6-'[2]$ лето'!y6-'[2]$ лето'!x6-'[2]$ лето'!v6-'[2]$ лето'!u6-'[2]$ лето'!t6-'[2]$ лето'!s6-'[2]$ лето'!r6-'[2]$ лето'!p6-'[2]$ лето'!o6-'[2]$ лето'!n6-'[2]$ лето'!m6-'[2]$ лето'!l6+'[2]$ лето'!k6+'[2]$ лето'!q6+'[2]$ лето'!w6+'[2]$ лето'!ac6+'[2]$ лето'!ai6+'[2]$ лето'!ao6</f>
        <v>0</v>
      </c>
      <c r="I6" s="109" t="n">
        <f aca="false">'[2]$ лето'!ay6*1.1</f>
        <v>831.6</v>
      </c>
      <c r="J6" s="113"/>
    </row>
    <row r="7" customFormat="false" ht="15" hidden="true" customHeight="false" outlineLevel="0" collapsed="false">
      <c r="A7" s="114" t="s">
        <v>16</v>
      </c>
      <c r="B7" s="115" t="s">
        <v>557</v>
      </c>
      <c r="C7" s="116" t="s">
        <v>558</v>
      </c>
      <c r="D7" s="116"/>
      <c r="E7" s="116"/>
      <c r="F7" s="116"/>
      <c r="G7" s="108"/>
      <c r="H7" s="105" t="n">
        <f aca="false">'[2]$ лето'!j7-'[2]$ лето'!au7-'[2]$ лето'!at7-'[2]$ лето'!as7-'[2]$ лето'!ar7-'[2]$ лето'!aq7-'[2]$ лето'!ap7-'[2]$ лето'!an7-'[2]$ лето'!am7-'[2]$ лето'!al7-'[2]$ лето'!ak7-'[2]$ лето'!aj7-'[2]$ лето'!ah7-'[2]$ лето'!ag7-'[2]$ лето'!af7-'[2]$ лето'!ae7-'[2]$ лето'!ad7-'[2]$ лето'!ab7-'[2]$ лето'!aa7-'[2]$ лето'!z7-'[2]$ лето'!y7-'[2]$ лето'!x7-'[2]$ лето'!v7-'[2]$ лето'!u7-'[2]$ лето'!t7-'[2]$ лето'!s7-'[2]$ лето'!r7-'[2]$ лето'!p7-'[2]$ лето'!o7-'[2]$ лето'!n7-'[2]$ лето'!m7-'[2]$ лето'!l7+'[2]$ лето'!k7+'[2]$ лето'!q7+'[2]$ лето'!w7+'[2]$ лето'!ac7+'[2]$ лето'!ai7+'[2]$ лето'!ao7</f>
        <v>0</v>
      </c>
      <c r="I7" s="109" t="n">
        <f aca="false">'[2]$ лето'!ay7*1.1</f>
        <v>677.6</v>
      </c>
      <c r="J7" s="113"/>
    </row>
    <row r="8" customFormat="false" ht="13.8" hidden="false" customHeight="false" outlineLevel="0" collapsed="false">
      <c r="A8" s="117" t="s">
        <v>559</v>
      </c>
      <c r="B8" s="118" t="s">
        <v>560</v>
      </c>
      <c r="C8" s="118" t="s">
        <v>561</v>
      </c>
      <c r="D8" s="107"/>
      <c r="E8" s="116" t="n">
        <v>73</v>
      </c>
      <c r="F8" s="116" t="s">
        <v>562</v>
      </c>
      <c r="G8" s="108" t="s">
        <v>563</v>
      </c>
      <c r="H8" s="105" t="n">
        <f aca="false">'[2]$ лето'!j8-'[2]$ лето'!au8-'[2]$ лето'!at8-'[2]$ лето'!as8-'[2]$ лето'!ar8-'[2]$ лето'!aq8-'[2]$ лето'!ap8-'[2]$ лето'!an8-'[2]$ лето'!am8-'[2]$ лето'!al8-'[2]$ лето'!ak8-'[2]$ лето'!aj8-'[2]$ лето'!ah8-'[2]$ лето'!ag8-'[2]$ лето'!af8-'[2]$ лето'!ae8-'[2]$ лето'!ad8-'[2]$ лето'!ab8-'[2]$ лето'!aa8-'[2]$ лето'!z8-'[2]$ лето'!y8-'[2]$ лето'!x8-'[2]$ лето'!v8-'[2]$ лето'!u8-'[2]$ лето'!t8-'[2]$ лето'!s8-'[2]$ лето'!r8-'[2]$ лето'!p8-'[2]$ лето'!o8-'[2]$ лето'!n8-'[2]$ лето'!m8-'[2]$ лето'!l8+'[2]$ лето'!k8+'[2]$ лето'!q8+'[2]$ лето'!w8+'[2]$ лето'!ac8+'[2]$ лето'!ai8+'[2]$ лето'!ao8</f>
        <v>4</v>
      </c>
      <c r="I8" s="109" t="n">
        <f aca="false">'[2]$ лето'!ay8*1.1</f>
        <v>893.2</v>
      </c>
      <c r="J8" s="113"/>
    </row>
    <row r="9" customFormat="false" ht="15" hidden="false" customHeight="false" outlineLevel="0" collapsed="false">
      <c r="A9" s="114" t="s">
        <v>16</v>
      </c>
      <c r="B9" s="107" t="s">
        <v>564</v>
      </c>
      <c r="C9" s="107" t="s">
        <v>565</v>
      </c>
      <c r="D9" s="107"/>
      <c r="E9" s="116"/>
      <c r="F9" s="116"/>
      <c r="G9" s="108" t="s">
        <v>520</v>
      </c>
      <c r="H9" s="105" t="n">
        <f aca="false">'[2]$ лето'!j9-'[2]$ лето'!au9-'[2]$ лето'!at9-'[2]$ лето'!as9-'[2]$ лето'!ar9-'[2]$ лето'!aq9-'[2]$ лето'!ap9-'[2]$ лето'!an9-'[2]$ лето'!am9-'[2]$ лето'!al9-'[2]$ лето'!ak9-'[2]$ лето'!aj9-'[2]$ лето'!ah9-'[2]$ лето'!ag9-'[2]$ лето'!af9-'[2]$ лето'!ae9-'[2]$ лето'!ad9-'[2]$ лето'!ab9-'[2]$ лето'!aa9-'[2]$ лето'!z9-'[2]$ лето'!y9-'[2]$ лето'!x9-'[2]$ лето'!v9-'[2]$ лето'!u9-'[2]$ лето'!t9-'[2]$ лето'!s9-'[2]$ лето'!r9-'[2]$ лето'!p9-'[2]$ лето'!o9-'[2]$ лето'!n9-'[2]$ лето'!m9-'[2]$ лето'!l9+'[2]$ лето'!k9+'[2]$ лето'!q9+'[2]$ лето'!w9+'[2]$ лето'!ac9+'[2]$ лето'!ai9+'[2]$ лето'!ao9</f>
        <v>8</v>
      </c>
      <c r="I9" s="109" t="n">
        <f aca="false">'[2]$ лето'!ay9*1.1</f>
        <v>831.6</v>
      </c>
      <c r="J9" s="113" t="n">
        <v>2017</v>
      </c>
    </row>
    <row r="10" customFormat="false" ht="15" hidden="true" customHeight="false" outlineLevel="0" collapsed="false">
      <c r="A10" s="115" t="s">
        <v>19</v>
      </c>
      <c r="B10" s="107" t="s">
        <v>566</v>
      </c>
      <c r="C10" s="107" t="s">
        <v>567</v>
      </c>
      <c r="D10" s="107"/>
      <c r="E10" s="107"/>
      <c r="F10" s="107"/>
      <c r="G10" s="108" t="s">
        <v>563</v>
      </c>
      <c r="H10" s="105" t="n">
        <f aca="false">'[2]$ лето'!j10-'[2]$ лето'!au10-'[2]$ лето'!at10-'[2]$ лето'!as10-'[2]$ лето'!ar10-'[2]$ лето'!aq10-'[2]$ лето'!ap10-'[2]$ лето'!an10-'[2]$ лето'!am10-'[2]$ лето'!al10-'[2]$ лето'!ak10-'[2]$ лето'!aj10-'[2]$ лето'!ah10-'[2]$ лето'!ag10-'[2]$ лето'!af10-'[2]$ лето'!ae10-'[2]$ лето'!ad10-'[2]$ лето'!ab10-'[2]$ лето'!aa10-'[2]$ лето'!z10-'[2]$ лето'!y10-'[2]$ лето'!x10-'[2]$ лето'!v10-'[2]$ лето'!u10-'[2]$ лето'!t10-'[2]$ лето'!s10-'[2]$ лето'!r10-'[2]$ лето'!p10-'[2]$ лето'!o10-'[2]$ лето'!n10-'[2]$ лето'!m10-'[2]$ лето'!l10+'[2]$ лето'!k10+'[2]$ лето'!q10+'[2]$ лето'!w10+'[2]$ лето'!ac10+'[2]$ лето'!ai10+'[2]$ лето'!ao10</f>
        <v>0</v>
      </c>
      <c r="I10" s="109" t="n">
        <f aca="false">'[2]$ лето'!ay10*1.1</f>
        <v>739.2</v>
      </c>
      <c r="J10" s="113" t="n">
        <v>2018</v>
      </c>
    </row>
    <row r="11" customFormat="false" ht="15" hidden="true" customHeight="false" outlineLevel="0" collapsed="false">
      <c r="A11" s="115" t="s">
        <v>19</v>
      </c>
      <c r="B11" s="115" t="s">
        <v>568</v>
      </c>
      <c r="C11" s="116" t="s">
        <v>569</v>
      </c>
      <c r="D11" s="116"/>
      <c r="E11" s="116" t="n">
        <v>75</v>
      </c>
      <c r="F11" s="116" t="s">
        <v>562</v>
      </c>
      <c r="G11" s="108" t="s">
        <v>570</v>
      </c>
      <c r="H11" s="105" t="n">
        <f aca="false">'[2]$ лето'!j11-'[2]$ лето'!au11-'[2]$ лето'!at11-'[2]$ лето'!as11-'[2]$ лето'!ar11-'[2]$ лето'!aq11-'[2]$ лето'!ap11-'[2]$ лето'!an11-'[2]$ лето'!am11-'[2]$ лето'!al11-'[2]$ лето'!ak11-'[2]$ лето'!aj11-'[2]$ лето'!ah11-'[2]$ лето'!ag11-'[2]$ лето'!af11-'[2]$ лето'!ae11-'[2]$ лето'!ad11-'[2]$ лето'!ab11-'[2]$ лето'!aa11-'[2]$ лето'!z11-'[2]$ лето'!y11-'[2]$ лето'!x11-'[2]$ лето'!v11-'[2]$ лето'!u11-'[2]$ лето'!t11-'[2]$ лето'!s11-'[2]$ лето'!r11-'[2]$ лето'!p11-'[2]$ лето'!o11-'[2]$ лето'!n11-'[2]$ лето'!m11-'[2]$ лето'!l11+'[2]$ лето'!k11+'[2]$ лето'!q11+'[2]$ лето'!w11+'[2]$ лето'!ac11+'[2]$ лето'!ai11+'[2]$ лето'!ao11</f>
        <v>0</v>
      </c>
      <c r="I11" s="109" t="n">
        <f aca="false">'[2]$ лето'!ay11*1.1</f>
        <v>862.4</v>
      </c>
      <c r="J11" s="85" t="n">
        <v>2017</v>
      </c>
    </row>
    <row r="12" customFormat="false" ht="15" hidden="true" customHeight="false" outlineLevel="0" collapsed="false">
      <c r="A12" s="115" t="s">
        <v>19</v>
      </c>
      <c r="B12" s="115" t="s">
        <v>555</v>
      </c>
      <c r="C12" s="119" t="s">
        <v>571</v>
      </c>
      <c r="D12" s="119"/>
      <c r="E12" s="119"/>
      <c r="F12" s="119"/>
      <c r="G12" s="108"/>
      <c r="H12" s="105" t="n">
        <f aca="false">'[2]$ лето'!j12-'[2]$ лето'!au12-'[2]$ лето'!at12-'[2]$ лето'!as12-'[2]$ лето'!ar12-'[2]$ лето'!aq12-'[2]$ лето'!ap12-'[2]$ лето'!an12-'[2]$ лето'!am12-'[2]$ лето'!al12-'[2]$ лето'!ak12-'[2]$ лето'!aj12-'[2]$ лето'!ah12-'[2]$ лето'!ag12-'[2]$ лето'!af12-'[2]$ лето'!ae12-'[2]$ лето'!ad12-'[2]$ лето'!ab12-'[2]$ лето'!aa12-'[2]$ лето'!z12-'[2]$ лето'!y12-'[2]$ лето'!x12-'[2]$ лето'!v12-'[2]$ лето'!u12-'[2]$ лето'!t12-'[2]$ лето'!s12-'[2]$ лето'!r12-'[2]$ лето'!p12-'[2]$ лето'!o12-'[2]$ лето'!n12-'[2]$ лето'!m12-'[2]$ лето'!l12+'[2]$ лето'!k12+'[2]$ лето'!q12+'[2]$ лето'!w12+'[2]$ лето'!ac12+'[2]$ лето'!ai12+'[2]$ лето'!ao12</f>
        <v>0</v>
      </c>
      <c r="I12" s="109" t="n">
        <f aca="false">'[2]$ лето'!ay12*1.1</f>
        <v>739.2</v>
      </c>
    </row>
    <row r="13" customFormat="false" ht="15" hidden="true" customHeight="false" outlineLevel="0" collapsed="false">
      <c r="A13" s="115" t="s">
        <v>19</v>
      </c>
      <c r="B13" s="115" t="s">
        <v>572</v>
      </c>
      <c r="C13" s="116" t="s">
        <v>573</v>
      </c>
      <c r="D13" s="116"/>
      <c r="E13" s="116"/>
      <c r="F13" s="116"/>
      <c r="G13" s="108"/>
      <c r="H13" s="105" t="n">
        <f aca="false">'[2]$ лето'!j13-'[2]$ лето'!au13-'[2]$ лето'!at13-'[2]$ лето'!as13-'[2]$ лето'!ar13-'[2]$ лето'!aq13-'[2]$ лето'!ap13-'[2]$ лето'!an13-'[2]$ лето'!am13-'[2]$ лето'!al13-'[2]$ лето'!ak13-'[2]$ лето'!aj13-'[2]$ лето'!ah13-'[2]$ лето'!ag13-'[2]$ лето'!af13-'[2]$ лето'!ae13-'[2]$ лето'!ad13-'[2]$ лето'!ab13-'[2]$ лето'!aa13-'[2]$ лето'!z13-'[2]$ лето'!y13-'[2]$ лето'!x13-'[2]$ лето'!v13-'[2]$ лето'!u13-'[2]$ лето'!t13-'[2]$ лето'!s13-'[2]$ лето'!r13-'[2]$ лето'!p13-'[2]$ лето'!o13-'[2]$ лето'!n13-'[2]$ лето'!m13-'[2]$ лето'!l13+'[2]$ лето'!k13+'[2]$ лето'!q13+'[2]$ лето'!w13+'[2]$ лето'!ac13+'[2]$ лето'!ai13+'[2]$ лето'!ao13</f>
        <v>0</v>
      </c>
      <c r="I13" s="109" t="n">
        <f aca="false">'[2]$ лето'!ay13*1.1</f>
        <v>646.8</v>
      </c>
    </row>
    <row r="14" customFormat="false" ht="15" hidden="false" customHeight="false" outlineLevel="0" collapsed="false">
      <c r="A14" s="115" t="s">
        <v>19</v>
      </c>
      <c r="B14" s="115" t="s">
        <v>574</v>
      </c>
      <c r="C14" s="116" t="s">
        <v>575</v>
      </c>
      <c r="D14" s="116"/>
      <c r="E14" s="116" t="n">
        <v>75</v>
      </c>
      <c r="F14" s="116" t="s">
        <v>562</v>
      </c>
      <c r="G14" s="108" t="s">
        <v>576</v>
      </c>
      <c r="H14" s="105" t="n">
        <f aca="false">'[2]$ лето'!j14-'[2]$ лето'!au14-'[2]$ лето'!at14-'[2]$ лето'!as14-'[2]$ лето'!ar14-'[2]$ лето'!aq14-'[2]$ лето'!ap14-'[2]$ лето'!an14-'[2]$ лето'!am14-'[2]$ лето'!al14-'[2]$ лето'!ak14-'[2]$ лето'!aj14-'[2]$ лето'!ah14-'[2]$ лето'!ag14-'[2]$ лето'!af14-'[2]$ лето'!ae14-'[2]$ лето'!ad14-'[2]$ лето'!ab14-'[2]$ лето'!aa14-'[2]$ лето'!z14-'[2]$ лето'!y14-'[2]$ лето'!x14-'[2]$ лето'!v14-'[2]$ лето'!u14-'[2]$ лето'!t14-'[2]$ лето'!s14-'[2]$ лето'!r14-'[2]$ лето'!p14-'[2]$ лето'!o14-'[2]$ лето'!n14-'[2]$ лето'!m14-'[2]$ лето'!l14+'[2]$ лето'!k14+'[2]$ лето'!q14+'[2]$ лето'!w14+'[2]$ лето'!ac14+'[2]$ лето'!ai14+'[2]$ лето'!ao14</f>
        <v>2</v>
      </c>
      <c r="I14" s="109" t="n">
        <f aca="false">'[2]$ лето'!ay14*1.1</f>
        <v>874.72</v>
      </c>
      <c r="J14" s="85" t="n">
        <v>2017</v>
      </c>
    </row>
    <row r="15" customFormat="false" ht="15" hidden="false" customHeight="false" outlineLevel="0" collapsed="false">
      <c r="A15" s="115" t="s">
        <v>19</v>
      </c>
      <c r="B15" s="115" t="s">
        <v>577</v>
      </c>
      <c r="C15" s="116" t="s">
        <v>578</v>
      </c>
      <c r="D15" s="116"/>
      <c r="E15" s="116" t="n">
        <v>75</v>
      </c>
      <c r="F15" s="116" t="s">
        <v>562</v>
      </c>
      <c r="G15" s="108" t="s">
        <v>563</v>
      </c>
      <c r="H15" s="105" t="n">
        <f aca="false">'[2]$ лето'!j15-'[2]$ лето'!au15-'[2]$ лето'!at15-'[2]$ лето'!as15-'[2]$ лето'!ar15-'[2]$ лето'!aq15-'[2]$ лето'!ap15-'[2]$ лето'!an15-'[2]$ лето'!am15-'[2]$ лето'!al15-'[2]$ лето'!ak15-'[2]$ лето'!aj15-'[2]$ лето'!ah15-'[2]$ лето'!ag15-'[2]$ лето'!af15-'[2]$ лето'!ae15-'[2]$ лето'!ad15-'[2]$ лето'!ab15-'[2]$ лето'!aa15-'[2]$ лето'!z15-'[2]$ лето'!y15-'[2]$ лето'!x15-'[2]$ лето'!v15-'[2]$ лето'!u15-'[2]$ лето'!t15-'[2]$ лето'!s15-'[2]$ лето'!r15-'[2]$ лето'!p15-'[2]$ лето'!o15-'[2]$ лето'!n15-'[2]$ лето'!m15-'[2]$ лето'!l15+'[2]$ лето'!k15+'[2]$ лето'!q15+'[2]$ лето'!w15+'[2]$ лето'!ac15+'[2]$ лето'!ai15+'[2]$ лето'!ao15</f>
        <v>8</v>
      </c>
      <c r="I15" s="109" t="n">
        <f aca="false">'[2]$ лето'!ay15*1.1</f>
        <v>831.6</v>
      </c>
    </row>
    <row r="16" customFormat="false" ht="15" hidden="true" customHeight="false" outlineLevel="0" collapsed="false">
      <c r="A16" s="115" t="s">
        <v>19</v>
      </c>
      <c r="B16" s="115" t="s">
        <v>579</v>
      </c>
      <c r="C16" s="116" t="s">
        <v>580</v>
      </c>
      <c r="D16" s="116"/>
      <c r="E16" s="116" t="n">
        <v>75</v>
      </c>
      <c r="F16" s="116" t="s">
        <v>562</v>
      </c>
      <c r="G16" s="108" t="s">
        <v>520</v>
      </c>
      <c r="H16" s="105" t="n">
        <f aca="false">'[2]$ лето'!j16-'[2]$ лето'!au16-'[2]$ лето'!at16-'[2]$ лето'!as16-'[2]$ лето'!ar16-'[2]$ лето'!aq16-'[2]$ лето'!ap16-'[2]$ лето'!an16-'[2]$ лето'!am16-'[2]$ лето'!al16-'[2]$ лето'!ak16-'[2]$ лето'!aj16-'[2]$ лето'!ah16-'[2]$ лето'!ag16-'[2]$ лето'!af16-'[2]$ лето'!ae16-'[2]$ лето'!ad16-'[2]$ лето'!ab16-'[2]$ лето'!aa16-'[2]$ лето'!z16-'[2]$ лето'!y16-'[2]$ лето'!x16-'[2]$ лето'!v16-'[2]$ лето'!u16-'[2]$ лето'!t16-'[2]$ лето'!s16-'[2]$ лето'!r16-'[2]$ лето'!p16-'[2]$ лето'!o16-'[2]$ лето'!n16-'[2]$ лето'!m16-'[2]$ лето'!l16+'[2]$ лето'!k16+'[2]$ лето'!q16+'[2]$ лето'!w16+'[2]$ лето'!ac16+'[2]$ лето'!ai16+'[2]$ лето'!ao16</f>
        <v>0</v>
      </c>
      <c r="I16" s="109" t="n">
        <f aca="false">'[2]$ лето'!ay16*1.1</f>
        <v>660</v>
      </c>
    </row>
    <row r="17" customFormat="false" ht="15" hidden="false" customHeight="false" outlineLevel="0" collapsed="false">
      <c r="A17" s="115" t="s">
        <v>19</v>
      </c>
      <c r="B17" s="115" t="s">
        <v>579</v>
      </c>
      <c r="C17" s="116" t="s">
        <v>581</v>
      </c>
      <c r="D17" s="116" t="s">
        <v>582</v>
      </c>
      <c r="E17" s="116" t="n">
        <v>75</v>
      </c>
      <c r="F17" s="116" t="s">
        <v>562</v>
      </c>
      <c r="G17" s="108" t="s">
        <v>520</v>
      </c>
      <c r="H17" s="105" t="n">
        <f aca="false">'[2]$ лето'!j17-'[2]$ лето'!au17-'[2]$ лето'!at17-'[2]$ лето'!as17-'[2]$ лето'!ar17-'[2]$ лето'!aq17-'[2]$ лето'!ap17-'[2]$ лето'!an17-'[2]$ лето'!am17-'[2]$ лето'!al17-'[2]$ лето'!ak17-'[2]$ лето'!aj17-'[2]$ лето'!ah17-'[2]$ лето'!ag17-'[2]$ лето'!af17-'[2]$ лето'!ae17-'[2]$ лето'!ad17-'[2]$ лето'!ab17-'[2]$ лето'!aa17-'[2]$ лето'!z17-'[2]$ лето'!y17-'[2]$ лето'!x17-'[2]$ лето'!v17-'[2]$ лето'!u17-'[2]$ лето'!t17-'[2]$ лето'!s17-'[2]$ лето'!r17-'[2]$ лето'!p17-'[2]$ лето'!o17-'[2]$ лето'!n17-'[2]$ лето'!m17-'[2]$ лето'!l17+'[2]$ лето'!k17+'[2]$ лето'!q17+'[2]$ лето'!w17+'[2]$ лето'!ac17+'[2]$ лето'!ai17+'[2]$ лето'!ao17</f>
        <v>8</v>
      </c>
      <c r="I17" s="109" t="n">
        <f aca="false">'[2]$ лето'!ay17*1.1</f>
        <v>693</v>
      </c>
      <c r="J17" s="85" t="n">
        <v>2017</v>
      </c>
    </row>
    <row r="18" customFormat="false" ht="15" hidden="false" customHeight="false" outlineLevel="0" collapsed="false">
      <c r="A18" s="115" t="s">
        <v>19</v>
      </c>
      <c r="B18" s="115" t="s">
        <v>583</v>
      </c>
      <c r="C18" s="116" t="s">
        <v>584</v>
      </c>
      <c r="D18" s="116"/>
      <c r="E18" s="116"/>
      <c r="F18" s="116"/>
      <c r="G18" s="108" t="s">
        <v>585</v>
      </c>
      <c r="H18" s="105" t="n">
        <f aca="false">'[2]$ лето'!j18-'[2]$ лето'!au18-'[2]$ лето'!at18-'[2]$ лето'!as18-'[2]$ лето'!ar18-'[2]$ лето'!aq18-'[2]$ лето'!ap18-'[2]$ лето'!an18-'[2]$ лето'!am18-'[2]$ лето'!al18-'[2]$ лето'!ak18-'[2]$ лето'!aj18-'[2]$ лето'!ah18-'[2]$ лето'!ag18-'[2]$ лето'!af18-'[2]$ лето'!ae18-'[2]$ лето'!ad18-'[2]$ лето'!ab18-'[2]$ лето'!aa18-'[2]$ лето'!z18-'[2]$ лето'!y18-'[2]$ лето'!x18-'[2]$ лето'!v18-'[2]$ лето'!u18-'[2]$ лето'!t18-'[2]$ лето'!s18-'[2]$ лето'!r18-'[2]$ лето'!p18-'[2]$ лето'!o18-'[2]$ лето'!n18-'[2]$ лето'!m18-'[2]$ лето'!l18+'[2]$ лето'!k18+'[2]$ лето'!q18+'[2]$ лето'!w18+'[2]$ лето'!ac18+'[2]$ лето'!ai18+'[2]$ лето'!ao18</f>
        <v>10</v>
      </c>
      <c r="I18" s="109" t="n">
        <f aca="false">'[2]$ лето'!ay18*1.1</f>
        <v>862.4</v>
      </c>
      <c r="J18" s="85" t="n">
        <v>2018</v>
      </c>
    </row>
    <row r="19" customFormat="false" ht="15" hidden="false" customHeight="false" outlineLevel="0" collapsed="false">
      <c r="A19" s="115" t="s">
        <v>19</v>
      </c>
      <c r="B19" s="115" t="s">
        <v>586</v>
      </c>
      <c r="C19" s="116" t="s">
        <v>587</v>
      </c>
      <c r="D19" s="116"/>
      <c r="E19" s="116" t="n">
        <v>73</v>
      </c>
      <c r="F19" s="116" t="s">
        <v>562</v>
      </c>
      <c r="G19" s="108" t="s">
        <v>520</v>
      </c>
      <c r="H19" s="105" t="n">
        <f aca="false">'[2]$ лето'!j19-'[2]$ лето'!au19-'[2]$ лето'!at19-'[2]$ лето'!as19-'[2]$ лето'!ar19-'[2]$ лето'!aq19-'[2]$ лето'!ap19-'[2]$ лето'!an19-'[2]$ лето'!am19-'[2]$ лето'!al19-'[2]$ лето'!ak19-'[2]$ лето'!aj19-'[2]$ лето'!ah19-'[2]$ лето'!ag19-'[2]$ лето'!af19-'[2]$ лето'!ae19-'[2]$ лето'!ad19-'[2]$ лето'!ab19-'[2]$ лето'!aa19-'[2]$ лето'!z19-'[2]$ лето'!y19-'[2]$ лето'!x19-'[2]$ лето'!v19-'[2]$ лето'!u19-'[2]$ лето'!t19-'[2]$ лето'!s19-'[2]$ лето'!r19-'[2]$ лето'!p19-'[2]$ лето'!o19-'[2]$ лето'!n19-'[2]$ лето'!m19-'[2]$ лето'!l19+'[2]$ лето'!k19+'[2]$ лето'!q19+'[2]$ лето'!w19+'[2]$ лето'!ac19+'[2]$ лето'!ai19+'[2]$ лето'!ao19</f>
        <v>2</v>
      </c>
      <c r="I19" s="109" t="n">
        <f aca="false">'[2]$ лето'!ay19*1.1</f>
        <v>739.2</v>
      </c>
      <c r="J19" s="85" t="n">
        <v>2018</v>
      </c>
    </row>
    <row r="20" customFormat="false" ht="15" hidden="true" customHeight="false" outlineLevel="0" collapsed="false">
      <c r="A20" s="115" t="s">
        <v>19</v>
      </c>
      <c r="B20" s="115" t="s">
        <v>564</v>
      </c>
      <c r="C20" s="116" t="s">
        <v>588</v>
      </c>
      <c r="D20" s="116"/>
      <c r="E20" s="116"/>
      <c r="F20" s="116"/>
      <c r="G20" s="108" t="s">
        <v>520</v>
      </c>
      <c r="H20" s="105" t="n">
        <f aca="false">'[2]$ лето'!j20-'[2]$ лето'!au20-'[2]$ лето'!at20-'[2]$ лето'!as20-'[2]$ лето'!ar20-'[2]$ лето'!aq20-'[2]$ лето'!ap20-'[2]$ лето'!an20-'[2]$ лето'!am20-'[2]$ лето'!al20-'[2]$ лето'!ak20-'[2]$ лето'!aj20-'[2]$ лето'!ah20-'[2]$ лето'!ag20-'[2]$ лето'!af20-'[2]$ лето'!ae20-'[2]$ лето'!ad20-'[2]$ лето'!ab20-'[2]$ лето'!aa20-'[2]$ лето'!z20-'[2]$ лето'!y20-'[2]$ лето'!x20-'[2]$ лето'!v20-'[2]$ лето'!u20-'[2]$ лето'!t20-'[2]$ лето'!s20-'[2]$ лето'!r20-'[2]$ лето'!p20-'[2]$ лето'!o20-'[2]$ лето'!n20-'[2]$ лето'!m20-'[2]$ лето'!l20+'[2]$ лето'!k20+'[2]$ лето'!q20+'[2]$ лето'!w20+'[2]$ лето'!ac20+'[2]$ лето'!ai20+'[2]$ лето'!ao20</f>
        <v>0</v>
      </c>
      <c r="I20" s="109" t="n">
        <f aca="false">'[2]$ лето'!ay20*1.1</f>
        <v>770</v>
      </c>
      <c r="J20" s="85" t="n">
        <v>2017</v>
      </c>
    </row>
    <row r="21" customFormat="false" ht="15" hidden="true" customHeight="false" outlineLevel="0" collapsed="false">
      <c r="A21" s="115" t="s">
        <v>19</v>
      </c>
      <c r="B21" s="115" t="s">
        <v>589</v>
      </c>
      <c r="C21" s="116" t="s">
        <v>590</v>
      </c>
      <c r="D21" s="116"/>
      <c r="E21" s="116"/>
      <c r="F21" s="116"/>
      <c r="G21" s="108"/>
      <c r="H21" s="105" t="n">
        <f aca="false">'[2]$ лето'!j21-'[2]$ лето'!au21-'[2]$ лето'!at21-'[2]$ лето'!as21-'[2]$ лето'!ar21-'[2]$ лето'!aq21-'[2]$ лето'!ap21-'[2]$ лето'!an21-'[2]$ лето'!am21-'[2]$ лето'!al21-'[2]$ лето'!ak21-'[2]$ лето'!aj21-'[2]$ лето'!ah21-'[2]$ лето'!ag21-'[2]$ лето'!af21-'[2]$ лето'!ae21-'[2]$ лето'!ad21-'[2]$ лето'!ab21-'[2]$ лето'!aa21-'[2]$ лето'!z21-'[2]$ лето'!y21-'[2]$ лето'!x21-'[2]$ лето'!v21-'[2]$ лето'!u21-'[2]$ лето'!t21-'[2]$ лето'!s21-'[2]$ лето'!r21-'[2]$ лето'!p21-'[2]$ лето'!o21-'[2]$ лето'!n21-'[2]$ лето'!m21-'[2]$ лето'!l21+'[2]$ лето'!k21+'[2]$ лето'!q21+'[2]$ лето'!w21+'[2]$ лето'!ac21+'[2]$ лето'!ai21+'[2]$ лето'!ao21</f>
        <v>0</v>
      </c>
      <c r="I21" s="109" t="n">
        <f aca="false">'[2]$ лето'!ay21*1.1</f>
        <v>1232</v>
      </c>
    </row>
    <row r="22" customFormat="false" ht="15" hidden="true" customHeight="false" outlineLevel="0" collapsed="false">
      <c r="A22" s="115" t="s">
        <v>34</v>
      </c>
      <c r="B22" s="115" t="s">
        <v>555</v>
      </c>
      <c r="C22" s="119" t="s">
        <v>571</v>
      </c>
      <c r="D22" s="119"/>
      <c r="E22" s="119"/>
      <c r="F22" s="119"/>
      <c r="G22" s="108"/>
      <c r="H22" s="105" t="n">
        <f aca="false">'[2]$ лето'!j22-'[2]$ лето'!au22-'[2]$ лето'!at22-'[2]$ лето'!as22-'[2]$ лето'!ar22-'[2]$ лето'!aq22-'[2]$ лето'!ap22-'[2]$ лето'!an22-'[2]$ лето'!am22-'[2]$ лето'!al22-'[2]$ лето'!ak22-'[2]$ лето'!aj22-'[2]$ лето'!ah22-'[2]$ лето'!ag22-'[2]$ лето'!af22-'[2]$ лето'!ae22-'[2]$ лето'!ad22-'[2]$ лето'!ab22-'[2]$ лето'!aa22-'[2]$ лето'!z22-'[2]$ лето'!y22-'[2]$ лето'!x22-'[2]$ лето'!v22-'[2]$ лето'!u22-'[2]$ лето'!t22-'[2]$ лето'!s22-'[2]$ лето'!r22-'[2]$ лето'!p22-'[2]$ лето'!o22-'[2]$ лето'!n22-'[2]$ лето'!m22-'[2]$ лето'!l22+'[2]$ лето'!k22+'[2]$ лето'!q22+'[2]$ лето'!w22+'[2]$ лето'!ac22+'[2]$ лето'!ai22+'[2]$ лето'!ao22</f>
        <v>0</v>
      </c>
      <c r="I22" s="109" t="n">
        <f aca="false">'[2]$ лето'!ay22*1.1</f>
        <v>862.4</v>
      </c>
    </row>
    <row r="23" customFormat="false" ht="15" hidden="false" customHeight="false" outlineLevel="0" collapsed="false">
      <c r="A23" s="115" t="s">
        <v>34</v>
      </c>
      <c r="B23" s="115" t="s">
        <v>583</v>
      </c>
      <c r="C23" s="107" t="s">
        <v>591</v>
      </c>
      <c r="D23" s="107"/>
      <c r="E23" s="116" t="n">
        <v>79</v>
      </c>
      <c r="F23" s="116" t="s">
        <v>562</v>
      </c>
      <c r="G23" s="108" t="s">
        <v>585</v>
      </c>
      <c r="H23" s="105" t="n">
        <f aca="false">'[2]$ лето'!j23-'[2]$ лето'!au23-'[2]$ лето'!at23-'[2]$ лето'!as23-'[2]$ лето'!ar23-'[2]$ лето'!aq23-'[2]$ лето'!ap23-'[2]$ лето'!an23-'[2]$ лето'!am23-'[2]$ лето'!al23-'[2]$ лето'!ak23-'[2]$ лето'!aj23-'[2]$ лето'!ah23-'[2]$ лето'!ag23-'[2]$ лето'!af23-'[2]$ лето'!ae23-'[2]$ лето'!ad23-'[2]$ лето'!ab23-'[2]$ лето'!aa23-'[2]$ лето'!z23-'[2]$ лето'!y23-'[2]$ лето'!x23-'[2]$ лето'!v23-'[2]$ лето'!u23-'[2]$ лето'!t23-'[2]$ лето'!s23-'[2]$ лето'!r23-'[2]$ лето'!p23-'[2]$ лето'!o23-'[2]$ лето'!n23-'[2]$ лето'!m23-'[2]$ лето'!l23+'[2]$ лето'!k23+'[2]$ лето'!q23+'[2]$ лето'!w23+'[2]$ лето'!ac23+'[2]$ лето'!ai23+'[2]$ лето'!ao23</f>
        <v>4</v>
      </c>
      <c r="I23" s="109" t="n">
        <f aca="false">'[2]$ лето'!ay23*1.1</f>
        <v>924</v>
      </c>
      <c r="J23" s="85" t="n">
        <v>2017</v>
      </c>
    </row>
    <row r="24" customFormat="false" ht="15" hidden="true" customHeight="false" outlineLevel="0" collapsed="false">
      <c r="A24" s="115" t="s">
        <v>34</v>
      </c>
      <c r="B24" s="115" t="s">
        <v>583</v>
      </c>
      <c r="C24" s="107" t="s">
        <v>592</v>
      </c>
      <c r="D24" s="107"/>
      <c r="E24" s="107"/>
      <c r="F24" s="107"/>
      <c r="G24" s="108"/>
      <c r="H24" s="105" t="n">
        <f aca="false">'[2]$ лето'!j24-'[2]$ лето'!au24-'[2]$ лето'!at24-'[2]$ лето'!as24-'[2]$ лето'!ar24-'[2]$ лето'!aq24-'[2]$ лето'!ap24-'[2]$ лето'!an24-'[2]$ лето'!am24-'[2]$ лето'!al24-'[2]$ лето'!ak24-'[2]$ лето'!aj24-'[2]$ лето'!ah24-'[2]$ лето'!ag24-'[2]$ лето'!af24-'[2]$ лето'!ae24-'[2]$ лето'!ad24-'[2]$ лето'!ab24-'[2]$ лето'!aa24-'[2]$ лето'!z24-'[2]$ лето'!y24-'[2]$ лето'!x24-'[2]$ лето'!v24-'[2]$ лето'!u24-'[2]$ лето'!t24-'[2]$ лето'!s24-'[2]$ лето'!r24-'[2]$ лето'!p24-'[2]$ лето'!o24-'[2]$ лето'!n24-'[2]$ лето'!m24-'[2]$ лето'!l24+'[2]$ лето'!k24+'[2]$ лето'!q24+'[2]$ лето'!w24+'[2]$ лето'!ac24+'[2]$ лето'!ai24+'[2]$ лето'!ao24</f>
        <v>0</v>
      </c>
      <c r="I24" s="109" t="n">
        <f aca="false">'[2]$ лето'!ay24*1.1</f>
        <v>924</v>
      </c>
      <c r="J24" s="85" t="n">
        <v>2018</v>
      </c>
    </row>
    <row r="25" customFormat="false" ht="15" hidden="false" customHeight="false" outlineLevel="0" collapsed="false">
      <c r="A25" s="115" t="s">
        <v>34</v>
      </c>
      <c r="B25" s="115" t="s">
        <v>593</v>
      </c>
      <c r="C25" s="116" t="s">
        <v>594</v>
      </c>
      <c r="D25" s="116"/>
      <c r="E25" s="116"/>
      <c r="F25" s="116"/>
      <c r="G25" s="108" t="s">
        <v>595</v>
      </c>
      <c r="H25" s="105" t="n">
        <f aca="false">'[2]$ лето'!j25-'[2]$ лето'!au25-'[2]$ лето'!at25-'[2]$ лето'!as25-'[2]$ лето'!ar25-'[2]$ лето'!aq25-'[2]$ лето'!ap25-'[2]$ лето'!an25-'[2]$ лето'!am25-'[2]$ лето'!al25-'[2]$ лето'!ak25-'[2]$ лето'!aj25-'[2]$ лето'!ah25-'[2]$ лето'!ag25-'[2]$ лето'!af25-'[2]$ лето'!ae25-'[2]$ лето'!ad25-'[2]$ лето'!ab25-'[2]$ лето'!aa25-'[2]$ лето'!z25-'[2]$ лето'!y25-'[2]$ лето'!x25-'[2]$ лето'!v25-'[2]$ лето'!u25-'[2]$ лето'!t25-'[2]$ лето'!s25-'[2]$ лето'!r25-'[2]$ лето'!p25-'[2]$ лето'!o25-'[2]$ лето'!n25-'[2]$ лето'!m25-'[2]$ лето'!l25+'[2]$ лето'!k25+'[2]$ лето'!q25+'[2]$ лето'!w25+'[2]$ лето'!ac25+'[2]$ лето'!ai25+'[2]$ лето'!ao25</f>
        <v>2</v>
      </c>
      <c r="I25" s="109" t="n">
        <f aca="false">'[2]$ лето'!ay25*1.1</f>
        <v>1078</v>
      </c>
      <c r="J25" s="85" t="n">
        <v>2013</v>
      </c>
    </row>
    <row r="26" customFormat="false" ht="15" hidden="false" customHeight="false" outlineLevel="0" collapsed="false">
      <c r="A26" s="115" t="s">
        <v>34</v>
      </c>
      <c r="B26" s="115" t="s">
        <v>593</v>
      </c>
      <c r="C26" s="116" t="s">
        <v>596</v>
      </c>
      <c r="D26" s="116"/>
      <c r="E26" s="116"/>
      <c r="F26" s="116"/>
      <c r="G26" s="108" t="s">
        <v>597</v>
      </c>
      <c r="H26" s="105" t="n">
        <f aca="false">'[2]$ лето'!j26-'[2]$ лето'!au26-'[2]$ лето'!at26-'[2]$ лето'!as26-'[2]$ лето'!ar26-'[2]$ лето'!aq26-'[2]$ лето'!ap26-'[2]$ лето'!an26-'[2]$ лето'!am26-'[2]$ лето'!al26-'[2]$ лето'!ak26-'[2]$ лето'!aj26-'[2]$ лето'!ah26-'[2]$ лето'!ag26-'[2]$ лето'!af26-'[2]$ лето'!ae26-'[2]$ лето'!ad26-'[2]$ лето'!ab26-'[2]$ лето'!aa26-'[2]$ лето'!z26-'[2]$ лето'!y26-'[2]$ лето'!x26-'[2]$ лето'!v26-'[2]$ лето'!u26-'[2]$ лето'!t26-'[2]$ лето'!s26-'[2]$ лето'!r26-'[2]$ лето'!p26-'[2]$ лето'!o26-'[2]$ лето'!n26-'[2]$ лето'!m26-'[2]$ лето'!l26+'[2]$ лето'!k26+'[2]$ лето'!q26+'[2]$ лето'!w26+'[2]$ лето'!ac26+'[2]$ лето'!ai26+'[2]$ лето'!ao26</f>
        <v>2</v>
      </c>
      <c r="I26" s="109" t="n">
        <f aca="false">'[2]$ лето'!ay26*1.1</f>
        <v>924</v>
      </c>
      <c r="J26" s="85" t="n">
        <v>2010</v>
      </c>
    </row>
    <row r="27" customFormat="false" ht="15" hidden="false" customHeight="false" outlineLevel="0" collapsed="false">
      <c r="A27" s="115" t="s">
        <v>34</v>
      </c>
      <c r="B27" s="115" t="s">
        <v>564</v>
      </c>
      <c r="C27" s="116" t="s">
        <v>598</v>
      </c>
      <c r="D27" s="116"/>
      <c r="E27" s="116" t="n">
        <v>79</v>
      </c>
      <c r="F27" s="116" t="s">
        <v>562</v>
      </c>
      <c r="G27" s="108" t="s">
        <v>520</v>
      </c>
      <c r="H27" s="105" t="n">
        <f aca="false">'[2]$ лето'!j27-'[2]$ лето'!au27-'[2]$ лето'!at27-'[2]$ лето'!as27-'[2]$ лето'!ar27-'[2]$ лето'!aq27-'[2]$ лето'!ap27-'[2]$ лето'!an27-'[2]$ лето'!am27-'[2]$ лето'!al27-'[2]$ лето'!ak27-'[2]$ лето'!aj27-'[2]$ лето'!ah27-'[2]$ лето'!ag27-'[2]$ лето'!af27-'[2]$ лето'!ae27-'[2]$ лето'!ad27-'[2]$ лето'!ab27-'[2]$ лето'!aa27-'[2]$ лето'!z27-'[2]$ лето'!y27-'[2]$ лето'!x27-'[2]$ лето'!v27-'[2]$ лето'!u27-'[2]$ лето'!t27-'[2]$ лето'!s27-'[2]$ лето'!r27-'[2]$ лето'!p27-'[2]$ лето'!o27-'[2]$ лето'!n27-'[2]$ лето'!m27-'[2]$ лето'!l27+'[2]$ лето'!k27+'[2]$ лето'!q27+'[2]$ лето'!w27+'[2]$ лето'!ac27+'[2]$ лето'!ai27+'[2]$ лето'!ao27</f>
        <v>4</v>
      </c>
      <c r="I27" s="109" t="n">
        <f aca="false">'[2]$ лето'!ay27*1.1</f>
        <v>800.8</v>
      </c>
      <c r="J27" s="85" t="n">
        <v>2017</v>
      </c>
    </row>
    <row r="28" customFormat="false" ht="15" hidden="true" customHeight="false" outlineLevel="0" collapsed="false">
      <c r="A28" s="115" t="s">
        <v>44</v>
      </c>
      <c r="B28" s="115" t="s">
        <v>566</v>
      </c>
      <c r="C28" s="116" t="s">
        <v>599</v>
      </c>
      <c r="D28" s="116"/>
      <c r="E28" s="116"/>
      <c r="F28" s="116"/>
      <c r="G28" s="108" t="s">
        <v>563</v>
      </c>
      <c r="H28" s="105" t="n">
        <f aca="false">'[2]$ лето'!j28-'[2]$ лето'!au28-'[2]$ лето'!at28-'[2]$ лето'!as28-'[2]$ лето'!ar28-'[2]$ лето'!aq28-'[2]$ лето'!ap28-'[2]$ лето'!an28-'[2]$ лето'!am28-'[2]$ лето'!al28-'[2]$ лето'!ak28-'[2]$ лето'!aj28-'[2]$ лето'!ah28-'[2]$ лето'!ag28-'[2]$ лето'!af28-'[2]$ лето'!ae28-'[2]$ лето'!ad28-'[2]$ лето'!ab28-'[2]$ лето'!aa28-'[2]$ лето'!z28-'[2]$ лето'!y28-'[2]$ лето'!x28-'[2]$ лето'!v28-'[2]$ лето'!u28-'[2]$ лето'!t28-'[2]$ лето'!s28-'[2]$ лето'!r28-'[2]$ лето'!p28-'[2]$ лето'!o28-'[2]$ лето'!n28-'[2]$ лето'!m28-'[2]$ лето'!l28+'[2]$ лето'!k28+'[2]$ лето'!q28+'[2]$ лето'!w28+'[2]$ лето'!ac28+'[2]$ лето'!ai28+'[2]$ лето'!ao28</f>
        <v>0</v>
      </c>
      <c r="I28" s="109" t="n">
        <f aca="false">'[2]$ лето'!ay28*1.1</f>
        <v>862.4</v>
      </c>
      <c r="J28" s="85" t="n">
        <v>2017</v>
      </c>
    </row>
    <row r="29" customFormat="false" ht="15" hidden="false" customHeight="false" outlineLevel="0" collapsed="false">
      <c r="A29" s="115" t="s">
        <v>44</v>
      </c>
      <c r="B29" s="115" t="s">
        <v>568</v>
      </c>
      <c r="C29" s="116" t="s">
        <v>600</v>
      </c>
      <c r="D29" s="116"/>
      <c r="E29" s="116" t="n">
        <v>82</v>
      </c>
      <c r="F29" s="116" t="s">
        <v>562</v>
      </c>
      <c r="G29" s="108" t="s">
        <v>570</v>
      </c>
      <c r="H29" s="105" t="n">
        <f aca="false">'[2]$ лето'!j29-'[2]$ лето'!au29-'[2]$ лето'!at29-'[2]$ лето'!as29-'[2]$ лето'!ar29-'[2]$ лето'!aq29-'[2]$ лето'!ap29-'[2]$ лето'!an29-'[2]$ лето'!am29-'[2]$ лето'!al29-'[2]$ лето'!ak29-'[2]$ лето'!aj29-'[2]$ лето'!ah29-'[2]$ лето'!ag29-'[2]$ лето'!af29-'[2]$ лето'!ae29-'[2]$ лето'!ad29-'[2]$ лето'!ab29-'[2]$ лето'!aa29-'[2]$ лето'!z29-'[2]$ лето'!y29-'[2]$ лето'!x29-'[2]$ лето'!v29-'[2]$ лето'!u29-'[2]$ лето'!t29-'[2]$ лето'!s29-'[2]$ лето'!r29-'[2]$ лето'!p29-'[2]$ лето'!o29-'[2]$ лето'!n29-'[2]$ лето'!m29-'[2]$ лето'!l29+'[2]$ лето'!k29+'[2]$ лето'!q29+'[2]$ лето'!w29+'[2]$ лето'!ac29+'[2]$ лето'!ai29+'[2]$ лето'!ao29</f>
        <v>2</v>
      </c>
      <c r="I29" s="109" t="n">
        <f aca="false">'[2]$ лето'!ay29*1.1</f>
        <v>954.8</v>
      </c>
      <c r="J29" s="85" t="n">
        <v>2018</v>
      </c>
    </row>
    <row r="30" customFormat="false" ht="15" hidden="true" customHeight="false" outlineLevel="0" collapsed="false">
      <c r="A30" s="115" t="s">
        <v>44</v>
      </c>
      <c r="B30" s="115" t="s">
        <v>601</v>
      </c>
      <c r="C30" s="116" t="s">
        <v>602</v>
      </c>
      <c r="D30" s="116"/>
      <c r="E30" s="116"/>
      <c r="F30" s="116"/>
      <c r="G30" s="108"/>
      <c r="H30" s="105" t="n">
        <f aca="false">'[2]$ лето'!j30-'[2]$ лето'!au30-'[2]$ лето'!at30-'[2]$ лето'!as30-'[2]$ лето'!ar30-'[2]$ лето'!aq30-'[2]$ лето'!ap30-'[2]$ лето'!an30-'[2]$ лето'!am30-'[2]$ лето'!al30-'[2]$ лето'!ak30-'[2]$ лето'!aj30-'[2]$ лето'!ah30-'[2]$ лето'!ag30-'[2]$ лето'!af30-'[2]$ лето'!ae30-'[2]$ лето'!ad30-'[2]$ лето'!ab30-'[2]$ лето'!aa30-'[2]$ лето'!z30-'[2]$ лето'!y30-'[2]$ лето'!x30-'[2]$ лето'!v30-'[2]$ лето'!u30-'[2]$ лето'!t30-'[2]$ лето'!s30-'[2]$ лето'!r30-'[2]$ лето'!p30-'[2]$ лето'!o30-'[2]$ лето'!n30-'[2]$ лето'!m30-'[2]$ лето'!l30+'[2]$ лето'!k30+'[2]$ лето'!q30+'[2]$ лето'!w30+'[2]$ лето'!ac30+'[2]$ лето'!ai30+'[2]$ лето'!ao30</f>
        <v>0</v>
      </c>
      <c r="I30" s="109" t="n">
        <f aca="false">'[2]$ лето'!ay30*1.1</f>
        <v>1012</v>
      </c>
    </row>
    <row r="31" customFormat="false" ht="15" hidden="true" customHeight="false" outlineLevel="0" collapsed="false">
      <c r="A31" s="115" t="s">
        <v>44</v>
      </c>
      <c r="B31" s="115" t="s">
        <v>555</v>
      </c>
      <c r="C31" s="116" t="s">
        <v>603</v>
      </c>
      <c r="D31" s="116"/>
      <c r="E31" s="116"/>
      <c r="F31" s="116"/>
      <c r="G31" s="108"/>
      <c r="H31" s="105" t="n">
        <f aca="false">'[2]$ лето'!j31-'[2]$ лето'!au31-'[2]$ лето'!at31-'[2]$ лето'!as31-'[2]$ лето'!ar31-'[2]$ лето'!aq31-'[2]$ лето'!ap31-'[2]$ лето'!an31-'[2]$ лето'!am31-'[2]$ лето'!al31-'[2]$ лето'!ak31-'[2]$ лето'!aj31-'[2]$ лето'!ah31-'[2]$ лето'!ag31-'[2]$ лето'!af31-'[2]$ лето'!ae31-'[2]$ лето'!ad31-'[2]$ лето'!ab31-'[2]$ лето'!aa31-'[2]$ лето'!z31-'[2]$ лето'!y31-'[2]$ лето'!x31-'[2]$ лето'!v31-'[2]$ лето'!u31-'[2]$ лето'!t31-'[2]$ лето'!s31-'[2]$ лето'!r31-'[2]$ лето'!p31-'[2]$ лето'!o31-'[2]$ лето'!n31-'[2]$ лето'!m31-'[2]$ лето'!l31+'[2]$ лето'!k31+'[2]$ лето'!q31+'[2]$ лето'!w31+'[2]$ лето'!ac31+'[2]$ лето'!ai31+'[2]$ лето'!ao31</f>
        <v>0</v>
      </c>
      <c r="I31" s="109" t="n">
        <f aca="false">'[2]$ лето'!ay31*1.1</f>
        <v>800.8</v>
      </c>
    </row>
    <row r="32" customFormat="false" ht="15" hidden="false" customHeight="false" outlineLevel="0" collapsed="false">
      <c r="A32" s="115" t="s">
        <v>44</v>
      </c>
      <c r="B32" s="115" t="s">
        <v>555</v>
      </c>
      <c r="C32" s="119" t="s">
        <v>571</v>
      </c>
      <c r="D32" s="119"/>
      <c r="E32" s="119"/>
      <c r="F32" s="119"/>
      <c r="G32" s="108"/>
      <c r="H32" s="105" t="n">
        <f aca="false">'[2]$ лето'!j32-'[2]$ лето'!au32-'[2]$ лето'!at32-'[2]$ лето'!as32-'[2]$ лето'!ar32-'[2]$ лето'!aq32-'[2]$ лето'!ap32-'[2]$ лето'!an32-'[2]$ лето'!am32-'[2]$ лето'!al32-'[2]$ лето'!ak32-'[2]$ лето'!aj32-'[2]$ лето'!ah32-'[2]$ лето'!ag32-'[2]$ лето'!af32-'[2]$ лето'!ae32-'[2]$ лето'!ad32-'[2]$ лето'!ab32-'[2]$ лето'!aa32-'[2]$ лето'!z32-'[2]$ лето'!y32-'[2]$ лето'!x32-'[2]$ лето'!v32-'[2]$ лето'!u32-'[2]$ лето'!t32-'[2]$ лето'!s32-'[2]$ лето'!r32-'[2]$ лето'!p32-'[2]$ лето'!o32-'[2]$ лето'!n32-'[2]$ лето'!m32-'[2]$ лето'!l32+'[2]$ лето'!k32+'[2]$ лето'!q32+'[2]$ лето'!w32+'[2]$ лето'!ac32+'[2]$ лето'!ai32+'[2]$ лето'!ao32</f>
        <v>1</v>
      </c>
      <c r="I32" s="109" t="n">
        <f aca="false">'[2]$ лето'!ay32*1.1</f>
        <v>1139.6</v>
      </c>
    </row>
    <row r="33" customFormat="false" ht="15" hidden="true" customHeight="false" outlineLevel="0" collapsed="false">
      <c r="A33" s="115" t="s">
        <v>44</v>
      </c>
      <c r="B33" s="115" t="s">
        <v>604</v>
      </c>
      <c r="C33" s="116" t="s">
        <v>605</v>
      </c>
      <c r="D33" s="116"/>
      <c r="E33" s="116"/>
      <c r="F33" s="116"/>
      <c r="G33" s="108"/>
      <c r="H33" s="105" t="n">
        <f aca="false">'[2]$ лето'!j33-'[2]$ лето'!au33-'[2]$ лето'!at33-'[2]$ лето'!as33-'[2]$ лето'!ar33-'[2]$ лето'!aq33-'[2]$ лето'!ap33-'[2]$ лето'!an33-'[2]$ лето'!am33-'[2]$ лето'!al33-'[2]$ лето'!ak33-'[2]$ лето'!aj33-'[2]$ лето'!ah33-'[2]$ лето'!ag33-'[2]$ лето'!af33-'[2]$ лето'!ae33-'[2]$ лето'!ad33-'[2]$ лето'!ab33-'[2]$ лето'!aa33-'[2]$ лето'!z33-'[2]$ лето'!y33-'[2]$ лето'!x33-'[2]$ лето'!v33-'[2]$ лето'!u33-'[2]$ лето'!t33-'[2]$ лето'!s33-'[2]$ лето'!r33-'[2]$ лето'!p33-'[2]$ лето'!o33-'[2]$ лето'!n33-'[2]$ лето'!m33-'[2]$ лето'!l33+'[2]$ лето'!k33+'[2]$ лето'!q33+'[2]$ лето'!w33+'[2]$ лето'!ac33+'[2]$ лето'!ai33+'[2]$ лето'!ao33</f>
        <v>0</v>
      </c>
      <c r="I33" s="109" t="n">
        <f aca="false">'[2]$ лето'!ay33*1.1</f>
        <v>893.2</v>
      </c>
    </row>
    <row r="34" customFormat="false" ht="15" hidden="true" customHeight="false" outlineLevel="0" collapsed="false">
      <c r="A34" s="115" t="s">
        <v>44</v>
      </c>
      <c r="B34" s="115" t="s">
        <v>606</v>
      </c>
      <c r="C34" s="116" t="s">
        <v>607</v>
      </c>
      <c r="D34" s="116"/>
      <c r="E34" s="116"/>
      <c r="F34" s="116"/>
      <c r="G34" s="108"/>
      <c r="H34" s="105" t="n">
        <f aca="false">'[2]$ лето'!j34-'[2]$ лето'!au34-'[2]$ лето'!at34-'[2]$ лето'!as34-'[2]$ лето'!ar34-'[2]$ лето'!aq34-'[2]$ лето'!ap34-'[2]$ лето'!an34-'[2]$ лето'!am34-'[2]$ лето'!al34-'[2]$ лето'!ak34-'[2]$ лето'!aj34-'[2]$ лето'!ah34-'[2]$ лето'!ag34-'[2]$ лето'!af34-'[2]$ лето'!ae34-'[2]$ лето'!ad34-'[2]$ лето'!ab34-'[2]$ лето'!aa34-'[2]$ лето'!z34-'[2]$ лето'!y34-'[2]$ лето'!x34-'[2]$ лето'!v34-'[2]$ лето'!u34-'[2]$ лето'!t34-'[2]$ лето'!s34-'[2]$ лето'!r34-'[2]$ лето'!p34-'[2]$ лето'!o34-'[2]$ лето'!n34-'[2]$ лето'!m34-'[2]$ лето'!l34+'[2]$ лето'!k34+'[2]$ лето'!q34+'[2]$ лето'!w34+'[2]$ лето'!ac34+'[2]$ лето'!ai34+'[2]$ лето'!ao34</f>
        <v>0</v>
      </c>
      <c r="I34" s="109" t="n">
        <f aca="false">'[2]$ лето'!ay34*1.1</f>
        <v>954.8</v>
      </c>
      <c r="J34" s="85" t="n">
        <v>2017</v>
      </c>
    </row>
    <row r="35" customFormat="false" ht="15" hidden="true" customHeight="false" outlineLevel="0" collapsed="false">
      <c r="A35" s="115" t="s">
        <v>44</v>
      </c>
      <c r="B35" s="115" t="s">
        <v>606</v>
      </c>
      <c r="C35" s="116" t="s">
        <v>608</v>
      </c>
      <c r="D35" s="116"/>
      <c r="E35" s="116"/>
      <c r="F35" s="116"/>
      <c r="G35" s="108" t="s">
        <v>609</v>
      </c>
      <c r="H35" s="105" t="n">
        <f aca="false">'[2]$ лето'!j35-'[2]$ лето'!au35-'[2]$ лето'!at35-'[2]$ лето'!as35-'[2]$ лето'!ar35-'[2]$ лето'!aq35-'[2]$ лето'!ap35-'[2]$ лето'!an35-'[2]$ лето'!am35-'[2]$ лето'!al35-'[2]$ лето'!ak35-'[2]$ лето'!aj35-'[2]$ лето'!ah35-'[2]$ лето'!ag35-'[2]$ лето'!af35-'[2]$ лето'!ae35-'[2]$ лето'!ad35-'[2]$ лето'!ab35-'[2]$ лето'!aa35-'[2]$ лето'!z35-'[2]$ лето'!y35-'[2]$ лето'!x35-'[2]$ лето'!v35-'[2]$ лето'!u35-'[2]$ лето'!t35-'[2]$ лето'!s35-'[2]$ лето'!r35-'[2]$ лето'!p35-'[2]$ лето'!o35-'[2]$ лето'!n35-'[2]$ лето'!m35-'[2]$ лето'!l35+'[2]$ лето'!k35+'[2]$ лето'!q35+'[2]$ лето'!w35+'[2]$ лето'!ac35+'[2]$ лето'!ai35+'[2]$ лето'!ao35</f>
        <v>0</v>
      </c>
      <c r="I35" s="109" t="n">
        <f aca="false">'[2]$ лето'!ay35*1.1</f>
        <v>990</v>
      </c>
      <c r="J35" s="85" t="n">
        <v>2017</v>
      </c>
    </row>
    <row r="36" customFormat="false" ht="15" hidden="false" customHeight="false" outlineLevel="0" collapsed="false">
      <c r="A36" s="115" t="s">
        <v>44</v>
      </c>
      <c r="B36" s="115" t="s">
        <v>579</v>
      </c>
      <c r="C36" s="116" t="s">
        <v>580</v>
      </c>
      <c r="D36" s="116"/>
      <c r="E36" s="116" t="n">
        <v>82</v>
      </c>
      <c r="F36" s="116" t="s">
        <v>562</v>
      </c>
      <c r="G36" s="108" t="s">
        <v>520</v>
      </c>
      <c r="H36" s="105" t="n">
        <f aca="false">'[2]$ лето'!j36-'[2]$ лето'!au36-'[2]$ лето'!at36-'[2]$ лето'!as36-'[2]$ лето'!ar36-'[2]$ лето'!aq36-'[2]$ лето'!ap36-'[2]$ лето'!an36-'[2]$ лето'!am36-'[2]$ лето'!al36-'[2]$ лето'!ak36-'[2]$ лето'!aj36-'[2]$ лето'!ah36-'[2]$ лето'!ag36-'[2]$ лето'!af36-'[2]$ лето'!ae36-'[2]$ лето'!ad36-'[2]$ лето'!ab36-'[2]$ лето'!aa36-'[2]$ лето'!z36-'[2]$ лето'!y36-'[2]$ лето'!x36-'[2]$ лето'!v36-'[2]$ лето'!u36-'[2]$ лето'!t36-'[2]$ лето'!s36-'[2]$ лето'!r36-'[2]$ лето'!p36-'[2]$ лето'!o36-'[2]$ лето'!n36-'[2]$ лето'!m36-'[2]$ лето'!l36+'[2]$ лето'!k36+'[2]$ лето'!q36+'[2]$ лето'!w36+'[2]$ лето'!ac36+'[2]$ лето'!ai36+'[2]$ лето'!ao36</f>
        <v>26</v>
      </c>
      <c r="I36" s="109" t="n">
        <f aca="false">'[2]$ лето'!ay36*1.1</f>
        <v>737</v>
      </c>
    </row>
    <row r="37" customFormat="false" ht="15" hidden="true" customHeight="false" outlineLevel="0" collapsed="false">
      <c r="A37" s="115" t="s">
        <v>44</v>
      </c>
      <c r="B37" s="115" t="s">
        <v>574</v>
      </c>
      <c r="C37" s="116" t="s">
        <v>610</v>
      </c>
      <c r="D37" s="116"/>
      <c r="E37" s="116"/>
      <c r="F37" s="116"/>
      <c r="G37" s="108" t="s">
        <v>576</v>
      </c>
      <c r="H37" s="105" t="n">
        <f aca="false">'[2]$ лето'!j37-'[2]$ лето'!au37-'[2]$ лето'!at37-'[2]$ лето'!as37-'[2]$ лето'!ar37-'[2]$ лето'!aq37-'[2]$ лето'!ap37-'[2]$ лето'!an37-'[2]$ лето'!am37-'[2]$ лето'!al37-'[2]$ лето'!ak37-'[2]$ лето'!aj37-'[2]$ лето'!ah37-'[2]$ лето'!ag37-'[2]$ лето'!af37-'[2]$ лето'!ae37-'[2]$ лето'!ad37-'[2]$ лето'!ab37-'[2]$ лето'!aa37-'[2]$ лето'!z37-'[2]$ лето'!y37-'[2]$ лето'!x37-'[2]$ лето'!v37-'[2]$ лето'!u37-'[2]$ лето'!t37-'[2]$ лето'!s37-'[2]$ лето'!r37-'[2]$ лето'!p37-'[2]$ лето'!o37-'[2]$ лето'!n37-'[2]$ лето'!m37-'[2]$ лето'!l37+'[2]$ лето'!k37+'[2]$ лето'!q37+'[2]$ лето'!w37+'[2]$ лето'!ac37+'[2]$ лето'!ai37+'[2]$ лето'!ao37</f>
        <v>0</v>
      </c>
      <c r="I37" s="109" t="n">
        <f aca="false">'[2]$ лето'!ay37*1.1</f>
        <v>954.8</v>
      </c>
      <c r="J37" s="85" t="n">
        <v>2018</v>
      </c>
    </row>
    <row r="38" customFormat="false" ht="15" hidden="false" customHeight="false" outlineLevel="0" collapsed="false">
      <c r="A38" s="115" t="s">
        <v>44</v>
      </c>
      <c r="B38" s="115" t="s">
        <v>577</v>
      </c>
      <c r="C38" s="116" t="s">
        <v>611</v>
      </c>
      <c r="D38" s="116"/>
      <c r="E38" s="116" t="n">
        <v>82</v>
      </c>
      <c r="F38" s="116" t="s">
        <v>562</v>
      </c>
      <c r="G38" s="108" t="s">
        <v>563</v>
      </c>
      <c r="H38" s="105" t="n">
        <f aca="false">'[2]$ лето'!j38-'[2]$ лето'!au38-'[2]$ лето'!at38-'[2]$ лето'!as38-'[2]$ лето'!ar38-'[2]$ лето'!aq38-'[2]$ лето'!ap38-'[2]$ лето'!an38-'[2]$ лето'!am38-'[2]$ лето'!al38-'[2]$ лето'!ak38-'[2]$ лето'!aj38-'[2]$ лето'!ah38-'[2]$ лето'!ag38-'[2]$ лето'!af38-'[2]$ лето'!ae38-'[2]$ лето'!ad38-'[2]$ лето'!ab38-'[2]$ лето'!aa38-'[2]$ лето'!z38-'[2]$ лето'!y38-'[2]$ лето'!x38-'[2]$ лето'!v38-'[2]$ лето'!u38-'[2]$ лето'!t38-'[2]$ лето'!s38-'[2]$ лето'!r38-'[2]$ лето'!p38-'[2]$ лето'!o38-'[2]$ лето'!n38-'[2]$ лето'!m38-'[2]$ лето'!l38+'[2]$ лето'!k38+'[2]$ лето'!q38+'[2]$ лето'!w38+'[2]$ лето'!ac38+'[2]$ лето'!ai38+'[2]$ лето'!ao38</f>
        <v>18</v>
      </c>
      <c r="I38" s="109" t="n">
        <f aca="false">'[2]$ лето'!ay38*1.1</f>
        <v>858</v>
      </c>
    </row>
    <row r="39" customFormat="false" ht="15" hidden="false" customHeight="false" outlineLevel="0" collapsed="false">
      <c r="A39" s="115" t="s">
        <v>44</v>
      </c>
      <c r="B39" s="115" t="s">
        <v>583</v>
      </c>
      <c r="C39" s="116" t="s">
        <v>591</v>
      </c>
      <c r="D39" s="116"/>
      <c r="E39" s="116" t="n">
        <v>82</v>
      </c>
      <c r="F39" s="116" t="s">
        <v>562</v>
      </c>
      <c r="G39" s="108" t="s">
        <v>585</v>
      </c>
      <c r="H39" s="105" t="n">
        <f aca="false">'[2]$ лето'!j39-'[2]$ лето'!au39-'[2]$ лето'!at39-'[2]$ лето'!as39-'[2]$ лето'!ar39-'[2]$ лето'!aq39-'[2]$ лето'!ap39-'[2]$ лето'!an39-'[2]$ лето'!am39-'[2]$ лето'!al39-'[2]$ лето'!ak39-'[2]$ лето'!aj39-'[2]$ лето'!ah39-'[2]$ лето'!ag39-'[2]$ лето'!af39-'[2]$ лето'!ae39-'[2]$ лето'!ad39-'[2]$ лето'!ab39-'[2]$ лето'!aa39-'[2]$ лето'!z39-'[2]$ лето'!y39-'[2]$ лето'!x39-'[2]$ лето'!v39-'[2]$ лето'!u39-'[2]$ лето'!t39-'[2]$ лето'!s39-'[2]$ лето'!r39-'[2]$ лето'!p39-'[2]$ лето'!o39-'[2]$ лето'!n39-'[2]$ лето'!m39-'[2]$ лето'!l39+'[2]$ лето'!k39+'[2]$ лето'!q39+'[2]$ лето'!w39+'[2]$ лето'!ac39+'[2]$ лето'!ai39+'[2]$ лето'!ao39</f>
        <v>6</v>
      </c>
      <c r="I39" s="109" t="n">
        <f aca="false">'[2]$ лето'!ay39*1.1</f>
        <v>924</v>
      </c>
      <c r="J39" s="85" t="n">
        <v>2017</v>
      </c>
    </row>
    <row r="40" customFormat="false" ht="15" hidden="false" customHeight="false" outlineLevel="0" collapsed="false">
      <c r="A40" s="115" t="s">
        <v>44</v>
      </c>
      <c r="B40" s="115" t="s">
        <v>583</v>
      </c>
      <c r="C40" s="116" t="s">
        <v>612</v>
      </c>
      <c r="D40" s="116"/>
      <c r="E40" s="116" t="n">
        <v>82</v>
      </c>
      <c r="F40" s="116" t="s">
        <v>562</v>
      </c>
      <c r="G40" s="108" t="s">
        <v>585</v>
      </c>
      <c r="H40" s="105" t="n">
        <f aca="false">'[2]$ лето'!j40-'[2]$ лето'!au40-'[2]$ лето'!at40-'[2]$ лето'!as40-'[2]$ лето'!ar40-'[2]$ лето'!aq40-'[2]$ лето'!ap40-'[2]$ лето'!an40-'[2]$ лето'!am40-'[2]$ лето'!al40-'[2]$ лето'!ak40-'[2]$ лето'!aj40-'[2]$ лето'!ah40-'[2]$ лето'!ag40-'[2]$ лето'!af40-'[2]$ лето'!ae40-'[2]$ лето'!ad40-'[2]$ лето'!ab40-'[2]$ лето'!aa40-'[2]$ лето'!z40-'[2]$ лето'!y40-'[2]$ лето'!x40-'[2]$ лето'!v40-'[2]$ лето'!u40-'[2]$ лето'!t40-'[2]$ лето'!s40-'[2]$ лето'!r40-'[2]$ лето'!p40-'[2]$ лето'!o40-'[2]$ лето'!n40-'[2]$ лето'!m40-'[2]$ лето'!l40+'[2]$ лето'!k40+'[2]$ лето'!q40+'[2]$ лето'!w40+'[2]$ лето'!ac40+'[2]$ лето'!ai40+'[2]$ лето'!ao40</f>
        <v>6</v>
      </c>
      <c r="I40" s="109" t="n">
        <f aca="false">'[2]$ лето'!ay40*1.1</f>
        <v>893.2</v>
      </c>
      <c r="J40" s="85" t="n">
        <v>2018</v>
      </c>
    </row>
    <row r="41" customFormat="false" ht="15" hidden="true" customHeight="false" outlineLevel="0" collapsed="false">
      <c r="A41" s="115" t="s">
        <v>44</v>
      </c>
      <c r="B41" s="115" t="s">
        <v>613</v>
      </c>
      <c r="C41" s="116" t="s">
        <v>614</v>
      </c>
      <c r="D41" s="116"/>
      <c r="E41" s="116"/>
      <c r="F41" s="116"/>
      <c r="G41" s="108"/>
      <c r="H41" s="105" t="n">
        <f aca="false">'[2]$ лето'!j41-'[2]$ лето'!au41-'[2]$ лето'!at41-'[2]$ лето'!as41-'[2]$ лето'!ar41-'[2]$ лето'!aq41-'[2]$ лето'!ap41-'[2]$ лето'!an41-'[2]$ лето'!am41-'[2]$ лето'!al41-'[2]$ лето'!ak41-'[2]$ лето'!aj41-'[2]$ лето'!ah41-'[2]$ лето'!ag41-'[2]$ лето'!af41-'[2]$ лето'!ae41-'[2]$ лето'!ad41-'[2]$ лето'!ab41-'[2]$ лето'!aa41-'[2]$ лето'!z41-'[2]$ лето'!y41-'[2]$ лето'!x41-'[2]$ лето'!v41-'[2]$ лето'!u41-'[2]$ лето'!t41-'[2]$ лето'!s41-'[2]$ лето'!r41-'[2]$ лето'!p41-'[2]$ лето'!o41-'[2]$ лето'!n41-'[2]$ лето'!m41-'[2]$ лето'!l41+'[2]$ лето'!k41+'[2]$ лето'!q41+'[2]$ лето'!w41+'[2]$ лето'!ac41+'[2]$ лето'!ai41+'[2]$ лето'!ao41</f>
        <v>0</v>
      </c>
      <c r="I41" s="109" t="n">
        <f aca="false">'[2]$ лето'!ay41*1.1</f>
        <v>770</v>
      </c>
    </row>
    <row r="42" customFormat="false" ht="15" hidden="true" customHeight="false" outlineLevel="0" collapsed="false">
      <c r="A42" s="115" t="s">
        <v>44</v>
      </c>
      <c r="B42" s="115" t="s">
        <v>615</v>
      </c>
      <c r="C42" s="116" t="s">
        <v>616</v>
      </c>
      <c r="D42" s="116"/>
      <c r="E42" s="116"/>
      <c r="F42" s="116"/>
      <c r="G42" s="108"/>
      <c r="H42" s="105" t="n">
        <f aca="false">'[2]$ лето'!j42-'[2]$ лето'!au42-'[2]$ лето'!at42-'[2]$ лето'!as42-'[2]$ лето'!ar42-'[2]$ лето'!aq42-'[2]$ лето'!ap42-'[2]$ лето'!an42-'[2]$ лето'!am42-'[2]$ лето'!al42-'[2]$ лето'!ak42-'[2]$ лето'!aj42-'[2]$ лето'!ah42-'[2]$ лето'!ag42-'[2]$ лето'!af42-'[2]$ лето'!ae42-'[2]$ лето'!ad42-'[2]$ лето'!ab42-'[2]$ лето'!aa42-'[2]$ лето'!z42-'[2]$ лето'!y42-'[2]$ лето'!x42-'[2]$ лето'!v42-'[2]$ лето'!u42-'[2]$ лето'!t42-'[2]$ лето'!s42-'[2]$ лето'!r42-'[2]$ лето'!p42-'[2]$ лето'!o42-'[2]$ лето'!n42-'[2]$ лето'!m42-'[2]$ лето'!l42+'[2]$ лето'!k42+'[2]$ лето'!q42+'[2]$ лето'!w42+'[2]$ лето'!ac42+'[2]$ лето'!ai42+'[2]$ лето'!ao42</f>
        <v>0</v>
      </c>
      <c r="I42" s="109" t="n">
        <f aca="false">'[2]$ лето'!ay42*1.1</f>
        <v>831.6</v>
      </c>
    </row>
    <row r="43" customFormat="false" ht="15" hidden="true" customHeight="false" outlineLevel="0" collapsed="false">
      <c r="A43" s="115" t="s">
        <v>44</v>
      </c>
      <c r="B43" s="115" t="s">
        <v>617</v>
      </c>
      <c r="C43" s="116" t="s">
        <v>618</v>
      </c>
      <c r="D43" s="116"/>
      <c r="E43" s="116"/>
      <c r="F43" s="116"/>
      <c r="G43" s="108"/>
      <c r="H43" s="105" t="n">
        <f aca="false">'[2]$ лето'!j43-'[2]$ лето'!au43-'[2]$ лето'!at43-'[2]$ лето'!as43-'[2]$ лето'!ar43-'[2]$ лето'!aq43-'[2]$ лето'!ap43-'[2]$ лето'!an43-'[2]$ лето'!am43-'[2]$ лето'!al43-'[2]$ лето'!ak43-'[2]$ лето'!aj43-'[2]$ лето'!ah43-'[2]$ лето'!ag43-'[2]$ лето'!af43-'[2]$ лето'!ae43-'[2]$ лето'!ad43-'[2]$ лето'!ab43-'[2]$ лето'!aa43-'[2]$ лето'!z43-'[2]$ лето'!y43-'[2]$ лето'!x43-'[2]$ лето'!v43-'[2]$ лето'!u43-'[2]$ лето'!t43-'[2]$ лето'!s43-'[2]$ лето'!r43-'[2]$ лето'!p43-'[2]$ лето'!o43-'[2]$ лето'!n43-'[2]$ лето'!m43-'[2]$ лето'!l43+'[2]$ лето'!k43+'[2]$ лето'!q43+'[2]$ лето'!w43+'[2]$ лето'!ac43+'[2]$ лето'!ai43+'[2]$ лето'!ao43</f>
        <v>0</v>
      </c>
      <c r="I43" s="109" t="n">
        <f aca="false">'[2]$ лето'!ay43*1.1</f>
        <v>880</v>
      </c>
      <c r="J43" s="85" t="n">
        <v>2018</v>
      </c>
    </row>
    <row r="44" customFormat="false" ht="15" hidden="false" customHeight="false" outlineLevel="0" collapsed="false">
      <c r="A44" s="115" t="s">
        <v>44</v>
      </c>
      <c r="B44" s="115" t="s">
        <v>619</v>
      </c>
      <c r="C44" s="116" t="s">
        <v>620</v>
      </c>
      <c r="D44" s="116"/>
      <c r="E44" s="116"/>
      <c r="F44" s="116"/>
      <c r="G44" s="108" t="s">
        <v>609</v>
      </c>
      <c r="H44" s="105" t="n">
        <f aca="false">'[2]$ лето'!j44-'[2]$ лето'!au44-'[2]$ лето'!at44-'[2]$ лето'!as44-'[2]$ лето'!ar44-'[2]$ лето'!aq44-'[2]$ лето'!ap44-'[2]$ лето'!an44-'[2]$ лето'!am44-'[2]$ лето'!al44-'[2]$ лето'!ak44-'[2]$ лето'!aj44-'[2]$ лето'!ah44-'[2]$ лето'!ag44-'[2]$ лето'!af44-'[2]$ лето'!ae44-'[2]$ лето'!ad44-'[2]$ лето'!ab44-'[2]$ лето'!aa44-'[2]$ лето'!z44-'[2]$ лето'!y44-'[2]$ лето'!x44-'[2]$ лето'!v44-'[2]$ лето'!u44-'[2]$ лето'!t44-'[2]$ лето'!s44-'[2]$ лето'!r44-'[2]$ лето'!p44-'[2]$ лето'!o44-'[2]$ лето'!n44-'[2]$ лето'!m44-'[2]$ лето'!l44+'[2]$ лето'!k44+'[2]$ лето'!q44+'[2]$ лето'!w44+'[2]$ лето'!ac44+'[2]$ лето'!ai44+'[2]$ лето'!ao44</f>
        <v>2</v>
      </c>
      <c r="I44" s="109" t="n">
        <f aca="false">'[2]$ лето'!ay44*1.1</f>
        <v>739.2</v>
      </c>
      <c r="J44" s="85" t="n">
        <v>2011</v>
      </c>
    </row>
    <row r="45" customFormat="false" ht="15" hidden="false" customHeight="false" outlineLevel="0" collapsed="false">
      <c r="A45" s="115" t="s">
        <v>44</v>
      </c>
      <c r="B45" s="115" t="s">
        <v>621</v>
      </c>
      <c r="C45" s="116" t="s">
        <v>622</v>
      </c>
      <c r="D45" s="116"/>
      <c r="E45" s="116" t="n">
        <v>82</v>
      </c>
      <c r="F45" s="116" t="s">
        <v>562</v>
      </c>
      <c r="G45" s="108" t="s">
        <v>520</v>
      </c>
      <c r="H45" s="105" t="n">
        <f aca="false">'[2]$ лето'!j45-'[2]$ лето'!au45-'[2]$ лето'!at45-'[2]$ лето'!as45-'[2]$ лето'!ar45-'[2]$ лето'!aq45-'[2]$ лето'!ap45-'[2]$ лето'!an45-'[2]$ лето'!am45-'[2]$ лето'!al45-'[2]$ лето'!ak45-'[2]$ лето'!aj45-'[2]$ лето'!ah45-'[2]$ лето'!ag45-'[2]$ лето'!af45-'[2]$ лето'!ae45-'[2]$ лето'!ad45-'[2]$ лето'!ab45-'[2]$ лето'!aa45-'[2]$ лето'!z45-'[2]$ лето'!y45-'[2]$ лето'!x45-'[2]$ лето'!v45-'[2]$ лето'!u45-'[2]$ лето'!t45-'[2]$ лето'!s45-'[2]$ лето'!r45-'[2]$ лето'!p45-'[2]$ лето'!o45-'[2]$ лето'!n45-'[2]$ лето'!m45-'[2]$ лето'!l45+'[2]$ лето'!k45+'[2]$ лето'!q45+'[2]$ лето'!w45+'[2]$ лето'!ac45+'[2]$ лето'!ai45+'[2]$ лето'!ao45</f>
        <v>14</v>
      </c>
      <c r="I45" s="109" t="n">
        <f aca="false">'[2]$ лето'!ay45*1.1</f>
        <v>704</v>
      </c>
    </row>
    <row r="46" customFormat="false" ht="15" hidden="true" customHeight="false" outlineLevel="0" collapsed="false">
      <c r="A46" s="115" t="s">
        <v>44</v>
      </c>
      <c r="B46" s="115" t="s">
        <v>623</v>
      </c>
      <c r="C46" s="116" t="s">
        <v>624</v>
      </c>
      <c r="D46" s="116"/>
      <c r="E46" s="116"/>
      <c r="F46" s="116"/>
      <c r="G46" s="108" t="s">
        <v>625</v>
      </c>
      <c r="H46" s="105" t="n">
        <f aca="false">'[2]$ лето'!j46-'[2]$ лето'!au46-'[2]$ лето'!at46-'[2]$ лето'!as46-'[2]$ лето'!ar46-'[2]$ лето'!aq46-'[2]$ лето'!ap46-'[2]$ лето'!an46-'[2]$ лето'!am46-'[2]$ лето'!al46-'[2]$ лето'!ak46-'[2]$ лето'!aj46-'[2]$ лето'!ah46-'[2]$ лето'!ag46-'[2]$ лето'!af46-'[2]$ лето'!ae46-'[2]$ лето'!ad46-'[2]$ лето'!ab46-'[2]$ лето'!aa46-'[2]$ лето'!z46-'[2]$ лето'!y46-'[2]$ лето'!x46-'[2]$ лето'!v46-'[2]$ лето'!u46-'[2]$ лето'!t46-'[2]$ лето'!s46-'[2]$ лето'!r46-'[2]$ лето'!p46-'[2]$ лето'!o46-'[2]$ лето'!n46-'[2]$ лето'!m46-'[2]$ лето'!l46+'[2]$ лето'!k46+'[2]$ лето'!q46+'[2]$ лето'!w46+'[2]$ лето'!ac46+'[2]$ лето'!ai46+'[2]$ лето'!ao46</f>
        <v>0</v>
      </c>
      <c r="I46" s="109" t="n">
        <f aca="false">'[2]$ лето'!ay46*1.1</f>
        <v>862.4</v>
      </c>
      <c r="J46" s="85" t="n">
        <v>2017</v>
      </c>
    </row>
    <row r="47" customFormat="false" ht="15" hidden="false" customHeight="false" outlineLevel="0" collapsed="false">
      <c r="A47" s="115" t="s">
        <v>44</v>
      </c>
      <c r="B47" s="115" t="s">
        <v>589</v>
      </c>
      <c r="C47" s="116" t="s">
        <v>590</v>
      </c>
      <c r="D47" s="116"/>
      <c r="E47" s="116"/>
      <c r="F47" s="116"/>
      <c r="G47" s="108" t="s">
        <v>626</v>
      </c>
      <c r="H47" s="105" t="n">
        <f aca="false">'[2]$ лето'!j47-'[2]$ лето'!au47-'[2]$ лето'!at47-'[2]$ лето'!as47-'[2]$ лето'!ar47-'[2]$ лето'!aq47-'[2]$ лето'!ap47-'[2]$ лето'!an47-'[2]$ лето'!am47-'[2]$ лето'!al47-'[2]$ лето'!ak47-'[2]$ лето'!aj47-'[2]$ лето'!ah47-'[2]$ лето'!ag47-'[2]$ лето'!af47-'[2]$ лето'!ae47-'[2]$ лето'!ad47-'[2]$ лето'!ab47-'[2]$ лето'!aa47-'[2]$ лето'!z47-'[2]$ лето'!y47-'[2]$ лето'!x47-'[2]$ лето'!v47-'[2]$ лето'!u47-'[2]$ лето'!t47-'[2]$ лето'!s47-'[2]$ лето'!r47-'[2]$ лето'!p47-'[2]$ лето'!o47-'[2]$ лето'!n47-'[2]$ лето'!m47-'[2]$ лето'!l47+'[2]$ лето'!k47+'[2]$ лето'!q47+'[2]$ лето'!w47+'[2]$ лето'!ac47+'[2]$ лето'!ai47+'[2]$ лето'!ao47</f>
        <v>2</v>
      </c>
      <c r="I47" s="109" t="n">
        <f aca="false">'[2]$ лето'!ay47*1.1</f>
        <v>1280.84</v>
      </c>
      <c r="J47" s="85" t="n">
        <v>2017</v>
      </c>
    </row>
    <row r="48" customFormat="false" ht="15" hidden="true" customHeight="false" outlineLevel="0" collapsed="false">
      <c r="A48" s="115" t="s">
        <v>76</v>
      </c>
      <c r="B48" s="115" t="s">
        <v>601</v>
      </c>
      <c r="C48" s="116" t="s">
        <v>627</v>
      </c>
      <c r="D48" s="116"/>
      <c r="E48" s="116"/>
      <c r="F48" s="116"/>
      <c r="G48" s="108"/>
      <c r="H48" s="105" t="n">
        <f aca="false">'[2]$ лето'!j48-'[2]$ лето'!au48-'[2]$ лето'!at48-'[2]$ лето'!as48-'[2]$ лето'!ar48-'[2]$ лето'!aq48-'[2]$ лето'!ap48-'[2]$ лето'!an48-'[2]$ лето'!am48-'[2]$ лето'!al48-'[2]$ лето'!ak48-'[2]$ лето'!aj48-'[2]$ лето'!ah48-'[2]$ лето'!ag48-'[2]$ лето'!af48-'[2]$ лето'!ae48-'[2]$ лето'!ad48-'[2]$ лето'!ab48-'[2]$ лето'!aa48-'[2]$ лето'!z48-'[2]$ лето'!y48-'[2]$ лето'!x48-'[2]$ лето'!v48-'[2]$ лето'!u48-'[2]$ лето'!t48-'[2]$ лето'!s48-'[2]$ лето'!r48-'[2]$ лето'!p48-'[2]$ лето'!o48-'[2]$ лето'!n48-'[2]$ лето'!m48-'[2]$ лето'!l48+'[2]$ лето'!k48+'[2]$ лето'!q48+'[2]$ лето'!w48+'[2]$ лето'!ac48+'[2]$ лето'!ai48+'[2]$ лето'!ao48</f>
        <v>0</v>
      </c>
      <c r="I48" s="109" t="n">
        <f aca="false">'[2]$ лето'!ay48*1.1</f>
        <v>1232</v>
      </c>
    </row>
    <row r="49" customFormat="false" ht="15" hidden="false" customHeight="false" outlineLevel="0" collapsed="false">
      <c r="A49" s="115" t="s">
        <v>628</v>
      </c>
      <c r="B49" s="115" t="s">
        <v>566</v>
      </c>
      <c r="C49" s="116" t="n">
        <v>122</v>
      </c>
      <c r="D49" s="116"/>
      <c r="E49" s="116"/>
      <c r="F49" s="116"/>
      <c r="G49" s="108" t="s">
        <v>563</v>
      </c>
      <c r="H49" s="105" t="n">
        <f aca="false">'[2]$ лето'!j49-'[2]$ лето'!au49-'[2]$ лето'!at49-'[2]$ лето'!as49-'[2]$ лето'!ar49-'[2]$ лето'!aq49-'[2]$ лето'!ap49-'[2]$ лето'!an49-'[2]$ лето'!am49-'[2]$ лето'!al49-'[2]$ лето'!ak49-'[2]$ лето'!aj49-'[2]$ лето'!ah49-'[2]$ лето'!ag49-'[2]$ лето'!af49-'[2]$ лето'!ae49-'[2]$ лето'!ad49-'[2]$ лето'!ab49-'[2]$ лето'!aa49-'[2]$ лето'!z49-'[2]$ лето'!y49-'[2]$ лето'!x49-'[2]$ лето'!v49-'[2]$ лето'!u49-'[2]$ лето'!t49-'[2]$ лето'!s49-'[2]$ лето'!r49-'[2]$ лето'!p49-'[2]$ лето'!o49-'[2]$ лето'!n49-'[2]$ лето'!m49-'[2]$ лето'!l49+'[2]$ лето'!k49+'[2]$ лето'!q49+'[2]$ лето'!w49+'[2]$ лето'!ac49+'[2]$ лето'!ai49+'[2]$ лето'!ao49</f>
        <v>2</v>
      </c>
      <c r="I49" s="109" t="n">
        <f aca="false">'[2]$ лето'!ay49*1.1</f>
        <v>1078</v>
      </c>
    </row>
    <row r="50" customFormat="false" ht="15" hidden="true" customHeight="false" outlineLevel="0" collapsed="false">
      <c r="A50" s="115" t="s">
        <v>628</v>
      </c>
      <c r="B50" s="115" t="s">
        <v>566</v>
      </c>
      <c r="C50" s="116" t="s">
        <v>629</v>
      </c>
      <c r="D50" s="116"/>
      <c r="E50" s="116"/>
      <c r="F50" s="116"/>
      <c r="G50" s="108" t="s">
        <v>563</v>
      </c>
      <c r="H50" s="105" t="n">
        <f aca="false">'[2]$ лето'!j50-'[2]$ лето'!au50-'[2]$ лето'!at50-'[2]$ лето'!as50-'[2]$ лето'!ar50-'[2]$ лето'!aq50-'[2]$ лето'!ap50-'[2]$ лето'!an50-'[2]$ лето'!am50-'[2]$ лето'!al50-'[2]$ лето'!ak50-'[2]$ лето'!aj50-'[2]$ лето'!ah50-'[2]$ лето'!ag50-'[2]$ лето'!af50-'[2]$ лето'!ae50-'[2]$ лето'!ad50-'[2]$ лето'!ab50-'[2]$ лето'!aa50-'[2]$ лето'!z50-'[2]$ лето'!y50-'[2]$ лето'!x50-'[2]$ лето'!v50-'[2]$ лето'!u50-'[2]$ лето'!t50-'[2]$ лето'!s50-'[2]$ лето'!r50-'[2]$ лето'!p50-'[2]$ лето'!o50-'[2]$ лето'!n50-'[2]$ лето'!m50-'[2]$ лето'!l50+'[2]$ лето'!k50+'[2]$ лето'!q50+'[2]$ лето'!w50+'[2]$ лето'!ac50+'[2]$ лето'!ai50+'[2]$ лето'!ao50</f>
        <v>0</v>
      </c>
      <c r="I50" s="109" t="n">
        <f aca="false">'[2]$ лето'!ay50*1.1</f>
        <v>954.8</v>
      </c>
    </row>
    <row r="51" customFormat="false" ht="15" hidden="true" customHeight="false" outlineLevel="0" collapsed="false">
      <c r="A51" s="115" t="s">
        <v>628</v>
      </c>
      <c r="B51" s="115" t="s">
        <v>568</v>
      </c>
      <c r="C51" s="107" t="s">
        <v>630</v>
      </c>
      <c r="D51" s="107"/>
      <c r="E51" s="107"/>
      <c r="F51" s="107"/>
      <c r="G51" s="108" t="s">
        <v>631</v>
      </c>
      <c r="H51" s="105" t="n">
        <f aca="false">'[2]$ лето'!j51-'[2]$ лето'!au51-'[2]$ лето'!at51-'[2]$ лето'!as51-'[2]$ лето'!ar51-'[2]$ лето'!aq51-'[2]$ лето'!ap51-'[2]$ лето'!an51-'[2]$ лето'!am51-'[2]$ лето'!al51-'[2]$ лето'!ak51-'[2]$ лето'!aj51-'[2]$ лето'!ah51-'[2]$ лето'!ag51-'[2]$ лето'!af51-'[2]$ лето'!ae51-'[2]$ лето'!ad51-'[2]$ лето'!ab51-'[2]$ лето'!aa51-'[2]$ лето'!z51-'[2]$ лето'!y51-'[2]$ лето'!x51-'[2]$ лето'!v51-'[2]$ лето'!u51-'[2]$ лето'!t51-'[2]$ лето'!s51-'[2]$ лето'!r51-'[2]$ лето'!p51-'[2]$ лето'!o51-'[2]$ лето'!n51-'[2]$ лето'!m51-'[2]$ лето'!l51+'[2]$ лето'!k51+'[2]$ лето'!q51+'[2]$ лето'!w51+'[2]$ лето'!ac51+'[2]$ лето'!ai51+'[2]$ лето'!ao51</f>
        <v>0</v>
      </c>
      <c r="I51" s="109" t="n">
        <f aca="false">'[2]$ лето'!ay51*1.1</f>
        <v>1293.6</v>
      </c>
      <c r="J51" s="85" t="n">
        <v>2017</v>
      </c>
    </row>
    <row r="52" customFormat="false" ht="15" hidden="true" customHeight="false" outlineLevel="0" collapsed="false">
      <c r="A52" s="115" t="s">
        <v>628</v>
      </c>
      <c r="B52" s="115" t="s">
        <v>606</v>
      </c>
      <c r="C52" s="107" t="s">
        <v>632</v>
      </c>
      <c r="D52" s="107"/>
      <c r="E52" s="107"/>
      <c r="F52" s="107"/>
      <c r="G52" s="108"/>
      <c r="H52" s="105" t="n">
        <f aca="false">'[2]$ лето'!j52-'[2]$ лето'!au52-'[2]$ лето'!at52-'[2]$ лето'!as52-'[2]$ лето'!ar52-'[2]$ лето'!aq52-'[2]$ лето'!ap52-'[2]$ лето'!an52-'[2]$ лето'!am52-'[2]$ лето'!al52-'[2]$ лето'!ak52-'[2]$ лето'!aj52-'[2]$ лето'!ah52-'[2]$ лето'!ag52-'[2]$ лето'!af52-'[2]$ лето'!ae52-'[2]$ лето'!ad52-'[2]$ лето'!ab52-'[2]$ лето'!aa52-'[2]$ лето'!z52-'[2]$ лето'!y52-'[2]$ лето'!x52-'[2]$ лето'!v52-'[2]$ лето'!u52-'[2]$ лето'!t52-'[2]$ лето'!s52-'[2]$ лето'!r52-'[2]$ лето'!p52-'[2]$ лето'!o52-'[2]$ лето'!n52-'[2]$ лето'!m52-'[2]$ лето'!l52+'[2]$ лето'!k52+'[2]$ лето'!q52+'[2]$ лето'!w52+'[2]$ лето'!ac52+'[2]$ лето'!ai52+'[2]$ лето'!ao52</f>
        <v>0</v>
      </c>
      <c r="I52" s="109" t="n">
        <f aca="false">'[2]$ лето'!ay52*1.1</f>
        <v>924</v>
      </c>
    </row>
    <row r="53" customFormat="false" ht="15" hidden="true" customHeight="false" outlineLevel="0" collapsed="false">
      <c r="A53" s="115" t="s">
        <v>628</v>
      </c>
      <c r="B53" s="115" t="s">
        <v>574</v>
      </c>
      <c r="C53" s="107" t="s">
        <v>633</v>
      </c>
      <c r="D53" s="107"/>
      <c r="E53" s="107"/>
      <c r="F53" s="107"/>
      <c r="G53" s="108" t="s">
        <v>576</v>
      </c>
      <c r="H53" s="105" t="n">
        <f aca="false">'[2]$ лето'!j53-'[2]$ лето'!au53-'[2]$ лето'!at53-'[2]$ лето'!as53-'[2]$ лето'!ar53-'[2]$ лето'!aq53-'[2]$ лето'!ap53-'[2]$ лето'!an53-'[2]$ лето'!am53-'[2]$ лето'!al53-'[2]$ лето'!ak53-'[2]$ лето'!aj53-'[2]$ лето'!ah53-'[2]$ лето'!ag53-'[2]$ лето'!af53-'[2]$ лето'!ae53-'[2]$ лето'!ad53-'[2]$ лето'!ab53-'[2]$ лето'!aa53-'[2]$ лето'!z53-'[2]$ лето'!y53-'[2]$ лето'!x53-'[2]$ лето'!v53-'[2]$ лето'!u53-'[2]$ лето'!t53-'[2]$ лето'!s53-'[2]$ лето'!r53-'[2]$ лето'!p53-'[2]$ лето'!o53-'[2]$ лето'!n53-'[2]$ лето'!m53-'[2]$ лето'!l53+'[2]$ лето'!k53+'[2]$ лето'!q53+'[2]$ лето'!w53+'[2]$ лето'!ac53+'[2]$ лето'!ai53+'[2]$ лето'!ao53</f>
        <v>0</v>
      </c>
      <c r="I53" s="109" t="n">
        <f aca="false">'[2]$ лето'!ay53*1.1</f>
        <v>1016.4</v>
      </c>
      <c r="J53" s="85" t="n">
        <v>2017</v>
      </c>
    </row>
    <row r="54" customFormat="false" ht="15" hidden="false" customHeight="false" outlineLevel="0" collapsed="false">
      <c r="A54" s="115" t="s">
        <v>628</v>
      </c>
      <c r="B54" s="115" t="s">
        <v>586</v>
      </c>
      <c r="C54" s="107" t="s">
        <v>587</v>
      </c>
      <c r="D54" s="107"/>
      <c r="E54" s="116" t="n">
        <v>86</v>
      </c>
      <c r="F54" s="116" t="s">
        <v>634</v>
      </c>
      <c r="G54" s="108" t="s">
        <v>520</v>
      </c>
      <c r="H54" s="105" t="n">
        <f aca="false">'[2]$ лето'!j54-'[2]$ лето'!au54-'[2]$ лето'!at54-'[2]$ лето'!as54-'[2]$ лето'!ar54-'[2]$ лето'!aq54-'[2]$ лето'!ap54-'[2]$ лето'!an54-'[2]$ лето'!am54-'[2]$ лето'!al54-'[2]$ лето'!ak54-'[2]$ лето'!aj54-'[2]$ лето'!ah54-'[2]$ лето'!ag54-'[2]$ лето'!af54-'[2]$ лето'!ae54-'[2]$ лето'!ad54-'[2]$ лето'!ab54-'[2]$ лето'!aa54-'[2]$ лето'!z54-'[2]$ лето'!y54-'[2]$ лето'!x54-'[2]$ лето'!v54-'[2]$ лето'!u54-'[2]$ лето'!t54-'[2]$ лето'!s54-'[2]$ лето'!r54-'[2]$ лето'!p54-'[2]$ лето'!o54-'[2]$ лето'!n54-'[2]$ лето'!m54-'[2]$ лето'!l54+'[2]$ лето'!k54+'[2]$ лето'!q54+'[2]$ лето'!w54+'[2]$ лето'!ac54+'[2]$ лето'!ai54+'[2]$ лето'!ao54</f>
        <v>4</v>
      </c>
      <c r="I54" s="109" t="n">
        <f aca="false">'[2]$ лето'!ay54*1.1</f>
        <v>893.2</v>
      </c>
    </row>
    <row r="55" customFormat="false" ht="15" hidden="false" customHeight="false" outlineLevel="0" collapsed="false">
      <c r="A55" s="120" t="s">
        <v>78</v>
      </c>
      <c r="B55" s="121"/>
      <c r="C55" s="122"/>
      <c r="D55" s="122"/>
      <c r="E55" s="122"/>
      <c r="F55" s="122"/>
      <c r="G55" s="104"/>
      <c r="H55" s="105"/>
      <c r="I55" s="105" t="n">
        <f aca="false">'[2]$ лето'!ay55*1.1</f>
        <v>0</v>
      </c>
    </row>
    <row r="56" customFormat="false" ht="15" hidden="false" customHeight="false" outlineLevel="0" collapsed="false">
      <c r="A56" s="115" t="s">
        <v>635</v>
      </c>
      <c r="B56" s="115" t="s">
        <v>568</v>
      </c>
      <c r="C56" s="116" t="s">
        <v>636</v>
      </c>
      <c r="D56" s="116"/>
      <c r="E56" s="116" t="n">
        <v>75</v>
      </c>
      <c r="F56" s="116" t="s">
        <v>562</v>
      </c>
      <c r="G56" s="108"/>
      <c r="H56" s="105" t="n">
        <f aca="false">'[2]$ лето'!j56-'[2]$ лето'!au56-'[2]$ лето'!at56-'[2]$ лето'!as56-'[2]$ лето'!ar56-'[2]$ лето'!aq56-'[2]$ лето'!ap56-'[2]$ лето'!an56-'[2]$ лето'!am56-'[2]$ лето'!al56-'[2]$ лето'!ak56-'[2]$ лето'!aj56-'[2]$ лето'!ah56-'[2]$ лето'!ag56-'[2]$ лето'!af56-'[2]$ лето'!ae56-'[2]$ лето'!ad56-'[2]$ лето'!ab56-'[2]$ лето'!aa56-'[2]$ лето'!z56-'[2]$ лето'!y56-'[2]$ лето'!x56-'[2]$ лето'!v56-'[2]$ лето'!u56-'[2]$ лето'!t56-'[2]$ лето'!s56-'[2]$ лето'!r56-'[2]$ лето'!p56-'[2]$ лето'!o56-'[2]$ лето'!n56-'[2]$ лето'!m56-'[2]$ лето'!l56+'[2]$ лето'!k56+'[2]$ лето'!q56+'[2]$ лето'!w56+'[2]$ лето'!ac56+'[2]$ лето'!ai56+'[2]$ лето'!ao56</f>
        <v>4</v>
      </c>
      <c r="I56" s="109" t="n">
        <f aca="false">'[2]$ лето'!ay56*1.1</f>
        <v>1047.2</v>
      </c>
    </row>
    <row r="57" customFormat="false" ht="15" hidden="false" customHeight="false" outlineLevel="0" collapsed="false">
      <c r="A57" s="115" t="s">
        <v>635</v>
      </c>
      <c r="B57" s="123" t="s">
        <v>583</v>
      </c>
      <c r="C57" s="116" t="s">
        <v>637</v>
      </c>
      <c r="D57" s="116"/>
      <c r="E57" s="116" t="n">
        <v>75</v>
      </c>
      <c r="F57" s="116" t="s">
        <v>562</v>
      </c>
      <c r="G57" s="108" t="s">
        <v>585</v>
      </c>
      <c r="H57" s="105" t="n">
        <f aca="false">'[2]$ лето'!j57-'[2]$ лето'!au57-'[2]$ лето'!at57-'[2]$ лето'!as57-'[2]$ лето'!ar57-'[2]$ лето'!aq57-'[2]$ лето'!ap57-'[2]$ лето'!an57-'[2]$ лето'!am57-'[2]$ лето'!al57-'[2]$ лето'!ak57-'[2]$ лето'!aj57-'[2]$ лето'!ah57-'[2]$ лето'!ag57-'[2]$ лето'!af57-'[2]$ лето'!ae57-'[2]$ лето'!ad57-'[2]$ лето'!ab57-'[2]$ лето'!aa57-'[2]$ лето'!z57-'[2]$ лето'!y57-'[2]$ лето'!x57-'[2]$ лето'!v57-'[2]$ лето'!u57-'[2]$ лето'!t57-'[2]$ лето'!s57-'[2]$ лето'!r57-'[2]$ лето'!p57-'[2]$ лето'!o57-'[2]$ лето'!n57-'[2]$ лето'!m57-'[2]$ лето'!l57+'[2]$ лето'!k57+'[2]$ лето'!q57+'[2]$ лето'!w57+'[2]$ лето'!ac57+'[2]$ лето'!ai57+'[2]$ лето'!ao57</f>
        <v>4</v>
      </c>
      <c r="I57" s="109" t="n">
        <f aca="false">'[2]$ лето'!ay57*1.1</f>
        <v>1016.4</v>
      </c>
      <c r="J57" s="85" t="n">
        <v>2017</v>
      </c>
    </row>
    <row r="58" customFormat="false" ht="15" hidden="false" customHeight="false" outlineLevel="0" collapsed="false">
      <c r="A58" s="115" t="s">
        <v>635</v>
      </c>
      <c r="B58" s="123" t="s">
        <v>583</v>
      </c>
      <c r="C58" s="116" t="s">
        <v>638</v>
      </c>
      <c r="D58" s="116"/>
      <c r="E58" s="116" t="n">
        <v>75</v>
      </c>
      <c r="F58" s="116" t="s">
        <v>562</v>
      </c>
      <c r="G58" s="108"/>
      <c r="H58" s="105" t="n">
        <f aca="false">'[2]$ лето'!j58-'[2]$ лето'!au58-'[2]$ лето'!at58-'[2]$ лето'!as58-'[2]$ лето'!ar58-'[2]$ лето'!aq58-'[2]$ лето'!ap58-'[2]$ лето'!an58-'[2]$ лето'!am58-'[2]$ лето'!al58-'[2]$ лето'!ak58-'[2]$ лето'!aj58-'[2]$ лето'!ah58-'[2]$ лето'!ag58-'[2]$ лето'!af58-'[2]$ лето'!ae58-'[2]$ лето'!ad58-'[2]$ лето'!ab58-'[2]$ лето'!aa58-'[2]$ лето'!z58-'[2]$ лето'!y58-'[2]$ лето'!x58-'[2]$ лето'!v58-'[2]$ лето'!u58-'[2]$ лето'!t58-'[2]$ лето'!s58-'[2]$ лето'!r58-'[2]$ лето'!p58-'[2]$ лето'!o58-'[2]$ лето'!n58-'[2]$ лето'!m58-'[2]$ лето'!l58+'[2]$ лето'!k58+'[2]$ лето'!q58+'[2]$ лето'!w58+'[2]$ лето'!ac58+'[2]$ лето'!ai58+'[2]$ лето'!ao58</f>
        <v>4</v>
      </c>
      <c r="I58" s="109" t="n">
        <f aca="false">'[2]$ лето'!ay58*1.1</f>
        <v>1047.2</v>
      </c>
    </row>
    <row r="59" customFormat="false" ht="15" hidden="false" customHeight="false" outlineLevel="0" collapsed="false">
      <c r="A59" s="115" t="s">
        <v>639</v>
      </c>
      <c r="B59" s="115" t="s">
        <v>568</v>
      </c>
      <c r="C59" s="116" t="s">
        <v>636</v>
      </c>
      <c r="D59" s="116"/>
      <c r="E59" s="116" t="n">
        <v>75</v>
      </c>
      <c r="F59" s="116" t="s">
        <v>562</v>
      </c>
      <c r="G59" s="108" t="s">
        <v>640</v>
      </c>
      <c r="H59" s="105" t="n">
        <f aca="false">'[2]$ лето'!j59-'[2]$ лето'!au59-'[2]$ лето'!at59-'[2]$ лето'!as59-'[2]$ лето'!ar59-'[2]$ лето'!aq59-'[2]$ лето'!ap59-'[2]$ лето'!an59-'[2]$ лето'!am59-'[2]$ лето'!al59-'[2]$ лето'!ak59-'[2]$ лето'!aj59-'[2]$ лето'!ah59-'[2]$ лето'!ag59-'[2]$ лето'!af59-'[2]$ лето'!ae59-'[2]$ лето'!ad59-'[2]$ лето'!ab59-'[2]$ лето'!aa59-'[2]$ лето'!z59-'[2]$ лето'!y59-'[2]$ лето'!x59-'[2]$ лето'!v59-'[2]$ лето'!u59-'[2]$ лето'!t59-'[2]$ лето'!s59-'[2]$ лето'!r59-'[2]$ лето'!p59-'[2]$ лето'!o59-'[2]$ лето'!n59-'[2]$ лето'!m59-'[2]$ лето'!l59+'[2]$ лето'!k59+'[2]$ лето'!q59+'[2]$ лето'!w59+'[2]$ лето'!ac59+'[2]$ лето'!ai59+'[2]$ лето'!ao59</f>
        <v>4</v>
      </c>
      <c r="I59" s="109" t="n">
        <f aca="false">'[2]$ лето'!ay59*1.1</f>
        <v>1355.2</v>
      </c>
      <c r="J59" s="85" t="n">
        <v>2016</v>
      </c>
    </row>
    <row r="60" customFormat="false" ht="15" hidden="true" customHeight="false" outlineLevel="0" collapsed="false">
      <c r="A60" s="115" t="s">
        <v>641</v>
      </c>
      <c r="B60" s="123" t="s">
        <v>604</v>
      </c>
      <c r="C60" s="116" t="s">
        <v>642</v>
      </c>
      <c r="D60" s="116"/>
      <c r="E60" s="116"/>
      <c r="F60" s="116"/>
      <c r="G60" s="108"/>
      <c r="H60" s="105" t="n">
        <f aca="false">'[2]$ лето'!j60-'[2]$ лето'!au60-'[2]$ лето'!at60-'[2]$ лето'!as60-'[2]$ лето'!ar60-'[2]$ лето'!aq60-'[2]$ лето'!ap60-'[2]$ лето'!an60-'[2]$ лето'!am60-'[2]$ лето'!al60-'[2]$ лето'!ak60-'[2]$ лето'!aj60-'[2]$ лето'!ah60-'[2]$ лето'!ag60-'[2]$ лето'!af60-'[2]$ лето'!ae60-'[2]$ лето'!ad60-'[2]$ лето'!ab60-'[2]$ лето'!aa60-'[2]$ лето'!z60-'[2]$ лето'!y60-'[2]$ лето'!x60-'[2]$ лето'!v60-'[2]$ лето'!u60-'[2]$ лето'!t60-'[2]$ лето'!s60-'[2]$ лето'!r60-'[2]$ лето'!p60-'[2]$ лето'!o60-'[2]$ лето'!n60-'[2]$ лето'!m60-'[2]$ лето'!l60+'[2]$ лето'!k60+'[2]$ лето'!q60+'[2]$ лето'!w60+'[2]$ лето'!ac60+'[2]$ лето'!ai60+'[2]$ лето'!ao60</f>
        <v>0</v>
      </c>
      <c r="I60" s="109" t="n">
        <f aca="false">'[2]$ лето'!ay60*1.1</f>
        <v>862.4</v>
      </c>
    </row>
    <row r="61" customFormat="false" ht="15" hidden="true" customHeight="false" outlineLevel="0" collapsed="false">
      <c r="A61" s="115" t="s">
        <v>641</v>
      </c>
      <c r="B61" s="123" t="s">
        <v>583</v>
      </c>
      <c r="C61" s="116" t="s">
        <v>643</v>
      </c>
      <c r="D61" s="116"/>
      <c r="E61" s="116"/>
      <c r="F61" s="116"/>
      <c r="G61" s="108"/>
      <c r="H61" s="105" t="n">
        <f aca="false">'[2]$ лето'!j61-'[2]$ лето'!au61-'[2]$ лето'!at61-'[2]$ лето'!as61-'[2]$ лето'!ar61-'[2]$ лето'!aq61-'[2]$ лето'!ap61-'[2]$ лето'!an61-'[2]$ лето'!am61-'[2]$ лето'!al61-'[2]$ лето'!ak61-'[2]$ лето'!aj61-'[2]$ лето'!ah61-'[2]$ лето'!ag61-'[2]$ лето'!af61-'[2]$ лето'!ae61-'[2]$ лето'!ad61-'[2]$ лето'!ab61-'[2]$ лето'!aa61-'[2]$ лето'!z61-'[2]$ лето'!y61-'[2]$ лето'!x61-'[2]$ лето'!v61-'[2]$ лето'!u61-'[2]$ лето'!t61-'[2]$ лето'!s61-'[2]$ лето'!r61-'[2]$ лето'!p61-'[2]$ лето'!o61-'[2]$ лето'!n61-'[2]$ лето'!m61-'[2]$ лето'!l61+'[2]$ лето'!k61+'[2]$ лето'!q61+'[2]$ лето'!w61+'[2]$ лето'!ac61+'[2]$ лето'!ai61+'[2]$ лето'!ao61</f>
        <v>0</v>
      </c>
      <c r="I61" s="109" t="n">
        <f aca="false">'[2]$ лето'!ay61*1.1</f>
        <v>0</v>
      </c>
    </row>
    <row r="62" customFormat="false" ht="15" hidden="true" customHeight="false" outlineLevel="0" collapsed="false">
      <c r="A62" s="115" t="s">
        <v>641</v>
      </c>
      <c r="B62" s="115" t="s">
        <v>589</v>
      </c>
      <c r="C62" s="116" t="n">
        <v>350</v>
      </c>
      <c r="D62" s="116"/>
      <c r="E62" s="116"/>
      <c r="F62" s="116"/>
      <c r="G62" s="108"/>
      <c r="H62" s="105" t="n">
        <f aca="false">'[2]$ лето'!j62-'[2]$ лето'!au62-'[2]$ лето'!at62-'[2]$ лето'!as62-'[2]$ лето'!ar62-'[2]$ лето'!aq62-'[2]$ лето'!ap62-'[2]$ лето'!an62-'[2]$ лето'!am62-'[2]$ лето'!al62-'[2]$ лето'!ak62-'[2]$ лето'!aj62-'[2]$ лето'!ah62-'[2]$ лето'!ag62-'[2]$ лето'!af62-'[2]$ лето'!ae62-'[2]$ лето'!ad62-'[2]$ лето'!ab62-'[2]$ лето'!aa62-'[2]$ лето'!z62-'[2]$ лето'!y62-'[2]$ лето'!x62-'[2]$ лето'!v62-'[2]$ лето'!u62-'[2]$ лето'!t62-'[2]$ лето'!s62-'[2]$ лето'!r62-'[2]$ лето'!p62-'[2]$ лето'!o62-'[2]$ лето'!n62-'[2]$ лето'!m62-'[2]$ лето'!l62+'[2]$ лето'!k62+'[2]$ лето'!q62+'[2]$ лето'!w62+'[2]$ лето'!ac62+'[2]$ лето'!ai62+'[2]$ лето'!ao62</f>
        <v>0</v>
      </c>
      <c r="I62" s="109" t="n">
        <f aca="false">'[2]$ лето'!ay62*1.1</f>
        <v>770</v>
      </c>
    </row>
    <row r="63" customFormat="false" ht="15" hidden="true" customHeight="false" outlineLevel="0" collapsed="false">
      <c r="A63" s="115" t="s">
        <v>79</v>
      </c>
      <c r="B63" s="115" t="s">
        <v>568</v>
      </c>
      <c r="C63" s="107" t="s">
        <v>644</v>
      </c>
      <c r="D63" s="107"/>
      <c r="E63" s="107"/>
      <c r="F63" s="107"/>
      <c r="G63" s="108"/>
      <c r="H63" s="105" t="n">
        <f aca="false">'[2]$ лето'!j63-'[2]$ лето'!au63-'[2]$ лето'!at63-'[2]$ лето'!as63-'[2]$ лето'!ar63-'[2]$ лето'!aq63-'[2]$ лето'!ap63-'[2]$ лето'!an63-'[2]$ лето'!am63-'[2]$ лето'!al63-'[2]$ лето'!ak63-'[2]$ лето'!aj63-'[2]$ лето'!ah63-'[2]$ лето'!ag63-'[2]$ лето'!af63-'[2]$ лето'!ae63-'[2]$ лето'!ad63-'[2]$ лето'!ab63-'[2]$ лето'!aa63-'[2]$ лето'!z63-'[2]$ лето'!y63-'[2]$ лето'!x63-'[2]$ лето'!v63-'[2]$ лето'!u63-'[2]$ лето'!t63-'[2]$ лето'!s63-'[2]$ лето'!r63-'[2]$ лето'!p63-'[2]$ лето'!o63-'[2]$ лето'!n63-'[2]$ лето'!m63-'[2]$ лето'!l63+'[2]$ лето'!k63+'[2]$ лето'!q63+'[2]$ лето'!w63+'[2]$ лето'!ac63+'[2]$ лето'!ai63+'[2]$ лето'!ao63</f>
        <v>0</v>
      </c>
      <c r="I63" s="109" t="n">
        <f aca="false">'[2]$ лето'!ay63*1.1</f>
        <v>0</v>
      </c>
    </row>
    <row r="64" customFormat="false" ht="15" hidden="false" customHeight="false" outlineLevel="0" collapsed="false">
      <c r="A64" s="115" t="s">
        <v>79</v>
      </c>
      <c r="B64" s="115" t="s">
        <v>555</v>
      </c>
      <c r="C64" s="119" t="s">
        <v>645</v>
      </c>
      <c r="D64" s="119"/>
      <c r="E64" s="119" t="n">
        <v>82</v>
      </c>
      <c r="F64" s="119" t="s">
        <v>562</v>
      </c>
      <c r="G64" s="108"/>
      <c r="H64" s="105" t="n">
        <f aca="false">'[2]$ лето'!j64-'[2]$ лето'!au64-'[2]$ лето'!at64-'[2]$ лето'!as64-'[2]$ лето'!ar64-'[2]$ лето'!aq64-'[2]$ лето'!ap64-'[2]$ лето'!an64-'[2]$ лето'!am64-'[2]$ лето'!al64-'[2]$ лето'!ak64-'[2]$ лето'!aj64-'[2]$ лето'!ah64-'[2]$ лето'!ag64-'[2]$ лето'!af64-'[2]$ лето'!ae64-'[2]$ лето'!ad64-'[2]$ лето'!ab64-'[2]$ лето'!aa64-'[2]$ лето'!z64-'[2]$ лето'!y64-'[2]$ лето'!x64-'[2]$ лето'!v64-'[2]$ лето'!u64-'[2]$ лето'!t64-'[2]$ лето'!s64-'[2]$ лето'!r64-'[2]$ лето'!p64-'[2]$ лето'!o64-'[2]$ лето'!n64-'[2]$ лето'!m64-'[2]$ лето'!l64+'[2]$ лето'!k64+'[2]$ лето'!q64+'[2]$ лето'!w64+'[2]$ лето'!ac64+'[2]$ лето'!ai64+'[2]$ лето'!ao64</f>
        <v>4</v>
      </c>
      <c r="I64" s="109" t="n">
        <f aca="false">'[2]$ лето'!ay64*1.1</f>
        <v>1078</v>
      </c>
    </row>
    <row r="65" customFormat="false" ht="15" hidden="true" customHeight="false" outlineLevel="0" collapsed="false">
      <c r="A65" s="115" t="s">
        <v>79</v>
      </c>
      <c r="B65" s="115" t="s">
        <v>646</v>
      </c>
      <c r="C65" s="116" t="s">
        <v>562</v>
      </c>
      <c r="D65" s="116"/>
      <c r="E65" s="116"/>
      <c r="F65" s="116"/>
      <c r="G65" s="108"/>
      <c r="H65" s="105" t="n">
        <f aca="false">'[2]$ лето'!j65-'[2]$ лето'!au65-'[2]$ лето'!at65-'[2]$ лето'!as65-'[2]$ лето'!ar65-'[2]$ лето'!aq65-'[2]$ лето'!ap65-'[2]$ лето'!an65-'[2]$ лето'!am65-'[2]$ лето'!al65-'[2]$ лето'!ak65-'[2]$ лето'!aj65-'[2]$ лето'!ah65-'[2]$ лето'!ag65-'[2]$ лето'!af65-'[2]$ лето'!ae65-'[2]$ лето'!ad65-'[2]$ лето'!ab65-'[2]$ лето'!aa65-'[2]$ лето'!z65-'[2]$ лето'!y65-'[2]$ лето'!x65-'[2]$ лето'!v65-'[2]$ лето'!u65-'[2]$ лето'!t65-'[2]$ лето'!s65-'[2]$ лето'!r65-'[2]$ лето'!p65-'[2]$ лето'!o65-'[2]$ лето'!n65-'[2]$ лето'!m65-'[2]$ лето'!l65+'[2]$ лето'!k65+'[2]$ лето'!q65+'[2]$ лето'!w65+'[2]$ лето'!ac65+'[2]$ лето'!ai65+'[2]$ лето'!ao65</f>
        <v>0</v>
      </c>
      <c r="I65" s="109" t="n">
        <f aca="false">'[2]$ лето'!ay65*1.1</f>
        <v>800.8</v>
      </c>
    </row>
    <row r="66" customFormat="false" ht="15" hidden="true" customHeight="false" outlineLevel="0" collapsed="false">
      <c r="A66" s="115" t="s">
        <v>79</v>
      </c>
      <c r="B66" s="115" t="s">
        <v>604</v>
      </c>
      <c r="C66" s="116" t="s">
        <v>647</v>
      </c>
      <c r="D66" s="116"/>
      <c r="E66" s="116"/>
      <c r="F66" s="116"/>
      <c r="G66" s="108"/>
      <c r="H66" s="105" t="n">
        <f aca="false">'[2]$ лето'!j66-'[2]$ лето'!au66-'[2]$ лето'!at66-'[2]$ лето'!as66-'[2]$ лето'!ar66-'[2]$ лето'!aq66-'[2]$ лето'!ap66-'[2]$ лето'!an66-'[2]$ лето'!am66-'[2]$ лето'!al66-'[2]$ лето'!ak66-'[2]$ лето'!aj66-'[2]$ лето'!ah66-'[2]$ лето'!ag66-'[2]$ лето'!af66-'[2]$ лето'!ae66-'[2]$ лето'!ad66-'[2]$ лето'!ab66-'[2]$ лето'!aa66-'[2]$ лето'!z66-'[2]$ лето'!y66-'[2]$ лето'!x66-'[2]$ лето'!v66-'[2]$ лето'!u66-'[2]$ лето'!t66-'[2]$ лето'!s66-'[2]$ лето'!r66-'[2]$ лето'!p66-'[2]$ лето'!o66-'[2]$ лето'!n66-'[2]$ лето'!m66-'[2]$ лето'!l66+'[2]$ лето'!k66+'[2]$ лето'!q66+'[2]$ лето'!w66+'[2]$ лето'!ac66+'[2]$ лето'!ai66+'[2]$ лето'!ao66</f>
        <v>0</v>
      </c>
      <c r="I66" s="109" t="n">
        <f aca="false">'[2]$ лето'!ay66*1.1</f>
        <v>1139.6</v>
      </c>
      <c r="J66" s="85" t="n">
        <v>2017</v>
      </c>
    </row>
    <row r="67" customFormat="false" ht="15" hidden="false" customHeight="false" outlineLevel="0" collapsed="false">
      <c r="A67" s="115" t="s">
        <v>79</v>
      </c>
      <c r="B67" s="115" t="s">
        <v>574</v>
      </c>
      <c r="C67" s="116" t="s">
        <v>648</v>
      </c>
      <c r="D67" s="116"/>
      <c r="E67" s="116" t="n">
        <v>81</v>
      </c>
      <c r="F67" s="116" t="s">
        <v>562</v>
      </c>
      <c r="G67" s="108" t="s">
        <v>576</v>
      </c>
      <c r="H67" s="105" t="n">
        <f aca="false">'[2]$ лето'!j67-'[2]$ лето'!au67-'[2]$ лето'!at67-'[2]$ лето'!as67-'[2]$ лето'!ar67-'[2]$ лето'!aq67-'[2]$ лето'!ap67-'[2]$ лето'!an67-'[2]$ лето'!am67-'[2]$ лето'!al67-'[2]$ лето'!ak67-'[2]$ лето'!aj67-'[2]$ лето'!ah67-'[2]$ лето'!ag67-'[2]$ лето'!af67-'[2]$ лето'!ae67-'[2]$ лето'!ad67-'[2]$ лето'!ab67-'[2]$ лето'!aa67-'[2]$ лето'!z67-'[2]$ лето'!y67-'[2]$ лето'!x67-'[2]$ лето'!v67-'[2]$ лето'!u67-'[2]$ лето'!t67-'[2]$ лето'!s67-'[2]$ лето'!r67-'[2]$ лето'!p67-'[2]$ лето'!o67-'[2]$ лето'!n67-'[2]$ лето'!m67-'[2]$ лето'!l67+'[2]$ лето'!k67+'[2]$ лето'!q67+'[2]$ лето'!w67+'[2]$ лето'!ac67+'[2]$ лето'!ai67+'[2]$ лето'!ao67</f>
        <v>4</v>
      </c>
      <c r="I67" s="109" t="n">
        <f aca="false">'[2]$ лето'!ay67*1.1</f>
        <v>1062.16</v>
      </c>
      <c r="J67" s="85" t="n">
        <v>2017</v>
      </c>
    </row>
    <row r="68" customFormat="false" ht="15" hidden="false" customHeight="false" outlineLevel="0" collapsed="false">
      <c r="A68" s="115" t="s">
        <v>79</v>
      </c>
      <c r="B68" s="115" t="s">
        <v>583</v>
      </c>
      <c r="C68" s="116" t="s">
        <v>649</v>
      </c>
      <c r="D68" s="116"/>
      <c r="E68" s="116" t="n">
        <v>81</v>
      </c>
      <c r="F68" s="116" t="s">
        <v>562</v>
      </c>
      <c r="G68" s="108" t="s">
        <v>585</v>
      </c>
      <c r="H68" s="105" t="n">
        <f aca="false">'[2]$ лето'!j68-'[2]$ лето'!au68-'[2]$ лето'!at68-'[2]$ лето'!as68-'[2]$ лето'!ar68-'[2]$ лето'!aq68-'[2]$ лето'!ap68-'[2]$ лето'!an68-'[2]$ лето'!am68-'[2]$ лето'!al68-'[2]$ лето'!ak68-'[2]$ лето'!aj68-'[2]$ лето'!ah68-'[2]$ лето'!ag68-'[2]$ лето'!af68-'[2]$ лето'!ae68-'[2]$ лето'!ad68-'[2]$ лето'!ab68-'[2]$ лето'!aa68-'[2]$ лето'!z68-'[2]$ лето'!y68-'[2]$ лето'!x68-'[2]$ лето'!v68-'[2]$ лето'!u68-'[2]$ лето'!t68-'[2]$ лето'!s68-'[2]$ лето'!r68-'[2]$ лето'!p68-'[2]$ лето'!o68-'[2]$ лето'!n68-'[2]$ лето'!m68-'[2]$ лето'!l68+'[2]$ лето'!k68+'[2]$ лето'!q68+'[2]$ лето'!w68+'[2]$ лето'!ac68+'[2]$ лето'!ai68+'[2]$ лето'!ao68</f>
        <v>2</v>
      </c>
      <c r="I68" s="109" t="n">
        <f aca="false">'[2]$ лето'!ay68*1.1</f>
        <v>954.8</v>
      </c>
    </row>
    <row r="69" customFormat="false" ht="15" hidden="false" customHeight="false" outlineLevel="0" collapsed="false">
      <c r="A69" s="115" t="s">
        <v>79</v>
      </c>
      <c r="B69" s="115" t="s">
        <v>583</v>
      </c>
      <c r="C69" s="116" t="s">
        <v>650</v>
      </c>
      <c r="D69" s="116"/>
      <c r="E69" s="116" t="n">
        <v>81</v>
      </c>
      <c r="F69" s="116" t="s">
        <v>562</v>
      </c>
      <c r="G69" s="108" t="s">
        <v>585</v>
      </c>
      <c r="H69" s="105" t="n">
        <f aca="false">'[2]$ лето'!j69-'[2]$ лето'!au69-'[2]$ лето'!at69-'[2]$ лето'!as69-'[2]$ лето'!ar69-'[2]$ лето'!aq69-'[2]$ лето'!ap69-'[2]$ лето'!an69-'[2]$ лето'!am69-'[2]$ лето'!al69-'[2]$ лето'!ak69-'[2]$ лето'!aj69-'[2]$ лето'!ah69-'[2]$ лето'!ag69-'[2]$ лето'!af69-'[2]$ лето'!ae69-'[2]$ лето'!ad69-'[2]$ лето'!ab69-'[2]$ лето'!aa69-'[2]$ лето'!z69-'[2]$ лето'!y69-'[2]$ лето'!x69-'[2]$ лето'!v69-'[2]$ лето'!u69-'[2]$ лето'!t69-'[2]$ лето'!s69-'[2]$ лето'!r69-'[2]$ лето'!p69-'[2]$ лето'!o69-'[2]$ лето'!n69-'[2]$ лето'!m69-'[2]$ лето'!l69+'[2]$ лето'!k69+'[2]$ лето'!q69+'[2]$ лето'!w69+'[2]$ лето'!ac69+'[2]$ лето'!ai69+'[2]$ лето'!ao69</f>
        <v>4</v>
      </c>
      <c r="I69" s="109" t="n">
        <f aca="false">'[2]$ лето'!ay69*1.1</f>
        <v>985.6</v>
      </c>
      <c r="J69" s="85" t="n">
        <v>2018</v>
      </c>
    </row>
    <row r="70" customFormat="false" ht="15" hidden="false" customHeight="false" outlineLevel="0" collapsed="false">
      <c r="A70" s="115" t="s">
        <v>79</v>
      </c>
      <c r="B70" s="115" t="s">
        <v>593</v>
      </c>
      <c r="C70" s="116" t="s">
        <v>651</v>
      </c>
      <c r="D70" s="116"/>
      <c r="E70" s="116"/>
      <c r="F70" s="116"/>
      <c r="G70" s="108"/>
      <c r="H70" s="105" t="n">
        <f aca="false">'[2]$ лето'!j70-'[2]$ лето'!au70-'[2]$ лето'!at70-'[2]$ лето'!as70-'[2]$ лето'!ar70-'[2]$ лето'!aq70-'[2]$ лето'!ap70-'[2]$ лето'!an70-'[2]$ лето'!am70-'[2]$ лето'!al70-'[2]$ лето'!ak70-'[2]$ лето'!aj70-'[2]$ лето'!ah70-'[2]$ лето'!ag70-'[2]$ лето'!af70-'[2]$ лето'!ae70-'[2]$ лето'!ad70-'[2]$ лето'!ab70-'[2]$ лето'!aa70-'[2]$ лето'!z70-'[2]$ лето'!y70-'[2]$ лето'!x70-'[2]$ лето'!v70-'[2]$ лето'!u70-'[2]$ лето'!t70-'[2]$ лето'!s70-'[2]$ лето'!r70-'[2]$ лето'!p70-'[2]$ лето'!o70-'[2]$ лето'!n70-'[2]$ лето'!m70-'[2]$ лето'!l70+'[2]$ лето'!k70+'[2]$ лето'!q70+'[2]$ лето'!w70+'[2]$ лето'!ac70+'[2]$ лето'!ai70+'[2]$ лето'!ao70</f>
        <v>6</v>
      </c>
      <c r="I70" s="109" t="n">
        <f aca="false">'[2]$ лето'!ay70*1.1</f>
        <v>1177</v>
      </c>
    </row>
    <row r="71" customFormat="false" ht="15" hidden="false" customHeight="false" outlineLevel="0" collapsed="false">
      <c r="A71" s="115" t="s">
        <v>79</v>
      </c>
      <c r="B71" s="115" t="s">
        <v>652</v>
      </c>
      <c r="C71" s="116" t="s">
        <v>653</v>
      </c>
      <c r="D71" s="116"/>
      <c r="E71" s="116"/>
      <c r="F71" s="116"/>
      <c r="G71" s="108"/>
      <c r="H71" s="105" t="n">
        <f aca="false">'[2]$ лето'!j71-'[2]$ лето'!au71-'[2]$ лето'!at71-'[2]$ лето'!as71-'[2]$ лето'!ar71-'[2]$ лето'!aq71-'[2]$ лето'!ap71-'[2]$ лето'!an71-'[2]$ лето'!am71-'[2]$ лето'!al71-'[2]$ лето'!ak71-'[2]$ лето'!aj71-'[2]$ лето'!ah71-'[2]$ лето'!ag71-'[2]$ лето'!af71-'[2]$ лето'!ae71-'[2]$ лето'!ad71-'[2]$ лето'!ab71-'[2]$ лето'!aa71-'[2]$ лето'!z71-'[2]$ лето'!y71-'[2]$ лето'!x71-'[2]$ лето'!v71-'[2]$ лето'!u71-'[2]$ лето'!t71-'[2]$ лето'!s71-'[2]$ лето'!r71-'[2]$ лето'!p71-'[2]$ лето'!o71-'[2]$ лето'!n71-'[2]$ лето'!m71-'[2]$ лето'!l71+'[2]$ лето'!k71+'[2]$ лето'!q71+'[2]$ лето'!w71+'[2]$ лето'!ac71+'[2]$ лето'!ai71+'[2]$ лето'!ao71</f>
        <v>4</v>
      </c>
      <c r="I71" s="109" t="n">
        <f aca="false">'[2]$ лето'!ay71*1.1</f>
        <v>954.8</v>
      </c>
    </row>
    <row r="72" customFormat="false" ht="15" hidden="false" customHeight="false" outlineLevel="0" collapsed="false">
      <c r="A72" s="115" t="s">
        <v>79</v>
      </c>
      <c r="B72" s="115" t="s">
        <v>621</v>
      </c>
      <c r="C72" s="116" t="s">
        <v>654</v>
      </c>
      <c r="D72" s="116"/>
      <c r="E72" s="116" t="n">
        <v>81</v>
      </c>
      <c r="F72" s="116" t="s">
        <v>562</v>
      </c>
      <c r="G72" s="108" t="s">
        <v>520</v>
      </c>
      <c r="H72" s="105" t="n">
        <f aca="false">'[2]$ лето'!j72-'[2]$ лето'!au72-'[2]$ лето'!at72-'[2]$ лето'!as72-'[2]$ лето'!ar72-'[2]$ лето'!aq72-'[2]$ лето'!ap72-'[2]$ лето'!an72-'[2]$ лето'!am72-'[2]$ лето'!al72-'[2]$ лето'!ak72-'[2]$ лето'!aj72-'[2]$ лето'!ah72-'[2]$ лето'!ag72-'[2]$ лето'!af72-'[2]$ лето'!ae72-'[2]$ лето'!ad72-'[2]$ лето'!ab72-'[2]$ лето'!aa72-'[2]$ лето'!z72-'[2]$ лето'!y72-'[2]$ лето'!x72-'[2]$ лето'!v72-'[2]$ лето'!u72-'[2]$ лето'!t72-'[2]$ лето'!s72-'[2]$ лето'!r72-'[2]$ лето'!p72-'[2]$ лето'!o72-'[2]$ лето'!n72-'[2]$ лето'!m72-'[2]$ лето'!l72+'[2]$ лето'!k72+'[2]$ лето'!q72+'[2]$ лето'!w72+'[2]$ лето'!ac72+'[2]$ лето'!ai72+'[2]$ лето'!ao72</f>
        <v>4</v>
      </c>
      <c r="I72" s="109" t="n">
        <f aca="false">'[2]$ лето'!ay72*1.1</f>
        <v>862.4</v>
      </c>
      <c r="J72" s="85" t="n">
        <v>2017</v>
      </c>
    </row>
    <row r="73" customFormat="false" ht="15" hidden="false" customHeight="false" outlineLevel="0" collapsed="false">
      <c r="A73" s="115" t="s">
        <v>79</v>
      </c>
      <c r="B73" s="115" t="s">
        <v>564</v>
      </c>
      <c r="C73" s="116" t="s">
        <v>655</v>
      </c>
      <c r="D73" s="116"/>
      <c r="E73" s="116" t="n">
        <v>85</v>
      </c>
      <c r="F73" s="116" t="s">
        <v>562</v>
      </c>
      <c r="G73" s="108" t="s">
        <v>520</v>
      </c>
      <c r="H73" s="105" t="n">
        <f aca="false">'[2]$ лето'!j73-'[2]$ лето'!au73-'[2]$ лето'!at73-'[2]$ лето'!as73-'[2]$ лето'!ar73-'[2]$ лето'!aq73-'[2]$ лето'!ap73-'[2]$ лето'!an73-'[2]$ лето'!am73-'[2]$ лето'!al73-'[2]$ лето'!ak73-'[2]$ лето'!aj73-'[2]$ лето'!ah73-'[2]$ лето'!ag73-'[2]$ лето'!af73-'[2]$ лето'!ae73-'[2]$ лето'!ad73-'[2]$ лето'!ab73-'[2]$ лето'!aa73-'[2]$ лето'!z73-'[2]$ лето'!y73-'[2]$ лето'!x73-'[2]$ лето'!v73-'[2]$ лето'!u73-'[2]$ лето'!t73-'[2]$ лето'!s73-'[2]$ лето'!r73-'[2]$ лето'!p73-'[2]$ лето'!o73-'[2]$ лето'!n73-'[2]$ лето'!m73-'[2]$ лето'!l73+'[2]$ лето'!k73+'[2]$ лето'!q73+'[2]$ лето'!w73+'[2]$ лето'!ac73+'[2]$ лето'!ai73+'[2]$ лето'!ao73</f>
        <v>4</v>
      </c>
      <c r="I73" s="109" t="n">
        <f aca="false">'[2]$ лето'!ay73*1.1</f>
        <v>862.4</v>
      </c>
    </row>
    <row r="74" customFormat="false" ht="15" hidden="true" customHeight="false" outlineLevel="0" collapsed="false">
      <c r="A74" s="115" t="s">
        <v>81</v>
      </c>
      <c r="B74" s="115" t="s">
        <v>566</v>
      </c>
      <c r="C74" s="116" t="s">
        <v>656</v>
      </c>
      <c r="D74" s="116"/>
      <c r="E74" s="116"/>
      <c r="F74" s="116"/>
      <c r="G74" s="108" t="s">
        <v>563</v>
      </c>
      <c r="H74" s="105" t="n">
        <f aca="false">'[2]$ лето'!j74-'[2]$ лето'!au74-'[2]$ лето'!at74-'[2]$ лето'!as74-'[2]$ лето'!ar74-'[2]$ лето'!aq74-'[2]$ лето'!ap74-'[2]$ лето'!an74-'[2]$ лето'!am74-'[2]$ лето'!al74-'[2]$ лето'!ak74-'[2]$ лето'!aj74-'[2]$ лето'!ah74-'[2]$ лето'!ag74-'[2]$ лето'!af74-'[2]$ лето'!ae74-'[2]$ лето'!ad74-'[2]$ лето'!ab74-'[2]$ лето'!aa74-'[2]$ лето'!z74-'[2]$ лето'!y74-'[2]$ лето'!x74-'[2]$ лето'!v74-'[2]$ лето'!u74-'[2]$ лето'!t74-'[2]$ лето'!s74-'[2]$ лето'!r74-'[2]$ лето'!p74-'[2]$ лето'!o74-'[2]$ лето'!n74-'[2]$ лето'!m74-'[2]$ лето'!l74+'[2]$ лето'!k74+'[2]$ лето'!q74+'[2]$ лето'!w74+'[2]$ лето'!ac74+'[2]$ лето'!ai74+'[2]$ лето'!ao74</f>
        <v>0</v>
      </c>
      <c r="I74" s="109" t="n">
        <f aca="false">'[2]$ лето'!ay74*1.1</f>
        <v>816.2</v>
      </c>
    </row>
    <row r="75" customFormat="false" ht="15" hidden="true" customHeight="false" outlineLevel="0" collapsed="false">
      <c r="A75" s="115" t="s">
        <v>81</v>
      </c>
      <c r="B75" s="115" t="s">
        <v>568</v>
      </c>
      <c r="C75" s="116" t="s">
        <v>644</v>
      </c>
      <c r="D75" s="116"/>
      <c r="E75" s="116"/>
      <c r="F75" s="116"/>
      <c r="G75" s="108"/>
      <c r="H75" s="105" t="n">
        <f aca="false">'[2]$ лето'!j75-'[2]$ лето'!au75-'[2]$ лето'!at75-'[2]$ лето'!as75-'[2]$ лето'!ar75-'[2]$ лето'!aq75-'[2]$ лето'!ap75-'[2]$ лето'!an75-'[2]$ лето'!am75-'[2]$ лето'!al75-'[2]$ лето'!ak75-'[2]$ лето'!aj75-'[2]$ лето'!ah75-'[2]$ лето'!ag75-'[2]$ лето'!af75-'[2]$ лето'!ae75-'[2]$ лето'!ad75-'[2]$ лето'!ab75-'[2]$ лето'!aa75-'[2]$ лето'!z75-'[2]$ лето'!y75-'[2]$ лето'!x75-'[2]$ лето'!v75-'[2]$ лето'!u75-'[2]$ лето'!t75-'[2]$ лето'!s75-'[2]$ лето'!r75-'[2]$ лето'!p75-'[2]$ лето'!o75-'[2]$ лето'!n75-'[2]$ лето'!m75-'[2]$ лето'!l75+'[2]$ лето'!k75+'[2]$ лето'!q75+'[2]$ лето'!w75+'[2]$ лето'!ac75+'[2]$ лето'!ai75+'[2]$ лето'!ao75</f>
        <v>0</v>
      </c>
      <c r="I75" s="109" t="n">
        <f aca="false">'[2]$ лето'!ay75*1.1</f>
        <v>862.4</v>
      </c>
    </row>
    <row r="76" customFormat="false" ht="15" hidden="true" customHeight="false" outlineLevel="0" collapsed="false">
      <c r="A76" s="115" t="s">
        <v>81</v>
      </c>
      <c r="B76" s="115" t="s">
        <v>601</v>
      </c>
      <c r="C76" s="116" t="s">
        <v>657</v>
      </c>
      <c r="D76" s="116"/>
      <c r="E76" s="116"/>
      <c r="F76" s="116"/>
      <c r="G76" s="108"/>
      <c r="H76" s="105" t="n">
        <f aca="false">'[2]$ лето'!j76-'[2]$ лето'!au76-'[2]$ лето'!at76-'[2]$ лето'!as76-'[2]$ лето'!ar76-'[2]$ лето'!aq76-'[2]$ лето'!ap76-'[2]$ лето'!an76-'[2]$ лето'!am76-'[2]$ лето'!al76-'[2]$ лето'!ak76-'[2]$ лето'!aj76-'[2]$ лето'!ah76-'[2]$ лето'!ag76-'[2]$ лето'!af76-'[2]$ лето'!ae76-'[2]$ лето'!ad76-'[2]$ лето'!ab76-'[2]$ лето'!aa76-'[2]$ лето'!z76-'[2]$ лето'!y76-'[2]$ лето'!x76-'[2]$ лето'!v76-'[2]$ лето'!u76-'[2]$ лето'!t76-'[2]$ лето'!s76-'[2]$ лето'!r76-'[2]$ лето'!p76-'[2]$ лето'!o76-'[2]$ лето'!n76-'[2]$ лето'!m76-'[2]$ лето'!l76+'[2]$ лето'!k76+'[2]$ лето'!q76+'[2]$ лето'!w76+'[2]$ лето'!ac76+'[2]$ лето'!ai76+'[2]$ лето'!ao76</f>
        <v>0</v>
      </c>
      <c r="I76" s="109" t="n">
        <f aca="false">'[2]$ лето'!ay76*1.1</f>
        <v>1047.2</v>
      </c>
    </row>
    <row r="77" customFormat="false" ht="15" hidden="true" customHeight="false" outlineLevel="0" collapsed="false">
      <c r="A77" s="115" t="s">
        <v>81</v>
      </c>
      <c r="B77" s="115" t="s">
        <v>658</v>
      </c>
      <c r="C77" s="116" t="s">
        <v>659</v>
      </c>
      <c r="D77" s="116"/>
      <c r="E77" s="116"/>
      <c r="F77" s="116"/>
      <c r="G77" s="108"/>
      <c r="H77" s="105" t="n">
        <f aca="false">'[2]$ лето'!j77-'[2]$ лето'!au77-'[2]$ лето'!at77-'[2]$ лето'!as77-'[2]$ лето'!ar77-'[2]$ лето'!aq77-'[2]$ лето'!ap77-'[2]$ лето'!an77-'[2]$ лето'!am77-'[2]$ лето'!al77-'[2]$ лето'!ak77-'[2]$ лето'!aj77-'[2]$ лето'!ah77-'[2]$ лето'!ag77-'[2]$ лето'!af77-'[2]$ лето'!ae77-'[2]$ лето'!ad77-'[2]$ лето'!ab77-'[2]$ лето'!aa77-'[2]$ лето'!z77-'[2]$ лето'!y77-'[2]$ лето'!x77-'[2]$ лето'!v77-'[2]$ лето'!u77-'[2]$ лето'!t77-'[2]$ лето'!s77-'[2]$ лето'!r77-'[2]$ лето'!p77-'[2]$ лето'!o77-'[2]$ лето'!n77-'[2]$ лето'!m77-'[2]$ лето'!l77+'[2]$ лето'!k77+'[2]$ лето'!q77+'[2]$ лето'!w77+'[2]$ лето'!ac77+'[2]$ лето'!ai77+'[2]$ лето'!ao77</f>
        <v>0</v>
      </c>
      <c r="I77" s="109" t="n">
        <f aca="false">'[2]$ лето'!ay77*1.1</f>
        <v>1139.6</v>
      </c>
    </row>
    <row r="78" customFormat="false" ht="15" hidden="true" customHeight="false" outlineLevel="0" collapsed="false">
      <c r="A78" s="115" t="s">
        <v>81</v>
      </c>
      <c r="B78" s="115" t="s">
        <v>555</v>
      </c>
      <c r="C78" s="116" t="s">
        <v>660</v>
      </c>
      <c r="D78" s="116"/>
      <c r="E78" s="116"/>
      <c r="F78" s="116"/>
      <c r="G78" s="108"/>
      <c r="H78" s="105" t="n">
        <f aca="false">'[2]$ лето'!j78-'[2]$ лето'!au78-'[2]$ лето'!at78-'[2]$ лето'!as78-'[2]$ лето'!ar78-'[2]$ лето'!aq78-'[2]$ лето'!ap78-'[2]$ лето'!an78-'[2]$ лето'!am78-'[2]$ лето'!al78-'[2]$ лето'!ak78-'[2]$ лето'!aj78-'[2]$ лето'!ah78-'[2]$ лето'!ag78-'[2]$ лето'!af78-'[2]$ лето'!ae78-'[2]$ лето'!ad78-'[2]$ лето'!ab78-'[2]$ лето'!aa78-'[2]$ лето'!z78-'[2]$ лето'!y78-'[2]$ лето'!x78-'[2]$ лето'!v78-'[2]$ лето'!u78-'[2]$ лето'!t78-'[2]$ лето'!s78-'[2]$ лето'!r78-'[2]$ лето'!p78-'[2]$ лето'!o78-'[2]$ лето'!n78-'[2]$ лето'!m78-'[2]$ лето'!l78+'[2]$ лето'!k78+'[2]$ лето'!q78+'[2]$ лето'!w78+'[2]$ лето'!ac78+'[2]$ лето'!ai78+'[2]$ лето'!ao78</f>
        <v>0</v>
      </c>
      <c r="I78" s="109" t="n">
        <f aca="false">'[2]$ лето'!ay78*1.1</f>
        <v>800.8</v>
      </c>
      <c r="J78" s="85" t="s">
        <v>661</v>
      </c>
    </row>
    <row r="79" customFormat="false" ht="15" hidden="false" customHeight="false" outlineLevel="0" collapsed="false">
      <c r="A79" s="115" t="s">
        <v>81</v>
      </c>
      <c r="B79" s="115" t="s">
        <v>555</v>
      </c>
      <c r="C79" s="119" t="s">
        <v>662</v>
      </c>
      <c r="D79" s="119"/>
      <c r="E79" s="119" t="n">
        <v>82</v>
      </c>
      <c r="F79" s="119" t="s">
        <v>562</v>
      </c>
      <c r="G79" s="108" t="s">
        <v>663</v>
      </c>
      <c r="H79" s="105" t="n">
        <f aca="false">'[2]$ лето'!j79-'[2]$ лето'!au79-'[2]$ лето'!at79-'[2]$ лето'!as79-'[2]$ лето'!ar79-'[2]$ лето'!aq79-'[2]$ лето'!ap79-'[2]$ лето'!an79-'[2]$ лето'!am79-'[2]$ лето'!al79-'[2]$ лето'!ak79-'[2]$ лето'!aj79-'[2]$ лето'!ah79-'[2]$ лето'!ag79-'[2]$ лето'!af79-'[2]$ лето'!ae79-'[2]$ лето'!ad79-'[2]$ лето'!ab79-'[2]$ лето'!aa79-'[2]$ лето'!z79-'[2]$ лето'!y79-'[2]$ лето'!x79-'[2]$ лето'!v79-'[2]$ лето'!u79-'[2]$ лето'!t79-'[2]$ лето'!s79-'[2]$ лето'!r79-'[2]$ лето'!p79-'[2]$ лето'!o79-'[2]$ лето'!n79-'[2]$ лето'!m79-'[2]$ лето'!l79+'[2]$ лето'!k79+'[2]$ лето'!q79+'[2]$ лето'!w79+'[2]$ лето'!ac79+'[2]$ лето'!ai79+'[2]$ лето'!ao79</f>
        <v>6</v>
      </c>
      <c r="I79" s="109" t="n">
        <f aca="false">'[2]$ лето'!ay79*1.1</f>
        <v>1139.6</v>
      </c>
      <c r="J79" s="85" t="n">
        <v>2017</v>
      </c>
    </row>
    <row r="80" customFormat="false" ht="15" hidden="true" customHeight="false" outlineLevel="0" collapsed="false">
      <c r="A80" s="115" t="s">
        <v>81</v>
      </c>
      <c r="B80" s="115" t="s">
        <v>557</v>
      </c>
      <c r="C80" s="116" t="s">
        <v>558</v>
      </c>
      <c r="D80" s="116"/>
      <c r="E80" s="116"/>
      <c r="F80" s="116"/>
      <c r="G80" s="108"/>
      <c r="H80" s="105" t="n">
        <f aca="false">'[2]$ лето'!j80-'[2]$ лето'!au80-'[2]$ лето'!at80-'[2]$ лето'!as80-'[2]$ лето'!ar80-'[2]$ лето'!aq80-'[2]$ лето'!ap80-'[2]$ лето'!an80-'[2]$ лето'!am80-'[2]$ лето'!al80-'[2]$ лето'!ak80-'[2]$ лето'!aj80-'[2]$ лето'!ah80-'[2]$ лето'!ag80-'[2]$ лето'!af80-'[2]$ лето'!ae80-'[2]$ лето'!ad80-'[2]$ лето'!ab80-'[2]$ лето'!aa80-'[2]$ лето'!z80-'[2]$ лето'!y80-'[2]$ лето'!x80-'[2]$ лето'!v80-'[2]$ лето'!u80-'[2]$ лето'!t80-'[2]$ лето'!s80-'[2]$ лето'!r80-'[2]$ лето'!p80-'[2]$ лето'!o80-'[2]$ лето'!n80-'[2]$ лето'!m80-'[2]$ лето'!l80+'[2]$ лето'!k80+'[2]$ лето'!q80+'[2]$ лето'!w80+'[2]$ лето'!ac80+'[2]$ лето'!ai80+'[2]$ лето'!ao80</f>
        <v>0</v>
      </c>
      <c r="I80" s="109" t="n">
        <f aca="false">'[2]$ лето'!ay80*1.1</f>
        <v>708.4</v>
      </c>
    </row>
    <row r="81" customFormat="false" ht="15" hidden="false" customHeight="false" outlineLevel="0" collapsed="false">
      <c r="A81" s="115" t="s">
        <v>81</v>
      </c>
      <c r="B81" s="115" t="s">
        <v>604</v>
      </c>
      <c r="C81" s="107" t="s">
        <v>664</v>
      </c>
      <c r="D81" s="107"/>
      <c r="E81" s="116" t="n">
        <v>82</v>
      </c>
      <c r="F81" s="116" t="s">
        <v>562</v>
      </c>
      <c r="G81" s="108" t="s">
        <v>576</v>
      </c>
      <c r="H81" s="105" t="n">
        <f aca="false">'[2]$ лето'!j81-'[2]$ лето'!au81-'[2]$ лето'!at81-'[2]$ лето'!as81-'[2]$ лето'!ar81-'[2]$ лето'!aq81-'[2]$ лето'!ap81-'[2]$ лето'!an81-'[2]$ лето'!am81-'[2]$ лето'!al81-'[2]$ лето'!ak81-'[2]$ лето'!aj81-'[2]$ лето'!ah81-'[2]$ лето'!ag81-'[2]$ лето'!af81-'[2]$ лето'!ae81-'[2]$ лето'!ad81-'[2]$ лето'!ab81-'[2]$ лето'!aa81-'[2]$ лето'!z81-'[2]$ лето'!y81-'[2]$ лето'!x81-'[2]$ лето'!v81-'[2]$ лето'!u81-'[2]$ лето'!t81-'[2]$ лето'!s81-'[2]$ лето'!r81-'[2]$ лето'!p81-'[2]$ лето'!o81-'[2]$ лето'!n81-'[2]$ лето'!m81-'[2]$ лето'!l81+'[2]$ лето'!k81+'[2]$ лето'!q81+'[2]$ лето'!w81+'[2]$ лето'!ac81+'[2]$ лето'!ai81+'[2]$ лето'!ao81</f>
        <v>2</v>
      </c>
      <c r="I81" s="109" t="n">
        <f aca="false">'[2]$ лето'!ay81*1.1</f>
        <v>1078</v>
      </c>
    </row>
    <row r="82" customFormat="false" ht="15" hidden="true" customHeight="false" outlineLevel="0" collapsed="false">
      <c r="A82" s="115" t="s">
        <v>81</v>
      </c>
      <c r="B82" s="115" t="s">
        <v>606</v>
      </c>
      <c r="C82" s="107" t="s">
        <v>665</v>
      </c>
      <c r="D82" s="107"/>
      <c r="E82" s="107"/>
      <c r="F82" s="107"/>
      <c r="G82" s="108"/>
      <c r="H82" s="105" t="n">
        <f aca="false">'[2]$ лето'!j82-'[2]$ лето'!au82-'[2]$ лето'!at82-'[2]$ лето'!as82-'[2]$ лето'!ar82-'[2]$ лето'!aq82-'[2]$ лето'!ap82-'[2]$ лето'!an82-'[2]$ лето'!am82-'[2]$ лето'!al82-'[2]$ лето'!ak82-'[2]$ лето'!aj82-'[2]$ лето'!ah82-'[2]$ лето'!ag82-'[2]$ лето'!af82-'[2]$ лето'!ae82-'[2]$ лето'!ad82-'[2]$ лето'!ab82-'[2]$ лето'!aa82-'[2]$ лето'!z82-'[2]$ лето'!y82-'[2]$ лето'!x82-'[2]$ лето'!v82-'[2]$ лето'!u82-'[2]$ лето'!t82-'[2]$ лето'!s82-'[2]$ лето'!r82-'[2]$ лето'!p82-'[2]$ лето'!o82-'[2]$ лето'!n82-'[2]$ лето'!m82-'[2]$ лето'!l82+'[2]$ лето'!k82+'[2]$ лето'!q82+'[2]$ лето'!w82+'[2]$ лето'!ac82+'[2]$ лето'!ai82+'[2]$ лето'!ao82</f>
        <v>0</v>
      </c>
      <c r="I82" s="109" t="n">
        <f aca="false">'[2]$ лето'!ay82*1.1</f>
        <v>1078</v>
      </c>
    </row>
    <row r="83" customFormat="false" ht="15" hidden="false" customHeight="false" outlineLevel="0" collapsed="false">
      <c r="A83" s="115" t="s">
        <v>81</v>
      </c>
      <c r="B83" s="115" t="s">
        <v>666</v>
      </c>
      <c r="C83" s="107" t="s">
        <v>667</v>
      </c>
      <c r="D83" s="107"/>
      <c r="E83" s="116" t="n">
        <v>82</v>
      </c>
      <c r="F83" s="116" t="s">
        <v>562</v>
      </c>
      <c r="G83" s="108" t="s">
        <v>663</v>
      </c>
      <c r="H83" s="105" t="n">
        <f aca="false">'[2]$ лето'!j83-'[2]$ лето'!au83-'[2]$ лето'!at83-'[2]$ лето'!as83-'[2]$ лето'!ar83-'[2]$ лето'!aq83-'[2]$ лето'!ap83-'[2]$ лето'!an83-'[2]$ лето'!am83-'[2]$ лето'!al83-'[2]$ лето'!ak83-'[2]$ лето'!aj83-'[2]$ лето'!ah83-'[2]$ лето'!ag83-'[2]$ лето'!af83-'[2]$ лето'!ae83-'[2]$ лето'!ad83-'[2]$ лето'!ab83-'[2]$ лето'!aa83-'[2]$ лето'!z83-'[2]$ лето'!y83-'[2]$ лето'!x83-'[2]$ лето'!v83-'[2]$ лето'!u83-'[2]$ лето'!t83-'[2]$ лето'!s83-'[2]$ лето'!r83-'[2]$ лето'!p83-'[2]$ лето'!o83-'[2]$ лето'!n83-'[2]$ лето'!m83-'[2]$ лето'!l83+'[2]$ лето'!k83+'[2]$ лето'!q83+'[2]$ лето'!w83+'[2]$ лето'!ac83+'[2]$ лето'!ai83+'[2]$ лето'!ao83</f>
        <v>8</v>
      </c>
      <c r="I83" s="109" t="n">
        <f aca="false">'[2]$ лето'!ay83*1.1</f>
        <v>1139.6</v>
      </c>
      <c r="J83" s="85" t="n">
        <v>2018</v>
      </c>
    </row>
    <row r="84" customFormat="false" ht="15" hidden="true" customHeight="false" outlineLevel="0" collapsed="false">
      <c r="A84" s="115" t="s">
        <v>81</v>
      </c>
      <c r="B84" s="115" t="s">
        <v>668</v>
      </c>
      <c r="C84" s="114" t="s">
        <v>669</v>
      </c>
      <c r="D84" s="114"/>
      <c r="E84" s="114"/>
      <c r="F84" s="114"/>
      <c r="G84" s="108" t="s">
        <v>609</v>
      </c>
      <c r="H84" s="105" t="n">
        <f aca="false">'[2]$ лето'!j84-'[2]$ лето'!au84-'[2]$ лето'!at84-'[2]$ лето'!as84-'[2]$ лето'!ar84-'[2]$ лето'!aq84-'[2]$ лето'!ap84-'[2]$ лето'!an84-'[2]$ лето'!am84-'[2]$ лето'!al84-'[2]$ лето'!ak84-'[2]$ лето'!aj84-'[2]$ лето'!ah84-'[2]$ лето'!ag84-'[2]$ лето'!af84-'[2]$ лето'!ae84-'[2]$ лето'!ad84-'[2]$ лето'!ab84-'[2]$ лето'!aa84-'[2]$ лето'!z84-'[2]$ лето'!y84-'[2]$ лето'!x84-'[2]$ лето'!v84-'[2]$ лето'!u84-'[2]$ лето'!t84-'[2]$ лето'!s84-'[2]$ лето'!r84-'[2]$ лето'!p84-'[2]$ лето'!o84-'[2]$ лето'!n84-'[2]$ лето'!m84-'[2]$ лето'!l84+'[2]$ лето'!k84+'[2]$ лето'!q84+'[2]$ лето'!w84+'[2]$ лето'!ac84+'[2]$ лето'!ai84+'[2]$ лето'!ao84</f>
        <v>0</v>
      </c>
      <c r="I84" s="109" t="n">
        <f aca="false">'[2]$ лето'!ay84*1.1</f>
        <v>891</v>
      </c>
    </row>
    <row r="85" customFormat="false" ht="15" hidden="false" customHeight="false" outlineLevel="0" collapsed="false">
      <c r="A85" s="115" t="s">
        <v>81</v>
      </c>
      <c r="B85" s="115" t="s">
        <v>574</v>
      </c>
      <c r="C85" s="116" t="s">
        <v>670</v>
      </c>
      <c r="D85" s="116"/>
      <c r="E85" s="116"/>
      <c r="F85" s="116"/>
      <c r="G85" s="108" t="s">
        <v>576</v>
      </c>
      <c r="H85" s="105" t="n">
        <f aca="false">'[2]$ лето'!j85-'[2]$ лето'!au85-'[2]$ лето'!at85-'[2]$ лето'!as85-'[2]$ лето'!ar85-'[2]$ лето'!aq85-'[2]$ лето'!ap85-'[2]$ лето'!an85-'[2]$ лето'!am85-'[2]$ лето'!al85-'[2]$ лето'!ak85-'[2]$ лето'!aj85-'[2]$ лето'!ah85-'[2]$ лето'!ag85-'[2]$ лето'!af85-'[2]$ лето'!ae85-'[2]$ лето'!ad85-'[2]$ лето'!ab85-'[2]$ лето'!aa85-'[2]$ лето'!z85-'[2]$ лето'!y85-'[2]$ лето'!x85-'[2]$ лето'!v85-'[2]$ лето'!u85-'[2]$ лето'!t85-'[2]$ лето'!s85-'[2]$ лето'!r85-'[2]$ лето'!p85-'[2]$ лето'!o85-'[2]$ лето'!n85-'[2]$ лето'!m85-'[2]$ лето'!l85+'[2]$ лето'!k85+'[2]$ лето'!q85+'[2]$ лето'!w85+'[2]$ лето'!ac85+'[2]$ лето'!ai85+'[2]$ лето'!ao85</f>
        <v>4</v>
      </c>
      <c r="I85" s="109" t="n">
        <f aca="false">'[2]$ лето'!ay85*1.1</f>
        <v>1030.92</v>
      </c>
    </row>
    <row r="86" customFormat="false" ht="15" hidden="false" customHeight="false" outlineLevel="0" collapsed="false">
      <c r="A86" s="115" t="s">
        <v>81</v>
      </c>
      <c r="B86" s="115" t="s">
        <v>579</v>
      </c>
      <c r="C86" s="116" t="s">
        <v>671</v>
      </c>
      <c r="D86" s="116"/>
      <c r="E86" s="116" t="n">
        <v>82</v>
      </c>
      <c r="F86" s="116" t="s">
        <v>634</v>
      </c>
      <c r="G86" s="108" t="s">
        <v>520</v>
      </c>
      <c r="H86" s="105" t="n">
        <f aca="false">'[2]$ лето'!j86-'[2]$ лето'!au86-'[2]$ лето'!at86-'[2]$ лето'!as86-'[2]$ лето'!ar86-'[2]$ лето'!aq86-'[2]$ лето'!ap86-'[2]$ лето'!an86-'[2]$ лето'!am86-'[2]$ лето'!al86-'[2]$ лето'!ak86-'[2]$ лето'!aj86-'[2]$ лето'!ah86-'[2]$ лето'!ag86-'[2]$ лето'!af86-'[2]$ лето'!ae86-'[2]$ лето'!ad86-'[2]$ лето'!ab86-'[2]$ лето'!aa86-'[2]$ лето'!z86-'[2]$ лето'!y86-'[2]$ лето'!x86-'[2]$ лето'!v86-'[2]$ лето'!u86-'[2]$ лето'!t86-'[2]$ лето'!s86-'[2]$ лето'!r86-'[2]$ лето'!p86-'[2]$ лето'!o86-'[2]$ лето'!n86-'[2]$ лето'!m86-'[2]$ лето'!l86+'[2]$ лето'!k86+'[2]$ лето'!q86+'[2]$ лето'!w86+'[2]$ лето'!ac86+'[2]$ лето'!ai86+'[2]$ лето'!ao86</f>
        <v>8</v>
      </c>
      <c r="I86" s="109" t="n">
        <f aca="false">'[2]$ лето'!ay86*1.1</f>
        <v>770</v>
      </c>
    </row>
    <row r="87" customFormat="false" ht="15" hidden="false" customHeight="false" outlineLevel="0" collapsed="false">
      <c r="A87" s="115" t="s">
        <v>81</v>
      </c>
      <c r="B87" s="115" t="s">
        <v>579</v>
      </c>
      <c r="C87" s="116" t="s">
        <v>672</v>
      </c>
      <c r="D87" s="116"/>
      <c r="E87" s="116" t="n">
        <v>82</v>
      </c>
      <c r="F87" s="116" t="s">
        <v>562</v>
      </c>
      <c r="G87" s="108" t="s">
        <v>520</v>
      </c>
      <c r="H87" s="105" t="n">
        <f aca="false">'[2]$ лето'!j87-'[2]$ лето'!au87-'[2]$ лето'!at87-'[2]$ лето'!as87-'[2]$ лето'!ar87-'[2]$ лето'!aq87-'[2]$ лето'!ap87-'[2]$ лето'!an87-'[2]$ лето'!am87-'[2]$ лето'!al87-'[2]$ лето'!ak87-'[2]$ лето'!aj87-'[2]$ лето'!ah87-'[2]$ лето'!ag87-'[2]$ лето'!af87-'[2]$ лето'!ae87-'[2]$ лето'!ad87-'[2]$ лето'!ab87-'[2]$ лето'!aa87-'[2]$ лето'!z87-'[2]$ лето'!y87-'[2]$ лето'!x87-'[2]$ лето'!v87-'[2]$ лето'!u87-'[2]$ лето'!t87-'[2]$ лето'!s87-'[2]$ лето'!r87-'[2]$ лето'!p87-'[2]$ лето'!o87-'[2]$ лето'!n87-'[2]$ лето'!m87-'[2]$ лето'!l87+'[2]$ лето'!k87+'[2]$ лето'!q87+'[2]$ лето'!w87+'[2]$ лето'!ac87+'[2]$ лето'!ai87+'[2]$ лето'!ao87</f>
        <v>12</v>
      </c>
      <c r="I87" s="109" t="n">
        <f aca="false">'[2]$ лето'!ay87*1.1</f>
        <v>770</v>
      </c>
    </row>
    <row r="88" customFormat="false" ht="15" hidden="true" customHeight="false" outlineLevel="0" collapsed="false">
      <c r="A88" s="115" t="s">
        <v>81</v>
      </c>
      <c r="B88" s="115" t="s">
        <v>583</v>
      </c>
      <c r="C88" s="116" t="s">
        <v>673</v>
      </c>
      <c r="D88" s="116"/>
      <c r="E88" s="116"/>
      <c r="F88" s="116"/>
      <c r="G88" s="108"/>
      <c r="H88" s="105" t="n">
        <f aca="false">'[2]$ лето'!j88-'[2]$ лето'!au88-'[2]$ лето'!at88-'[2]$ лето'!as88-'[2]$ лето'!ar88-'[2]$ лето'!aq88-'[2]$ лето'!ap88-'[2]$ лето'!an88-'[2]$ лето'!am88-'[2]$ лето'!al88-'[2]$ лето'!ak88-'[2]$ лето'!aj88-'[2]$ лето'!ah88-'[2]$ лето'!ag88-'[2]$ лето'!af88-'[2]$ лето'!ae88-'[2]$ лето'!ad88-'[2]$ лето'!ab88-'[2]$ лето'!aa88-'[2]$ лето'!z88-'[2]$ лето'!y88-'[2]$ лето'!x88-'[2]$ лето'!v88-'[2]$ лето'!u88-'[2]$ лето'!t88-'[2]$ лето'!s88-'[2]$ лето'!r88-'[2]$ лето'!p88-'[2]$ лето'!o88-'[2]$ лето'!n88-'[2]$ лето'!m88-'[2]$ лето'!l88+'[2]$ лето'!k88+'[2]$ лето'!q88+'[2]$ лето'!w88+'[2]$ лето'!ac88+'[2]$ лето'!ai88+'[2]$ лето'!ao88</f>
        <v>0</v>
      </c>
      <c r="I88" s="109" t="n">
        <f aca="false">'[2]$ лето'!ay88*1.1</f>
        <v>985.6</v>
      </c>
    </row>
    <row r="89" customFormat="false" ht="15" hidden="false" customHeight="false" outlineLevel="0" collapsed="false">
      <c r="A89" s="115" t="s">
        <v>81</v>
      </c>
      <c r="B89" s="115" t="s">
        <v>583</v>
      </c>
      <c r="C89" s="116" t="s">
        <v>674</v>
      </c>
      <c r="D89" s="116"/>
      <c r="E89" s="116" t="n">
        <v>82</v>
      </c>
      <c r="F89" s="116" t="s">
        <v>562</v>
      </c>
      <c r="G89" s="108" t="s">
        <v>585</v>
      </c>
      <c r="H89" s="105" t="n">
        <f aca="false">'[2]$ лето'!j89-'[2]$ лето'!au89-'[2]$ лето'!at89-'[2]$ лето'!as89-'[2]$ лето'!ar89-'[2]$ лето'!aq89-'[2]$ лето'!ap89-'[2]$ лето'!an89-'[2]$ лето'!am89-'[2]$ лето'!al89-'[2]$ лето'!ak89-'[2]$ лето'!aj89-'[2]$ лето'!ah89-'[2]$ лето'!ag89-'[2]$ лето'!af89-'[2]$ лето'!ae89-'[2]$ лето'!ad89-'[2]$ лето'!ab89-'[2]$ лето'!aa89-'[2]$ лето'!z89-'[2]$ лето'!y89-'[2]$ лето'!x89-'[2]$ лето'!v89-'[2]$ лето'!u89-'[2]$ лето'!t89-'[2]$ лето'!s89-'[2]$ лето'!r89-'[2]$ лето'!p89-'[2]$ лето'!o89-'[2]$ лето'!n89-'[2]$ лето'!m89-'[2]$ лето'!l89+'[2]$ лето'!k89+'[2]$ лето'!q89+'[2]$ лето'!w89+'[2]$ лето'!ac89+'[2]$ лето'!ai89+'[2]$ лето'!ao89</f>
        <v>6</v>
      </c>
      <c r="I89" s="109" t="n">
        <f aca="false">'[2]$ лето'!ay89*1.1</f>
        <v>985.6</v>
      </c>
      <c r="J89" s="85" t="n">
        <v>2018</v>
      </c>
    </row>
    <row r="90" customFormat="false" ht="15" hidden="false" customHeight="false" outlineLevel="0" collapsed="false">
      <c r="A90" s="115" t="s">
        <v>81</v>
      </c>
      <c r="B90" s="115" t="s">
        <v>583</v>
      </c>
      <c r="C90" s="116" t="s">
        <v>675</v>
      </c>
      <c r="D90" s="116" t="s">
        <v>582</v>
      </c>
      <c r="E90" s="116"/>
      <c r="F90" s="116"/>
      <c r="G90" s="108"/>
      <c r="H90" s="105" t="n">
        <f aca="false">'[2]$ лето'!j90-'[2]$ лето'!au90-'[2]$ лето'!at90-'[2]$ лето'!as90-'[2]$ лето'!ar90-'[2]$ лето'!aq90-'[2]$ лето'!ap90-'[2]$ лето'!an90-'[2]$ лето'!am90-'[2]$ лето'!al90-'[2]$ лето'!ak90-'[2]$ лето'!aj90-'[2]$ лето'!ah90-'[2]$ лето'!ag90-'[2]$ лето'!af90-'[2]$ лето'!ae90-'[2]$ лето'!ad90-'[2]$ лето'!ab90-'[2]$ лето'!aa90-'[2]$ лето'!z90-'[2]$ лето'!y90-'[2]$ лето'!x90-'[2]$ лето'!v90-'[2]$ лето'!u90-'[2]$ лето'!t90-'[2]$ лето'!s90-'[2]$ лето'!r90-'[2]$ лето'!p90-'[2]$ лето'!o90-'[2]$ лето'!n90-'[2]$ лето'!m90-'[2]$ лето'!l90+'[2]$ лето'!k90+'[2]$ лето'!q90+'[2]$ лето'!w90+'[2]$ лето'!ac90+'[2]$ лето'!ai90+'[2]$ лето'!ao90</f>
        <v>2</v>
      </c>
      <c r="I90" s="109" t="n">
        <f aca="false">'[2]$ лето'!ay90*1.1</f>
        <v>985.6</v>
      </c>
    </row>
    <row r="91" customFormat="false" ht="15" hidden="true" customHeight="false" outlineLevel="0" collapsed="false">
      <c r="A91" s="115" t="s">
        <v>81</v>
      </c>
      <c r="B91" s="115" t="s">
        <v>615</v>
      </c>
      <c r="C91" s="107" t="s">
        <v>676</v>
      </c>
      <c r="D91" s="107"/>
      <c r="E91" s="107"/>
      <c r="F91" s="107"/>
      <c r="G91" s="108"/>
      <c r="H91" s="105" t="n">
        <f aca="false">'[2]$ лето'!j91-'[2]$ лето'!au91-'[2]$ лето'!at91-'[2]$ лето'!as91-'[2]$ лето'!ar91-'[2]$ лето'!aq91-'[2]$ лето'!ap91-'[2]$ лето'!an91-'[2]$ лето'!am91-'[2]$ лето'!al91-'[2]$ лето'!ak91-'[2]$ лето'!aj91-'[2]$ лето'!ah91-'[2]$ лето'!ag91-'[2]$ лето'!af91-'[2]$ лето'!ae91-'[2]$ лето'!ad91-'[2]$ лето'!ab91-'[2]$ лето'!aa91-'[2]$ лето'!z91-'[2]$ лето'!y91-'[2]$ лето'!x91-'[2]$ лето'!v91-'[2]$ лето'!u91-'[2]$ лето'!t91-'[2]$ лето'!s91-'[2]$ лето'!r91-'[2]$ лето'!p91-'[2]$ лето'!o91-'[2]$ лето'!n91-'[2]$ лето'!m91-'[2]$ лето'!l91+'[2]$ лето'!k91+'[2]$ лето'!q91+'[2]$ лето'!w91+'[2]$ лето'!ac91+'[2]$ лето'!ai91+'[2]$ лето'!ao91</f>
        <v>0</v>
      </c>
      <c r="I91" s="109" t="n">
        <f aca="false">'[2]$ лето'!ay91*1.1</f>
        <v>1016.4</v>
      </c>
      <c r="J91" s="85" t="n">
        <v>2016</v>
      </c>
    </row>
    <row r="92" customFormat="false" ht="15" hidden="false" customHeight="false" outlineLevel="0" collapsed="false">
      <c r="A92" s="115" t="s">
        <v>81</v>
      </c>
      <c r="B92" s="115" t="s">
        <v>677</v>
      </c>
      <c r="C92" s="107" t="s">
        <v>678</v>
      </c>
      <c r="D92" s="107"/>
      <c r="E92" s="116" t="n">
        <v>82</v>
      </c>
      <c r="F92" s="116" t="s">
        <v>562</v>
      </c>
      <c r="G92" s="108"/>
      <c r="H92" s="105" t="n">
        <f aca="false">'[2]$ лето'!j92-'[2]$ лето'!au92-'[2]$ лето'!at92-'[2]$ лето'!as92-'[2]$ лето'!ar92-'[2]$ лето'!aq92-'[2]$ лето'!ap92-'[2]$ лето'!an92-'[2]$ лето'!am92-'[2]$ лето'!al92-'[2]$ лето'!ak92-'[2]$ лето'!aj92-'[2]$ лето'!ah92-'[2]$ лето'!ag92-'[2]$ лето'!af92-'[2]$ лето'!ae92-'[2]$ лето'!ad92-'[2]$ лето'!ab92-'[2]$ лето'!aa92-'[2]$ лето'!z92-'[2]$ лето'!y92-'[2]$ лето'!x92-'[2]$ лето'!v92-'[2]$ лето'!u92-'[2]$ лето'!t92-'[2]$ лето'!s92-'[2]$ лето'!r92-'[2]$ лето'!p92-'[2]$ лето'!o92-'[2]$ лето'!n92-'[2]$ лето'!m92-'[2]$ лето'!l92+'[2]$ лето'!k92+'[2]$ лето'!q92+'[2]$ лето'!w92+'[2]$ лето'!ac92+'[2]$ лето'!ai92+'[2]$ лето'!ao92</f>
        <v>4</v>
      </c>
      <c r="I92" s="109" t="n">
        <f aca="false">'[2]$ лето'!ay92*1.1</f>
        <v>862.4</v>
      </c>
      <c r="J92" s="85" t="n">
        <v>2017</v>
      </c>
    </row>
    <row r="93" customFormat="false" ht="15" hidden="false" customHeight="false" outlineLevel="0" collapsed="false">
      <c r="A93" s="115" t="s">
        <v>81</v>
      </c>
      <c r="B93" s="115" t="s">
        <v>621</v>
      </c>
      <c r="C93" s="107" t="s">
        <v>679</v>
      </c>
      <c r="D93" s="107"/>
      <c r="E93" s="116" t="n">
        <v>82</v>
      </c>
      <c r="F93" s="116" t="s">
        <v>634</v>
      </c>
      <c r="G93" s="108" t="s">
        <v>520</v>
      </c>
      <c r="H93" s="105" t="n">
        <f aca="false">'[2]$ лето'!j93-'[2]$ лето'!au93-'[2]$ лето'!at93-'[2]$ лето'!as93-'[2]$ лето'!ar93-'[2]$ лето'!aq93-'[2]$ лето'!ap93-'[2]$ лето'!an93-'[2]$ лето'!am93-'[2]$ лето'!al93-'[2]$ лето'!ak93-'[2]$ лето'!aj93-'[2]$ лето'!ah93-'[2]$ лето'!ag93-'[2]$ лето'!af93-'[2]$ лето'!ae93-'[2]$ лето'!ad93-'[2]$ лето'!ab93-'[2]$ лето'!aa93-'[2]$ лето'!z93-'[2]$ лето'!y93-'[2]$ лето'!x93-'[2]$ лето'!v93-'[2]$ лето'!u93-'[2]$ лето'!t93-'[2]$ лето'!s93-'[2]$ лето'!r93-'[2]$ лето'!p93-'[2]$ лето'!o93-'[2]$ лето'!n93-'[2]$ лето'!m93-'[2]$ лето'!l93+'[2]$ лето'!k93+'[2]$ лето'!q93+'[2]$ лето'!w93+'[2]$ лето'!ac93+'[2]$ лето'!ai93+'[2]$ лето'!ao93</f>
        <v>4</v>
      </c>
      <c r="I93" s="109" t="n">
        <f aca="false">'[2]$ лето'!ay93*1.1</f>
        <v>731.5</v>
      </c>
    </row>
    <row r="94" customFormat="false" ht="15" hidden="true" customHeight="false" outlineLevel="0" collapsed="false">
      <c r="A94" s="115" t="s">
        <v>81</v>
      </c>
      <c r="B94" s="115" t="s">
        <v>589</v>
      </c>
      <c r="C94" s="107" t="s">
        <v>680</v>
      </c>
      <c r="D94" s="107"/>
      <c r="E94" s="107"/>
      <c r="F94" s="107"/>
      <c r="G94" s="108"/>
      <c r="H94" s="105" t="n">
        <f aca="false">'[2]$ лето'!j94-'[2]$ лето'!au94-'[2]$ лето'!at94-'[2]$ лето'!as94-'[2]$ лето'!ar94-'[2]$ лето'!aq94-'[2]$ лето'!ap94-'[2]$ лето'!an94-'[2]$ лето'!am94-'[2]$ лето'!al94-'[2]$ лето'!ak94-'[2]$ лето'!aj94-'[2]$ лето'!ah94-'[2]$ лето'!ag94-'[2]$ лето'!af94-'[2]$ лето'!ae94-'[2]$ лето'!ad94-'[2]$ лето'!ab94-'[2]$ лето'!aa94-'[2]$ лето'!z94-'[2]$ лето'!y94-'[2]$ лето'!x94-'[2]$ лето'!v94-'[2]$ лето'!u94-'[2]$ лето'!t94-'[2]$ лето'!s94-'[2]$ лето'!r94-'[2]$ лето'!p94-'[2]$ лето'!o94-'[2]$ лето'!n94-'[2]$ лето'!m94-'[2]$ лето'!l94+'[2]$ лето'!k94+'[2]$ лето'!q94+'[2]$ лето'!w94+'[2]$ лето'!ac94+'[2]$ лето'!ai94+'[2]$ лето'!ao94</f>
        <v>0</v>
      </c>
      <c r="I94" s="109" t="n">
        <f aca="false">'[2]$ лето'!ay94*1.1</f>
        <v>1232</v>
      </c>
      <c r="J94" s="85" t="n">
        <v>2017</v>
      </c>
    </row>
    <row r="95" customFormat="false" ht="15" hidden="true" customHeight="false" outlineLevel="0" collapsed="false">
      <c r="A95" s="115" t="s">
        <v>81</v>
      </c>
      <c r="B95" s="115" t="s">
        <v>589</v>
      </c>
      <c r="C95" s="107" t="s">
        <v>681</v>
      </c>
      <c r="D95" s="107"/>
      <c r="E95" s="107"/>
      <c r="F95" s="107"/>
      <c r="G95" s="108"/>
      <c r="H95" s="105" t="n">
        <f aca="false">'[2]$ лето'!j95-'[2]$ лето'!au95-'[2]$ лето'!at95-'[2]$ лето'!as95-'[2]$ лето'!ar95-'[2]$ лето'!aq95-'[2]$ лето'!ap95-'[2]$ лето'!an95-'[2]$ лето'!am95-'[2]$ лето'!al95-'[2]$ лето'!ak95-'[2]$ лето'!aj95-'[2]$ лето'!ah95-'[2]$ лето'!ag95-'[2]$ лето'!af95-'[2]$ лето'!ae95-'[2]$ лето'!ad95-'[2]$ лето'!ab95-'[2]$ лето'!aa95-'[2]$ лето'!z95-'[2]$ лето'!y95-'[2]$ лето'!x95-'[2]$ лето'!v95-'[2]$ лето'!u95-'[2]$ лето'!t95-'[2]$ лето'!s95-'[2]$ лето'!r95-'[2]$ лето'!p95-'[2]$ лето'!o95-'[2]$ лето'!n95-'[2]$ лето'!m95-'[2]$ лето'!l95+'[2]$ лето'!k95+'[2]$ лето'!q95+'[2]$ лето'!w95+'[2]$ лето'!ac95+'[2]$ лето'!ai95+'[2]$ лето'!ao95</f>
        <v>0</v>
      </c>
      <c r="I95" s="109" t="n">
        <f aca="false">'[2]$ лето'!ay95*1.1</f>
        <v>1078</v>
      </c>
    </row>
    <row r="96" customFormat="false" ht="15" hidden="false" customHeight="false" outlineLevel="0" collapsed="false">
      <c r="A96" s="115" t="s">
        <v>81</v>
      </c>
      <c r="B96" s="115" t="s">
        <v>564</v>
      </c>
      <c r="C96" s="107" t="s">
        <v>682</v>
      </c>
      <c r="D96" s="107"/>
      <c r="E96" s="116" t="n">
        <v>86</v>
      </c>
      <c r="F96" s="116" t="s">
        <v>634</v>
      </c>
      <c r="G96" s="108" t="s">
        <v>520</v>
      </c>
      <c r="H96" s="105" t="n">
        <f aca="false">'[2]$ лето'!j96-'[2]$ лето'!au96-'[2]$ лето'!at96-'[2]$ лето'!as96-'[2]$ лето'!ar96-'[2]$ лето'!aq96-'[2]$ лето'!ap96-'[2]$ лето'!an96-'[2]$ лето'!am96-'[2]$ лето'!al96-'[2]$ лето'!ak96-'[2]$ лето'!aj96-'[2]$ лето'!ah96-'[2]$ лето'!ag96-'[2]$ лето'!af96-'[2]$ лето'!ae96-'[2]$ лето'!ad96-'[2]$ лето'!ab96-'[2]$ лето'!aa96-'[2]$ лето'!z96-'[2]$ лето'!y96-'[2]$ лето'!x96-'[2]$ лето'!v96-'[2]$ лето'!u96-'[2]$ лето'!t96-'[2]$ лето'!s96-'[2]$ лето'!r96-'[2]$ лето'!p96-'[2]$ лето'!o96-'[2]$ лето'!n96-'[2]$ лето'!m96-'[2]$ лето'!l96+'[2]$ лето'!k96+'[2]$ лето'!q96+'[2]$ лето'!w96+'[2]$ лето'!ac96+'[2]$ лето'!ai96+'[2]$ лето'!ao96</f>
        <v>8</v>
      </c>
      <c r="I96" s="109" t="n">
        <f aca="false">'[2]$ лето'!ay96*1.1</f>
        <v>893.2</v>
      </c>
      <c r="J96" s="85" t="n">
        <v>2017</v>
      </c>
    </row>
    <row r="97" customFormat="false" ht="15" hidden="false" customHeight="false" outlineLevel="0" collapsed="false">
      <c r="A97" s="115" t="s">
        <v>81</v>
      </c>
      <c r="B97" s="115" t="s">
        <v>683</v>
      </c>
      <c r="C97" s="107" t="s">
        <v>684</v>
      </c>
      <c r="D97" s="107"/>
      <c r="E97" s="116" t="n">
        <v>82</v>
      </c>
      <c r="F97" s="116" t="s">
        <v>562</v>
      </c>
      <c r="G97" s="108" t="s">
        <v>631</v>
      </c>
      <c r="H97" s="105" t="n">
        <f aca="false">'[2]$ лето'!j97-'[2]$ лето'!au97-'[2]$ лето'!at97-'[2]$ лето'!as97-'[2]$ лето'!ar97-'[2]$ лето'!aq97-'[2]$ лето'!ap97-'[2]$ лето'!an97-'[2]$ лето'!am97-'[2]$ лето'!al97-'[2]$ лето'!ak97-'[2]$ лето'!aj97-'[2]$ лето'!ah97-'[2]$ лето'!ag97-'[2]$ лето'!af97-'[2]$ лето'!ae97-'[2]$ лето'!ad97-'[2]$ лето'!ab97-'[2]$ лето'!aa97-'[2]$ лето'!z97-'[2]$ лето'!y97-'[2]$ лето'!x97-'[2]$ лето'!v97-'[2]$ лето'!u97-'[2]$ лето'!t97-'[2]$ лето'!s97-'[2]$ лето'!r97-'[2]$ лето'!p97-'[2]$ лето'!o97-'[2]$ лето'!n97-'[2]$ лето'!m97-'[2]$ лето'!l97+'[2]$ лето'!k97+'[2]$ лето'!q97+'[2]$ лето'!w97+'[2]$ лето'!ac97+'[2]$ лето'!ai97+'[2]$ лето'!ao97</f>
        <v>4</v>
      </c>
      <c r="I97" s="109" t="n">
        <f aca="false">'[2]$ лето'!ay97*1.1</f>
        <v>1139.6</v>
      </c>
      <c r="J97" s="85" t="n">
        <v>2017</v>
      </c>
    </row>
    <row r="98" customFormat="false" ht="15" hidden="true" customHeight="false" outlineLevel="0" collapsed="false">
      <c r="A98" s="115" t="s">
        <v>95</v>
      </c>
      <c r="B98" s="115" t="s">
        <v>568</v>
      </c>
      <c r="C98" s="116" t="s">
        <v>644</v>
      </c>
      <c r="D98" s="116"/>
      <c r="E98" s="116"/>
      <c r="F98" s="116"/>
      <c r="G98" s="108"/>
      <c r="H98" s="105" t="n">
        <f aca="false">'[2]$ лето'!j98-'[2]$ лето'!au98-'[2]$ лето'!at98-'[2]$ лето'!as98-'[2]$ лето'!ar98-'[2]$ лето'!aq98-'[2]$ лето'!ap98-'[2]$ лето'!an98-'[2]$ лето'!am98-'[2]$ лето'!al98-'[2]$ лето'!ak98-'[2]$ лето'!aj98-'[2]$ лето'!ah98-'[2]$ лето'!ag98-'[2]$ лето'!af98-'[2]$ лето'!ae98-'[2]$ лето'!ad98-'[2]$ лето'!ab98-'[2]$ лето'!aa98-'[2]$ лето'!z98-'[2]$ лето'!y98-'[2]$ лето'!x98-'[2]$ лето'!v98-'[2]$ лето'!u98-'[2]$ лето'!t98-'[2]$ лето'!s98-'[2]$ лето'!r98-'[2]$ лето'!p98-'[2]$ лето'!o98-'[2]$ лето'!n98-'[2]$ лето'!m98-'[2]$ лето'!l98+'[2]$ лето'!k98+'[2]$ лето'!q98+'[2]$ лето'!w98+'[2]$ лето'!ac98+'[2]$ лето'!ai98+'[2]$ лето'!ao98</f>
        <v>0</v>
      </c>
      <c r="I98" s="109" t="n">
        <f aca="false">'[2]$ лето'!ay98*1.1</f>
        <v>1416.8</v>
      </c>
    </row>
    <row r="99" customFormat="false" ht="15" hidden="true" customHeight="false" outlineLevel="0" collapsed="false">
      <c r="A99" s="115" t="s">
        <v>95</v>
      </c>
      <c r="B99" s="115" t="s">
        <v>601</v>
      </c>
      <c r="C99" s="116" t="s">
        <v>685</v>
      </c>
      <c r="D99" s="116"/>
      <c r="E99" s="116"/>
      <c r="F99" s="116"/>
      <c r="G99" s="108"/>
      <c r="H99" s="105" t="n">
        <f aca="false">'[2]$ лето'!j99-'[2]$ лето'!au99-'[2]$ лето'!at99-'[2]$ лето'!as99-'[2]$ лето'!ar99-'[2]$ лето'!aq99-'[2]$ лето'!ap99-'[2]$ лето'!an99-'[2]$ лето'!am99-'[2]$ лето'!al99-'[2]$ лето'!ak99-'[2]$ лето'!aj99-'[2]$ лето'!ah99-'[2]$ лето'!ag99-'[2]$ лето'!af99-'[2]$ лето'!ae99-'[2]$ лето'!ad99-'[2]$ лето'!ab99-'[2]$ лето'!aa99-'[2]$ лето'!z99-'[2]$ лето'!y99-'[2]$ лето'!x99-'[2]$ лето'!v99-'[2]$ лето'!u99-'[2]$ лето'!t99-'[2]$ лето'!s99-'[2]$ лето'!r99-'[2]$ лето'!p99-'[2]$ лето'!o99-'[2]$ лето'!n99-'[2]$ лето'!m99-'[2]$ лето'!l99+'[2]$ лето'!k99+'[2]$ лето'!q99+'[2]$ лето'!w99+'[2]$ лето'!ac99+'[2]$ лето'!ai99+'[2]$ лето'!ao99</f>
        <v>0</v>
      </c>
      <c r="I99" s="109" t="n">
        <f aca="false">'[2]$ лето'!ay99*1.1</f>
        <v>1324.4</v>
      </c>
    </row>
    <row r="100" customFormat="false" ht="15" hidden="false" customHeight="false" outlineLevel="0" collapsed="false">
      <c r="A100" s="115" t="s">
        <v>95</v>
      </c>
      <c r="B100" s="115" t="s">
        <v>658</v>
      </c>
      <c r="C100" s="116" t="s">
        <v>686</v>
      </c>
      <c r="D100" s="116"/>
      <c r="E100" s="116" t="n">
        <v>84</v>
      </c>
      <c r="F100" s="116" t="s">
        <v>562</v>
      </c>
      <c r="G100" s="108" t="s">
        <v>585</v>
      </c>
      <c r="H100" s="105" t="n">
        <f aca="false">'[2]$ лето'!j100-'[2]$ лето'!au100-'[2]$ лето'!at100-'[2]$ лето'!as100-'[2]$ лето'!ar100-'[2]$ лето'!aq100-'[2]$ лето'!ap100-'[2]$ лето'!an100-'[2]$ лето'!am100-'[2]$ лето'!al100-'[2]$ лето'!ak100-'[2]$ лето'!aj100-'[2]$ лето'!ah100-'[2]$ лето'!ag100-'[2]$ лето'!af100-'[2]$ лето'!ae100-'[2]$ лето'!ad100-'[2]$ лето'!ab100-'[2]$ лето'!aa100-'[2]$ лето'!z100-'[2]$ лето'!y100-'[2]$ лето'!x100-'[2]$ лето'!v100-'[2]$ лето'!u100-'[2]$ лето'!t100-'[2]$ лето'!s100-'[2]$ лето'!r100-'[2]$ лето'!p100-'[2]$ лето'!o100-'[2]$ лето'!n100-'[2]$ лето'!m100-'[2]$ лето'!l100+'[2]$ лето'!k100+'[2]$ лето'!q100+'[2]$ лето'!w100+'[2]$ лето'!ac100+'[2]$ лето'!ai100+'[2]$ лето'!ao100</f>
        <v>4</v>
      </c>
      <c r="I100" s="109" t="n">
        <f aca="false">'[2]$ лето'!ay100*1.1</f>
        <v>1509.2</v>
      </c>
      <c r="J100" s="85" t="n">
        <v>2016</v>
      </c>
    </row>
    <row r="101" customFormat="false" ht="15" hidden="true" customHeight="false" outlineLevel="0" collapsed="false">
      <c r="A101" s="115" t="s">
        <v>95</v>
      </c>
      <c r="B101" s="115" t="s">
        <v>555</v>
      </c>
      <c r="C101" s="119" t="s">
        <v>571</v>
      </c>
      <c r="D101" s="119"/>
      <c r="E101" s="119"/>
      <c r="F101" s="119"/>
      <c r="G101" s="108"/>
      <c r="H101" s="105" t="n">
        <f aca="false">'[2]$ лето'!j101-'[2]$ лето'!au101-'[2]$ лето'!at101-'[2]$ лето'!as101-'[2]$ лето'!ar101-'[2]$ лето'!aq101-'[2]$ лето'!ap101-'[2]$ лето'!an101-'[2]$ лето'!am101-'[2]$ лето'!al101-'[2]$ лето'!ak101-'[2]$ лето'!aj101-'[2]$ лето'!ah101-'[2]$ лето'!ag101-'[2]$ лето'!af101-'[2]$ лето'!ae101-'[2]$ лето'!ad101-'[2]$ лето'!ab101-'[2]$ лето'!aa101-'[2]$ лето'!z101-'[2]$ лето'!y101-'[2]$ лето'!x101-'[2]$ лето'!v101-'[2]$ лето'!u101-'[2]$ лето'!t101-'[2]$ лето'!s101-'[2]$ лето'!r101-'[2]$ лето'!p101-'[2]$ лето'!o101-'[2]$ лето'!n101-'[2]$ лето'!m101-'[2]$ лето'!l101+'[2]$ лето'!k101+'[2]$ лето'!q101+'[2]$ лето'!w101+'[2]$ лето'!ac101+'[2]$ лето'!ai101+'[2]$ лето'!ao101</f>
        <v>0</v>
      </c>
      <c r="I101" s="109" t="n">
        <f aca="false">'[2]$ лето'!ay101*1.1</f>
        <v>1262.8</v>
      </c>
    </row>
    <row r="102" customFormat="false" ht="15" hidden="true" customHeight="false" outlineLevel="0" collapsed="false">
      <c r="A102" s="115" t="s">
        <v>95</v>
      </c>
      <c r="B102" s="115" t="s">
        <v>555</v>
      </c>
      <c r="C102" s="116" t="s">
        <v>603</v>
      </c>
      <c r="D102" s="116"/>
      <c r="E102" s="116"/>
      <c r="F102" s="116"/>
      <c r="G102" s="108"/>
      <c r="H102" s="105" t="n">
        <f aca="false">'[2]$ лето'!j102-'[2]$ лето'!au102-'[2]$ лето'!at102-'[2]$ лето'!as102-'[2]$ лето'!ar102-'[2]$ лето'!aq102-'[2]$ лето'!ap102-'[2]$ лето'!an102-'[2]$ лето'!am102-'[2]$ лето'!al102-'[2]$ лето'!ak102-'[2]$ лето'!aj102-'[2]$ лето'!ah102-'[2]$ лето'!ag102-'[2]$ лето'!af102-'[2]$ лето'!ae102-'[2]$ лето'!ad102-'[2]$ лето'!ab102-'[2]$ лето'!aa102-'[2]$ лето'!z102-'[2]$ лето'!y102-'[2]$ лето'!x102-'[2]$ лето'!v102-'[2]$ лето'!u102-'[2]$ лето'!t102-'[2]$ лето'!s102-'[2]$ лето'!r102-'[2]$ лето'!p102-'[2]$ лето'!o102-'[2]$ лето'!n102-'[2]$ лето'!m102-'[2]$ лето'!l102+'[2]$ лето'!k102+'[2]$ лето'!q102+'[2]$ лето'!w102+'[2]$ лето'!ac102+'[2]$ лето'!ai102+'[2]$ лето'!ao102</f>
        <v>0</v>
      </c>
      <c r="I102" s="109" t="n">
        <f aca="false">'[2]$ лето'!ay102*1.1</f>
        <v>1016.4</v>
      </c>
    </row>
    <row r="103" customFormat="false" ht="15" hidden="true" customHeight="false" outlineLevel="0" collapsed="false">
      <c r="A103" s="115" t="s">
        <v>95</v>
      </c>
      <c r="B103" s="115" t="s">
        <v>604</v>
      </c>
      <c r="C103" s="107" t="s">
        <v>642</v>
      </c>
      <c r="D103" s="107"/>
      <c r="E103" s="107"/>
      <c r="F103" s="107"/>
      <c r="G103" s="108"/>
      <c r="H103" s="105" t="n">
        <f aca="false">'[2]$ лето'!j103-'[2]$ лето'!au103-'[2]$ лето'!at103-'[2]$ лето'!as103-'[2]$ лето'!ar103-'[2]$ лето'!aq103-'[2]$ лето'!ap103-'[2]$ лето'!an103-'[2]$ лето'!am103-'[2]$ лето'!al103-'[2]$ лето'!ak103-'[2]$ лето'!aj103-'[2]$ лето'!ah103-'[2]$ лето'!ag103-'[2]$ лето'!af103-'[2]$ лето'!ae103-'[2]$ лето'!ad103-'[2]$ лето'!ab103-'[2]$ лето'!aa103-'[2]$ лето'!z103-'[2]$ лето'!y103-'[2]$ лето'!x103-'[2]$ лето'!v103-'[2]$ лето'!u103-'[2]$ лето'!t103-'[2]$ лето'!s103-'[2]$ лето'!r103-'[2]$ лето'!p103-'[2]$ лето'!o103-'[2]$ лето'!n103-'[2]$ лето'!m103-'[2]$ лето'!l103+'[2]$ лето'!k103+'[2]$ лето'!q103+'[2]$ лето'!w103+'[2]$ лето'!ac103+'[2]$ лето'!ai103+'[2]$ лето'!ao103</f>
        <v>0</v>
      </c>
      <c r="I103" s="109" t="n">
        <f aca="false">'[2]$ лето'!ay103*1.1</f>
        <v>1108.8</v>
      </c>
    </row>
    <row r="104" customFormat="false" ht="15" hidden="true" customHeight="false" outlineLevel="0" collapsed="false">
      <c r="A104" s="115" t="s">
        <v>95</v>
      </c>
      <c r="B104" s="115" t="s">
        <v>606</v>
      </c>
      <c r="C104" s="107" t="s">
        <v>687</v>
      </c>
      <c r="D104" s="107"/>
      <c r="E104" s="107"/>
      <c r="F104" s="107"/>
      <c r="G104" s="108"/>
      <c r="H104" s="105" t="n">
        <f aca="false">'[2]$ лето'!j104-'[2]$ лето'!au104-'[2]$ лето'!at104-'[2]$ лето'!as104-'[2]$ лето'!ar104-'[2]$ лето'!aq104-'[2]$ лето'!ap104-'[2]$ лето'!an104-'[2]$ лето'!am104-'[2]$ лето'!al104-'[2]$ лето'!ak104-'[2]$ лето'!aj104-'[2]$ лето'!ah104-'[2]$ лето'!ag104-'[2]$ лето'!af104-'[2]$ лето'!ae104-'[2]$ лето'!ad104-'[2]$ лето'!ab104-'[2]$ лето'!aa104-'[2]$ лето'!z104-'[2]$ лето'!y104-'[2]$ лето'!x104-'[2]$ лето'!v104-'[2]$ лето'!u104-'[2]$ лето'!t104-'[2]$ лето'!s104-'[2]$ лето'!r104-'[2]$ лето'!p104-'[2]$ лето'!o104-'[2]$ лето'!n104-'[2]$ лето'!m104-'[2]$ лето'!l104+'[2]$ лето'!k104+'[2]$ лето'!q104+'[2]$ лето'!w104+'[2]$ лето'!ac104+'[2]$ лето'!ai104+'[2]$ лето'!ao104</f>
        <v>0</v>
      </c>
      <c r="I104" s="109" t="n">
        <f aca="false">'[2]$ лето'!ay104*1.1</f>
        <v>1078</v>
      </c>
    </row>
    <row r="105" customFormat="false" ht="15" hidden="false" customHeight="false" outlineLevel="0" collapsed="false">
      <c r="A105" s="115" t="s">
        <v>95</v>
      </c>
      <c r="B105" s="115" t="s">
        <v>606</v>
      </c>
      <c r="C105" s="107" t="s">
        <v>688</v>
      </c>
      <c r="D105" s="107"/>
      <c r="E105" s="116" t="n">
        <v>84</v>
      </c>
      <c r="F105" s="116" t="s">
        <v>562</v>
      </c>
      <c r="G105" s="108"/>
      <c r="H105" s="105" t="n">
        <f aca="false">'[2]$ лето'!j105-'[2]$ лето'!au105-'[2]$ лето'!at105-'[2]$ лето'!as105-'[2]$ лето'!ar105-'[2]$ лето'!aq105-'[2]$ лето'!ap105-'[2]$ лето'!an105-'[2]$ лето'!am105-'[2]$ лето'!al105-'[2]$ лето'!ak105-'[2]$ лето'!aj105-'[2]$ лето'!ah105-'[2]$ лето'!ag105-'[2]$ лето'!af105-'[2]$ лето'!ae105-'[2]$ лето'!ad105-'[2]$ лето'!ab105-'[2]$ лето'!aa105-'[2]$ лето'!z105-'[2]$ лето'!y105-'[2]$ лето'!x105-'[2]$ лето'!v105-'[2]$ лето'!u105-'[2]$ лето'!t105-'[2]$ лето'!s105-'[2]$ лето'!r105-'[2]$ лето'!p105-'[2]$ лето'!o105-'[2]$ лето'!n105-'[2]$ лето'!m105-'[2]$ лето'!l105+'[2]$ лето'!k105+'[2]$ лето'!q105+'[2]$ лето'!w105+'[2]$ лето'!ac105+'[2]$ лето'!ai105+'[2]$ лето'!ao105</f>
        <v>2</v>
      </c>
      <c r="I105" s="109" t="n">
        <f aca="false">'[2]$ лето'!ay105*1.1</f>
        <v>1355.2</v>
      </c>
    </row>
    <row r="106" customFormat="false" ht="15" hidden="true" customHeight="false" outlineLevel="0" collapsed="false">
      <c r="A106" s="115" t="s">
        <v>95</v>
      </c>
      <c r="B106" s="115" t="s">
        <v>574</v>
      </c>
      <c r="C106" s="107" t="s">
        <v>689</v>
      </c>
      <c r="D106" s="107"/>
      <c r="E106" s="107"/>
      <c r="F106" s="107"/>
      <c r="G106" s="108" t="s">
        <v>576</v>
      </c>
      <c r="H106" s="105" t="n">
        <f aca="false">'[2]$ лето'!j106-'[2]$ лето'!au106-'[2]$ лето'!at106-'[2]$ лето'!as106-'[2]$ лето'!ar106-'[2]$ лето'!aq106-'[2]$ лето'!ap106-'[2]$ лето'!an106-'[2]$ лето'!am106-'[2]$ лето'!al106-'[2]$ лето'!ak106-'[2]$ лето'!aj106-'[2]$ лето'!ah106-'[2]$ лето'!ag106-'[2]$ лето'!af106-'[2]$ лето'!ae106-'[2]$ лето'!ad106-'[2]$ лето'!ab106-'[2]$ лето'!aa106-'[2]$ лето'!z106-'[2]$ лето'!y106-'[2]$ лето'!x106-'[2]$ лето'!v106-'[2]$ лето'!u106-'[2]$ лето'!t106-'[2]$ лето'!s106-'[2]$ лето'!r106-'[2]$ лето'!p106-'[2]$ лето'!o106-'[2]$ лето'!n106-'[2]$ лето'!m106-'[2]$ лето'!l106+'[2]$ лето'!k106+'[2]$ лето'!q106+'[2]$ лето'!w106+'[2]$ лето'!ac106+'[2]$ лето'!ai106+'[2]$ лето'!ao106</f>
        <v>0</v>
      </c>
      <c r="I106" s="109" t="n">
        <f aca="false">'[2]$ лето'!ay106*1.1</f>
        <v>1078</v>
      </c>
      <c r="J106" s="85" t="n">
        <v>2017</v>
      </c>
    </row>
    <row r="107" customFormat="false" ht="15" hidden="true" customHeight="false" outlineLevel="0" collapsed="false">
      <c r="A107" s="115" t="s">
        <v>95</v>
      </c>
      <c r="B107" s="115" t="s">
        <v>577</v>
      </c>
      <c r="C107" s="107" t="s">
        <v>690</v>
      </c>
      <c r="D107" s="107"/>
      <c r="E107" s="107"/>
      <c r="F107" s="107"/>
      <c r="G107" s="108" t="s">
        <v>563</v>
      </c>
      <c r="H107" s="105" t="n">
        <f aca="false">'[2]$ лето'!j107-'[2]$ лето'!au107-'[2]$ лето'!at107-'[2]$ лето'!as107-'[2]$ лето'!ar107-'[2]$ лето'!aq107-'[2]$ лето'!ap107-'[2]$ лето'!an107-'[2]$ лето'!am107-'[2]$ лето'!al107-'[2]$ лето'!ak107-'[2]$ лето'!aj107-'[2]$ лето'!ah107-'[2]$ лето'!ag107-'[2]$ лето'!af107-'[2]$ лето'!ae107-'[2]$ лето'!ad107-'[2]$ лето'!ab107-'[2]$ лето'!aa107-'[2]$ лето'!z107-'[2]$ лето'!y107-'[2]$ лето'!x107-'[2]$ лето'!v107-'[2]$ лето'!u107-'[2]$ лето'!t107-'[2]$ лето'!s107-'[2]$ лето'!r107-'[2]$ лето'!p107-'[2]$ лето'!o107-'[2]$ лето'!n107-'[2]$ лето'!m107-'[2]$ лето'!l107+'[2]$ лето'!k107+'[2]$ лето'!q107+'[2]$ лето'!w107+'[2]$ лето'!ac107+'[2]$ лето'!ai107+'[2]$ лето'!ao107</f>
        <v>0</v>
      </c>
      <c r="I107" s="109" t="n">
        <f aca="false">'[2]$ лето'!ay107*1.1</f>
        <v>924</v>
      </c>
    </row>
    <row r="108" customFormat="false" ht="15" hidden="false" customHeight="false" outlineLevel="0" collapsed="false">
      <c r="A108" s="115" t="s">
        <v>95</v>
      </c>
      <c r="B108" s="115" t="s">
        <v>579</v>
      </c>
      <c r="C108" s="107" t="s">
        <v>691</v>
      </c>
      <c r="D108" s="107"/>
      <c r="E108" s="116" t="n">
        <v>84</v>
      </c>
      <c r="F108" s="116" t="s">
        <v>562</v>
      </c>
      <c r="G108" s="108" t="s">
        <v>520</v>
      </c>
      <c r="H108" s="105" t="n">
        <f aca="false">'[2]$ лето'!j108-'[2]$ лето'!au108-'[2]$ лето'!at108-'[2]$ лето'!as108-'[2]$ лето'!ar108-'[2]$ лето'!aq108-'[2]$ лето'!ap108-'[2]$ лето'!an108-'[2]$ лето'!am108-'[2]$ лето'!al108-'[2]$ лето'!ak108-'[2]$ лето'!aj108-'[2]$ лето'!ah108-'[2]$ лето'!ag108-'[2]$ лето'!af108-'[2]$ лето'!ae108-'[2]$ лето'!ad108-'[2]$ лето'!ab108-'[2]$ лето'!aa108-'[2]$ лето'!z108-'[2]$ лето'!y108-'[2]$ лето'!x108-'[2]$ лето'!v108-'[2]$ лето'!u108-'[2]$ лето'!t108-'[2]$ лето'!s108-'[2]$ лето'!r108-'[2]$ лето'!p108-'[2]$ лето'!o108-'[2]$ лето'!n108-'[2]$ лето'!m108-'[2]$ лето'!l108+'[2]$ лето'!k108+'[2]$ лето'!q108+'[2]$ лето'!w108+'[2]$ лето'!ac108+'[2]$ лето'!ai108+'[2]$ лето'!ao108</f>
        <v>14</v>
      </c>
      <c r="I108" s="109" t="n">
        <f aca="false">'[2]$ лето'!ay108*1.1</f>
        <v>814</v>
      </c>
    </row>
    <row r="109" customFormat="false" ht="15" hidden="true" customHeight="false" outlineLevel="0" collapsed="false">
      <c r="A109" s="115" t="s">
        <v>95</v>
      </c>
      <c r="B109" s="115" t="s">
        <v>583</v>
      </c>
      <c r="C109" s="116" t="s">
        <v>673</v>
      </c>
      <c r="D109" s="116"/>
      <c r="E109" s="116"/>
      <c r="F109" s="116"/>
      <c r="G109" s="108"/>
      <c r="H109" s="105" t="n">
        <f aca="false">'[2]$ лето'!j109-'[2]$ лето'!au109-'[2]$ лето'!at109-'[2]$ лето'!as109-'[2]$ лето'!ar109-'[2]$ лето'!aq109-'[2]$ лето'!ap109-'[2]$ лето'!an109-'[2]$ лето'!am109-'[2]$ лето'!al109-'[2]$ лето'!ak109-'[2]$ лето'!aj109-'[2]$ лето'!ah109-'[2]$ лето'!ag109-'[2]$ лето'!af109-'[2]$ лето'!ae109-'[2]$ лето'!ad109-'[2]$ лето'!ab109-'[2]$ лето'!aa109-'[2]$ лето'!z109-'[2]$ лето'!y109-'[2]$ лето'!x109-'[2]$ лето'!v109-'[2]$ лето'!u109-'[2]$ лето'!t109-'[2]$ лето'!s109-'[2]$ лето'!r109-'[2]$ лето'!p109-'[2]$ лето'!o109-'[2]$ лето'!n109-'[2]$ лето'!m109-'[2]$ лето'!l109+'[2]$ лето'!k109+'[2]$ лето'!q109+'[2]$ лето'!w109+'[2]$ лето'!ac109+'[2]$ лето'!ai109+'[2]$ лето'!ao109</f>
        <v>0</v>
      </c>
      <c r="I109" s="109" t="n">
        <f aca="false">'[2]$ лето'!ay109*1.1</f>
        <v>1078</v>
      </c>
      <c r="J109" s="85" t="n">
        <v>2017</v>
      </c>
    </row>
    <row r="110" customFormat="false" ht="15" hidden="false" customHeight="false" outlineLevel="0" collapsed="false">
      <c r="A110" s="115" t="s">
        <v>95</v>
      </c>
      <c r="B110" s="115" t="s">
        <v>583</v>
      </c>
      <c r="C110" s="116" t="s">
        <v>692</v>
      </c>
      <c r="D110" s="116"/>
      <c r="E110" s="116" t="n">
        <v>84</v>
      </c>
      <c r="F110" s="116" t="s">
        <v>562</v>
      </c>
      <c r="G110" s="108" t="s">
        <v>693</v>
      </c>
      <c r="H110" s="105" t="n">
        <f aca="false">'[2]$ лето'!j110-'[2]$ лето'!au110-'[2]$ лето'!at110-'[2]$ лето'!as110-'[2]$ лето'!ar110-'[2]$ лето'!aq110-'[2]$ лето'!ap110-'[2]$ лето'!an110-'[2]$ лето'!am110-'[2]$ лето'!al110-'[2]$ лето'!ak110-'[2]$ лето'!aj110-'[2]$ лето'!ah110-'[2]$ лето'!ag110-'[2]$ лето'!af110-'[2]$ лето'!ae110-'[2]$ лето'!ad110-'[2]$ лето'!ab110-'[2]$ лето'!aa110-'[2]$ лето'!z110-'[2]$ лето'!y110-'[2]$ лето'!x110-'[2]$ лето'!v110-'[2]$ лето'!u110-'[2]$ лето'!t110-'[2]$ лето'!s110-'[2]$ лето'!r110-'[2]$ лето'!p110-'[2]$ лето'!o110-'[2]$ лето'!n110-'[2]$ лето'!m110-'[2]$ лето'!l110+'[2]$ лето'!k110+'[2]$ лето'!q110+'[2]$ лето'!w110+'[2]$ лето'!ac110+'[2]$ лето'!ai110+'[2]$ лето'!ao110</f>
        <v>4</v>
      </c>
      <c r="I110" s="109" t="n">
        <f aca="false">'[2]$ лето'!ay110*1.1</f>
        <v>1139.6</v>
      </c>
      <c r="J110" s="85" t="n">
        <v>2017</v>
      </c>
    </row>
    <row r="111" customFormat="false" ht="15" hidden="false" customHeight="false" outlineLevel="0" collapsed="false">
      <c r="A111" s="115" t="s">
        <v>95</v>
      </c>
      <c r="B111" s="115" t="s">
        <v>613</v>
      </c>
      <c r="C111" s="116" t="s">
        <v>694</v>
      </c>
      <c r="D111" s="116"/>
      <c r="E111" s="116" t="n">
        <v>84</v>
      </c>
      <c r="F111" s="116" t="s">
        <v>634</v>
      </c>
      <c r="G111" s="108"/>
      <c r="H111" s="105" t="n">
        <f aca="false">'[2]$ лето'!j111-'[2]$ лето'!au111-'[2]$ лето'!at111-'[2]$ лето'!as111-'[2]$ лето'!ar111-'[2]$ лето'!aq111-'[2]$ лето'!ap111-'[2]$ лето'!an111-'[2]$ лето'!am111-'[2]$ лето'!al111-'[2]$ лето'!ak111-'[2]$ лето'!aj111-'[2]$ лето'!ah111-'[2]$ лето'!ag111-'[2]$ лето'!af111-'[2]$ лето'!ae111-'[2]$ лето'!ad111-'[2]$ лето'!ab111-'[2]$ лето'!aa111-'[2]$ лето'!z111-'[2]$ лето'!y111-'[2]$ лето'!x111-'[2]$ лето'!v111-'[2]$ лето'!u111-'[2]$ лето'!t111-'[2]$ лето'!s111-'[2]$ лето'!r111-'[2]$ лето'!p111-'[2]$ лето'!o111-'[2]$ лето'!n111-'[2]$ лето'!m111-'[2]$ лето'!l111+'[2]$ лето'!k111+'[2]$ лето'!q111+'[2]$ лето'!w111+'[2]$ лето'!ac111+'[2]$ лето'!ai111+'[2]$ лето'!ao111</f>
        <v>2</v>
      </c>
      <c r="I111" s="109" t="n">
        <f aca="false">'[2]$ лето'!ay111*1.1</f>
        <v>831.6</v>
      </c>
    </row>
    <row r="112" customFormat="false" ht="15" hidden="false" customHeight="false" outlineLevel="0" collapsed="false">
      <c r="A112" s="115" t="s">
        <v>95</v>
      </c>
      <c r="B112" s="115" t="s">
        <v>586</v>
      </c>
      <c r="C112" s="116" t="s">
        <v>695</v>
      </c>
      <c r="D112" s="116"/>
      <c r="E112" s="116" t="n">
        <v>84</v>
      </c>
      <c r="F112" s="116" t="s">
        <v>562</v>
      </c>
      <c r="G112" s="108" t="s">
        <v>520</v>
      </c>
      <c r="H112" s="105" t="n">
        <f aca="false">'[2]$ лето'!j112-'[2]$ лето'!au112-'[2]$ лето'!at112-'[2]$ лето'!as112-'[2]$ лето'!ar112-'[2]$ лето'!aq112-'[2]$ лето'!ap112-'[2]$ лето'!an112-'[2]$ лето'!am112-'[2]$ лето'!al112-'[2]$ лето'!ak112-'[2]$ лето'!aj112-'[2]$ лето'!ah112-'[2]$ лето'!ag112-'[2]$ лето'!af112-'[2]$ лето'!ae112-'[2]$ лето'!ad112-'[2]$ лето'!ab112-'[2]$ лето'!aa112-'[2]$ лето'!z112-'[2]$ лето'!y112-'[2]$ лето'!x112-'[2]$ лето'!v112-'[2]$ лето'!u112-'[2]$ лето'!t112-'[2]$ лето'!s112-'[2]$ лето'!r112-'[2]$ лето'!p112-'[2]$ лето'!o112-'[2]$ лето'!n112-'[2]$ лето'!m112-'[2]$ лето'!l112+'[2]$ лето'!k112+'[2]$ лето'!q112+'[2]$ лето'!w112+'[2]$ лето'!ac112+'[2]$ лето'!ai112+'[2]$ лето'!ao112</f>
        <v>2</v>
      </c>
      <c r="I112" s="109" t="n">
        <f aca="false">'[2]$ лето'!ay112*1.1</f>
        <v>831.6</v>
      </c>
    </row>
    <row r="113" customFormat="false" ht="15" hidden="true" customHeight="false" outlineLevel="0" collapsed="false">
      <c r="A113" s="115" t="s">
        <v>95</v>
      </c>
      <c r="B113" s="115" t="s">
        <v>593</v>
      </c>
      <c r="C113" s="116" t="s">
        <v>696</v>
      </c>
      <c r="D113" s="116"/>
      <c r="E113" s="116"/>
      <c r="F113" s="116"/>
      <c r="G113" s="108"/>
      <c r="H113" s="105" t="n">
        <f aca="false">'[2]$ лето'!j113-'[2]$ лето'!au113-'[2]$ лето'!at113-'[2]$ лето'!as113-'[2]$ лето'!ar113-'[2]$ лето'!aq113-'[2]$ лето'!ap113-'[2]$ лето'!an113-'[2]$ лето'!am113-'[2]$ лето'!al113-'[2]$ лето'!ak113-'[2]$ лето'!aj113-'[2]$ лето'!ah113-'[2]$ лето'!ag113-'[2]$ лето'!af113-'[2]$ лето'!ae113-'[2]$ лето'!ad113-'[2]$ лето'!ab113-'[2]$ лето'!aa113-'[2]$ лето'!z113-'[2]$ лето'!y113-'[2]$ лето'!x113-'[2]$ лето'!v113-'[2]$ лето'!u113-'[2]$ лето'!t113-'[2]$ лето'!s113-'[2]$ лето'!r113-'[2]$ лето'!p113-'[2]$ лето'!o113-'[2]$ лето'!n113-'[2]$ лето'!m113-'[2]$ лето'!l113+'[2]$ лето'!k113+'[2]$ лето'!q113+'[2]$ лето'!w113+'[2]$ лето'!ac113+'[2]$ лето'!ai113+'[2]$ лето'!ao113</f>
        <v>0</v>
      </c>
      <c r="I113" s="109" t="n">
        <f aca="false">'[2]$ лето'!ay113*1.1</f>
        <v>1509.2</v>
      </c>
    </row>
    <row r="114" customFormat="false" ht="15" hidden="false" customHeight="false" outlineLevel="0" collapsed="false">
      <c r="A114" s="115" t="s">
        <v>95</v>
      </c>
      <c r="B114" s="115" t="s">
        <v>617</v>
      </c>
      <c r="C114" s="116" t="s">
        <v>697</v>
      </c>
      <c r="D114" s="116"/>
      <c r="E114" s="116"/>
      <c r="F114" s="116"/>
      <c r="G114" s="108"/>
      <c r="H114" s="105" t="n">
        <f aca="false">'[2]$ лето'!j114-'[2]$ лето'!au114-'[2]$ лето'!at114-'[2]$ лето'!as114-'[2]$ лето'!ar114-'[2]$ лето'!aq114-'[2]$ лето'!ap114-'[2]$ лето'!an114-'[2]$ лето'!am114-'[2]$ лето'!al114-'[2]$ лето'!ak114-'[2]$ лето'!aj114-'[2]$ лето'!ah114-'[2]$ лето'!ag114-'[2]$ лето'!af114-'[2]$ лето'!ae114-'[2]$ лето'!ad114-'[2]$ лето'!ab114-'[2]$ лето'!aa114-'[2]$ лето'!z114-'[2]$ лето'!y114-'[2]$ лето'!x114-'[2]$ лето'!v114-'[2]$ лето'!u114-'[2]$ лето'!t114-'[2]$ лето'!s114-'[2]$ лето'!r114-'[2]$ лето'!p114-'[2]$ лето'!o114-'[2]$ лето'!n114-'[2]$ лето'!m114-'[2]$ лето'!l114+'[2]$ лето'!k114+'[2]$ лето'!q114+'[2]$ лето'!w114+'[2]$ лето'!ac114+'[2]$ лето'!ai114+'[2]$ лето'!ao114</f>
        <v>2</v>
      </c>
      <c r="I114" s="109" t="n">
        <f aca="false">'[2]$ лето'!ay114*1.1</f>
        <v>1016.4</v>
      </c>
      <c r="J114" s="85" t="n">
        <v>2018</v>
      </c>
    </row>
    <row r="115" customFormat="false" ht="15" hidden="false" customHeight="false" outlineLevel="0" collapsed="false">
      <c r="A115" s="115" t="s">
        <v>95</v>
      </c>
      <c r="B115" s="115" t="s">
        <v>677</v>
      </c>
      <c r="C115" s="107" t="s">
        <v>698</v>
      </c>
      <c r="D115" s="107"/>
      <c r="E115" s="116" t="n">
        <v>84</v>
      </c>
      <c r="F115" s="116" t="s">
        <v>562</v>
      </c>
      <c r="G115" s="108"/>
      <c r="H115" s="105" t="n">
        <f aca="false">'[2]$ лето'!j115-'[2]$ лето'!au115-'[2]$ лето'!at115-'[2]$ лето'!as115-'[2]$ лето'!ar115-'[2]$ лето'!aq115-'[2]$ лето'!ap115-'[2]$ лето'!an115-'[2]$ лето'!am115-'[2]$ лето'!al115-'[2]$ лето'!ak115-'[2]$ лето'!aj115-'[2]$ лето'!ah115-'[2]$ лето'!ag115-'[2]$ лето'!af115-'[2]$ лето'!ae115-'[2]$ лето'!ad115-'[2]$ лето'!ab115-'[2]$ лето'!aa115-'[2]$ лето'!z115-'[2]$ лето'!y115-'[2]$ лето'!x115-'[2]$ лето'!v115-'[2]$ лето'!u115-'[2]$ лето'!t115-'[2]$ лето'!s115-'[2]$ лето'!r115-'[2]$ лето'!p115-'[2]$ лето'!o115-'[2]$ лето'!n115-'[2]$ лето'!m115-'[2]$ лето'!l115+'[2]$ лето'!k115+'[2]$ лето'!q115+'[2]$ лето'!w115+'[2]$ лето'!ac115+'[2]$ лето'!ai115+'[2]$ лето'!ao115</f>
        <v>4</v>
      </c>
      <c r="I115" s="109" t="n">
        <f aca="false">'[2]$ лето'!ay115*1.1</f>
        <v>954.8</v>
      </c>
      <c r="J115" s="85" t="n">
        <v>2017</v>
      </c>
    </row>
    <row r="116" customFormat="false" ht="15" hidden="true" customHeight="false" outlineLevel="0" collapsed="false">
      <c r="A116" s="115" t="s">
        <v>95</v>
      </c>
      <c r="B116" s="115" t="s">
        <v>589</v>
      </c>
      <c r="C116" s="107" t="s">
        <v>699</v>
      </c>
      <c r="D116" s="107"/>
      <c r="E116" s="107"/>
      <c r="F116" s="107"/>
      <c r="G116" s="108"/>
      <c r="H116" s="105" t="n">
        <f aca="false">'[2]$ лето'!j116-'[2]$ лето'!au116-'[2]$ лето'!at116-'[2]$ лето'!as116-'[2]$ лето'!ar116-'[2]$ лето'!aq116-'[2]$ лето'!ap116-'[2]$ лето'!an116-'[2]$ лето'!am116-'[2]$ лето'!al116-'[2]$ лето'!ak116-'[2]$ лето'!aj116-'[2]$ лето'!ah116-'[2]$ лето'!ag116-'[2]$ лето'!af116-'[2]$ лето'!ae116-'[2]$ лето'!ad116-'[2]$ лето'!ab116-'[2]$ лето'!aa116-'[2]$ лето'!z116-'[2]$ лето'!y116-'[2]$ лето'!x116-'[2]$ лето'!v116-'[2]$ лето'!u116-'[2]$ лето'!t116-'[2]$ лето'!s116-'[2]$ лето'!r116-'[2]$ лето'!p116-'[2]$ лето'!o116-'[2]$ лето'!n116-'[2]$ лето'!m116-'[2]$ лето'!l116+'[2]$ лето'!k116+'[2]$ лето'!q116+'[2]$ лето'!w116+'[2]$ лето'!ac116+'[2]$ лето'!ai116+'[2]$ лето'!ao116</f>
        <v>0</v>
      </c>
      <c r="I116" s="109" t="n">
        <f aca="false">'[2]$ лето'!ay116*1.1</f>
        <v>1293.6</v>
      </c>
      <c r="J116" s="85" t="n">
        <v>2017</v>
      </c>
    </row>
    <row r="117" customFormat="false" ht="15" hidden="false" customHeight="false" outlineLevel="0" collapsed="false">
      <c r="A117" s="115" t="s">
        <v>700</v>
      </c>
      <c r="B117" s="115" t="s">
        <v>583</v>
      </c>
      <c r="C117" s="107" t="s">
        <v>701</v>
      </c>
      <c r="D117" s="107"/>
      <c r="E117" s="116" t="n">
        <v>88</v>
      </c>
      <c r="F117" s="116" t="s">
        <v>562</v>
      </c>
      <c r="G117" s="108" t="s">
        <v>585</v>
      </c>
      <c r="H117" s="105" t="n">
        <f aca="false">'[2]$ лето'!j117-'[2]$ лето'!au117-'[2]$ лето'!at117-'[2]$ лето'!as117-'[2]$ лето'!ar117-'[2]$ лето'!aq117-'[2]$ лето'!ap117-'[2]$ лето'!an117-'[2]$ лето'!am117-'[2]$ лето'!al117-'[2]$ лето'!ak117-'[2]$ лето'!aj117-'[2]$ лето'!ah117-'[2]$ лето'!ag117-'[2]$ лето'!af117-'[2]$ лето'!ae117-'[2]$ лето'!ad117-'[2]$ лето'!ab117-'[2]$ лето'!aa117-'[2]$ лето'!z117-'[2]$ лето'!y117-'[2]$ лето'!x117-'[2]$ лето'!v117-'[2]$ лето'!u117-'[2]$ лето'!t117-'[2]$ лето'!s117-'[2]$ лето'!r117-'[2]$ лето'!p117-'[2]$ лето'!o117-'[2]$ лето'!n117-'[2]$ лето'!m117-'[2]$ лето'!l117+'[2]$ лето'!k117+'[2]$ лето'!q117+'[2]$ лето'!w117+'[2]$ лето'!ac117+'[2]$ лето'!ai117+'[2]$ лето'!ao117</f>
        <v>8</v>
      </c>
      <c r="I117" s="109" t="n">
        <f aca="false">'[2]$ лето'!ay117*1.1</f>
        <v>1170.4</v>
      </c>
      <c r="J117" s="85" t="n">
        <v>2018</v>
      </c>
    </row>
    <row r="118" customFormat="false" ht="15" hidden="true" customHeight="false" outlineLevel="0" collapsed="false">
      <c r="A118" s="115" t="s">
        <v>101</v>
      </c>
      <c r="B118" s="115" t="s">
        <v>566</v>
      </c>
      <c r="C118" s="107" t="s">
        <v>702</v>
      </c>
      <c r="D118" s="107"/>
      <c r="E118" s="107"/>
      <c r="F118" s="107"/>
      <c r="G118" s="108" t="s">
        <v>563</v>
      </c>
      <c r="H118" s="105" t="n">
        <f aca="false">'[2]$ лето'!j118-'[2]$ лето'!au118-'[2]$ лето'!at118-'[2]$ лето'!as118-'[2]$ лето'!ar118-'[2]$ лето'!aq118-'[2]$ лето'!ap118-'[2]$ лето'!an118-'[2]$ лето'!am118-'[2]$ лето'!al118-'[2]$ лето'!ak118-'[2]$ лето'!aj118-'[2]$ лето'!ah118-'[2]$ лето'!ag118-'[2]$ лето'!af118-'[2]$ лето'!ae118-'[2]$ лето'!ad118-'[2]$ лето'!ab118-'[2]$ лето'!aa118-'[2]$ лето'!z118-'[2]$ лето'!y118-'[2]$ лето'!x118-'[2]$ лето'!v118-'[2]$ лето'!u118-'[2]$ лето'!t118-'[2]$ лето'!s118-'[2]$ лето'!r118-'[2]$ лето'!p118-'[2]$ лето'!o118-'[2]$ лето'!n118-'[2]$ лето'!m118-'[2]$ лето'!l118+'[2]$ лето'!k118+'[2]$ лето'!q118+'[2]$ лето'!w118+'[2]$ лето'!ac118+'[2]$ лето'!ai118+'[2]$ лето'!ao118</f>
        <v>0</v>
      </c>
      <c r="I118" s="109" t="n">
        <f aca="false">'[2]$ лето'!ay118*1.1</f>
        <v>954.8</v>
      </c>
      <c r="J118" s="85" t="n">
        <v>2017</v>
      </c>
    </row>
    <row r="119" customFormat="false" ht="15" hidden="true" customHeight="false" outlineLevel="0" collapsed="false">
      <c r="A119" s="115" t="s">
        <v>101</v>
      </c>
      <c r="B119" s="115" t="s">
        <v>568</v>
      </c>
      <c r="C119" s="116" t="s">
        <v>703</v>
      </c>
      <c r="D119" s="116"/>
      <c r="E119" s="116"/>
      <c r="F119" s="116"/>
      <c r="G119" s="108"/>
      <c r="H119" s="105" t="n">
        <f aca="false">'[2]$ лето'!j119-'[2]$ лето'!au119-'[2]$ лето'!at119-'[2]$ лето'!as119-'[2]$ лето'!ar119-'[2]$ лето'!aq119-'[2]$ лето'!ap119-'[2]$ лето'!an119-'[2]$ лето'!am119-'[2]$ лето'!al119-'[2]$ лето'!ak119-'[2]$ лето'!aj119-'[2]$ лето'!ah119-'[2]$ лето'!ag119-'[2]$ лето'!af119-'[2]$ лето'!ae119-'[2]$ лето'!ad119-'[2]$ лето'!ab119-'[2]$ лето'!aa119-'[2]$ лето'!z119-'[2]$ лето'!y119-'[2]$ лето'!x119-'[2]$ лето'!v119-'[2]$ лето'!u119-'[2]$ лето'!t119-'[2]$ лето'!s119-'[2]$ лето'!r119-'[2]$ лето'!p119-'[2]$ лето'!o119-'[2]$ лето'!n119-'[2]$ лето'!m119-'[2]$ лето'!l119+'[2]$ лето'!k119+'[2]$ лето'!q119+'[2]$ лето'!w119+'[2]$ лето'!ac119+'[2]$ лето'!ai119+'[2]$ лето'!ao119</f>
        <v>0</v>
      </c>
      <c r="I119" s="109" t="n">
        <f aca="false">'[2]$ лето'!ay119*1.1</f>
        <v>1016.4</v>
      </c>
      <c r="J119" s="85" t="n">
        <v>2017</v>
      </c>
    </row>
    <row r="120" customFormat="false" ht="15" hidden="true" customHeight="false" outlineLevel="0" collapsed="false">
      <c r="A120" s="115" t="s">
        <v>101</v>
      </c>
      <c r="B120" s="115" t="s">
        <v>601</v>
      </c>
      <c r="C120" s="116" t="s">
        <v>704</v>
      </c>
      <c r="D120" s="116"/>
      <c r="E120" s="116"/>
      <c r="F120" s="116"/>
      <c r="G120" s="108"/>
      <c r="H120" s="105" t="n">
        <f aca="false">'[2]$ лето'!j120-'[2]$ лето'!au120-'[2]$ лето'!at120-'[2]$ лето'!as120-'[2]$ лето'!ar120-'[2]$ лето'!aq120-'[2]$ лето'!ap120-'[2]$ лето'!an120-'[2]$ лето'!am120-'[2]$ лето'!al120-'[2]$ лето'!ak120-'[2]$ лето'!aj120-'[2]$ лето'!ah120-'[2]$ лето'!ag120-'[2]$ лето'!af120-'[2]$ лето'!ae120-'[2]$ лето'!ad120-'[2]$ лето'!ab120-'[2]$ лето'!aa120-'[2]$ лето'!z120-'[2]$ лето'!y120-'[2]$ лето'!x120-'[2]$ лето'!v120-'[2]$ лето'!u120-'[2]$ лето'!t120-'[2]$ лето'!s120-'[2]$ лето'!r120-'[2]$ лето'!p120-'[2]$ лето'!o120-'[2]$ лето'!n120-'[2]$ лето'!m120-'[2]$ лето'!l120+'[2]$ лето'!k120+'[2]$ лето'!q120+'[2]$ лето'!w120+'[2]$ лето'!ac120+'[2]$ лето'!ai120+'[2]$ лето'!ao120</f>
        <v>0</v>
      </c>
      <c r="I120" s="109" t="n">
        <f aca="false">'[2]$ лето'!ay120*1.1</f>
        <v>0</v>
      </c>
    </row>
    <row r="121" customFormat="false" ht="15" hidden="false" customHeight="false" outlineLevel="0" collapsed="false">
      <c r="A121" s="115" t="s">
        <v>101</v>
      </c>
      <c r="B121" s="115" t="s">
        <v>658</v>
      </c>
      <c r="C121" s="116" t="s">
        <v>705</v>
      </c>
      <c r="D121" s="116"/>
      <c r="E121" s="116" t="n">
        <v>82</v>
      </c>
      <c r="F121" s="116" t="s">
        <v>634</v>
      </c>
      <c r="G121" s="108" t="s">
        <v>640</v>
      </c>
      <c r="H121" s="105" t="n">
        <f aca="false">'[2]$ лето'!j121-'[2]$ лето'!au121-'[2]$ лето'!at121-'[2]$ лето'!as121-'[2]$ лето'!ar121-'[2]$ лето'!aq121-'[2]$ лето'!ap121-'[2]$ лето'!an121-'[2]$ лето'!am121-'[2]$ лето'!al121-'[2]$ лето'!ak121-'[2]$ лето'!aj121-'[2]$ лето'!ah121-'[2]$ лето'!ag121-'[2]$ лето'!af121-'[2]$ лето'!ae121-'[2]$ лето'!ad121-'[2]$ лето'!ab121-'[2]$ лето'!aa121-'[2]$ лето'!z121-'[2]$ лето'!y121-'[2]$ лето'!x121-'[2]$ лето'!v121-'[2]$ лето'!u121-'[2]$ лето'!t121-'[2]$ лето'!s121-'[2]$ лето'!r121-'[2]$ лето'!p121-'[2]$ лето'!o121-'[2]$ лето'!n121-'[2]$ лето'!m121-'[2]$ лето'!l121+'[2]$ лето'!k121+'[2]$ лето'!q121+'[2]$ лето'!w121+'[2]$ лето'!ac121+'[2]$ лето'!ai121+'[2]$ лето'!ao121</f>
        <v>4</v>
      </c>
      <c r="I121" s="109" t="n">
        <f aca="false">'[2]$ лето'!ay121*1.1</f>
        <v>1540</v>
      </c>
      <c r="J121" s="85" t="n">
        <v>2018</v>
      </c>
    </row>
    <row r="122" customFormat="false" ht="15" hidden="true" customHeight="false" outlineLevel="0" collapsed="false">
      <c r="A122" s="115" t="s">
        <v>101</v>
      </c>
      <c r="B122" s="115" t="s">
        <v>555</v>
      </c>
      <c r="C122" s="116" t="s">
        <v>706</v>
      </c>
      <c r="D122" s="116"/>
      <c r="E122" s="116"/>
      <c r="F122" s="116"/>
      <c r="G122" s="108"/>
      <c r="H122" s="105" t="n">
        <f aca="false">'[2]$ лето'!j122-'[2]$ лето'!au122-'[2]$ лето'!at122-'[2]$ лето'!as122-'[2]$ лето'!ar122-'[2]$ лето'!aq122-'[2]$ лето'!ap122-'[2]$ лето'!an122-'[2]$ лето'!am122-'[2]$ лето'!al122-'[2]$ лето'!ak122-'[2]$ лето'!aj122-'[2]$ лето'!ah122-'[2]$ лето'!ag122-'[2]$ лето'!af122-'[2]$ лето'!ae122-'[2]$ лето'!ad122-'[2]$ лето'!ab122-'[2]$ лето'!aa122-'[2]$ лето'!z122-'[2]$ лето'!y122-'[2]$ лето'!x122-'[2]$ лето'!v122-'[2]$ лето'!u122-'[2]$ лето'!t122-'[2]$ лето'!s122-'[2]$ лето'!r122-'[2]$ лето'!p122-'[2]$ лето'!o122-'[2]$ лето'!n122-'[2]$ лето'!m122-'[2]$ лето'!l122+'[2]$ лето'!k122+'[2]$ лето'!q122+'[2]$ лето'!w122+'[2]$ лето'!ac122+'[2]$ лето'!ai122+'[2]$ лето'!ao122</f>
        <v>0</v>
      </c>
      <c r="I122" s="109" t="n">
        <f aca="false">'[2]$ лето'!ay122*1.1</f>
        <v>800.8</v>
      </c>
    </row>
    <row r="123" customFormat="false" ht="15" hidden="true" customHeight="false" outlineLevel="0" collapsed="false">
      <c r="A123" s="115" t="s">
        <v>101</v>
      </c>
      <c r="B123" s="115" t="s">
        <v>707</v>
      </c>
      <c r="C123" s="107" t="s">
        <v>708</v>
      </c>
      <c r="D123" s="107"/>
      <c r="E123" s="107"/>
      <c r="F123" s="107"/>
      <c r="G123" s="108"/>
      <c r="H123" s="105" t="n">
        <f aca="false">'[2]$ лето'!j123-'[2]$ лето'!au123-'[2]$ лето'!at123-'[2]$ лето'!as123-'[2]$ лето'!ar123-'[2]$ лето'!aq123-'[2]$ лето'!ap123-'[2]$ лето'!an123-'[2]$ лето'!am123-'[2]$ лето'!al123-'[2]$ лето'!ak123-'[2]$ лето'!aj123-'[2]$ лето'!ah123-'[2]$ лето'!ag123-'[2]$ лето'!af123-'[2]$ лето'!ae123-'[2]$ лето'!ad123-'[2]$ лето'!ab123-'[2]$ лето'!aa123-'[2]$ лето'!z123-'[2]$ лето'!y123-'[2]$ лето'!x123-'[2]$ лето'!v123-'[2]$ лето'!u123-'[2]$ лето'!t123-'[2]$ лето'!s123-'[2]$ лето'!r123-'[2]$ лето'!p123-'[2]$ лето'!o123-'[2]$ лето'!n123-'[2]$ лето'!m123-'[2]$ лето'!l123+'[2]$ лето'!k123+'[2]$ лето'!q123+'[2]$ лето'!w123+'[2]$ лето'!ac123+'[2]$ лето'!ai123+'[2]$ лето'!ao123</f>
        <v>0</v>
      </c>
      <c r="I123" s="109" t="n">
        <f aca="false">'[2]$ лето'!ay123*1.1</f>
        <v>924</v>
      </c>
    </row>
    <row r="124" customFormat="false" ht="15" hidden="true" customHeight="false" outlineLevel="0" collapsed="false">
      <c r="A124" s="115" t="s">
        <v>101</v>
      </c>
      <c r="B124" s="115" t="s">
        <v>707</v>
      </c>
      <c r="C124" s="116" t="s">
        <v>709</v>
      </c>
      <c r="D124" s="116"/>
      <c r="E124" s="116"/>
      <c r="F124" s="116"/>
      <c r="G124" s="108"/>
      <c r="H124" s="105" t="n">
        <f aca="false">'[2]$ лето'!j124-'[2]$ лето'!au124-'[2]$ лето'!at124-'[2]$ лето'!as124-'[2]$ лето'!ar124-'[2]$ лето'!aq124-'[2]$ лето'!ap124-'[2]$ лето'!an124-'[2]$ лето'!am124-'[2]$ лето'!al124-'[2]$ лето'!ak124-'[2]$ лето'!aj124-'[2]$ лето'!ah124-'[2]$ лето'!ag124-'[2]$ лето'!af124-'[2]$ лето'!ae124-'[2]$ лето'!ad124-'[2]$ лето'!ab124-'[2]$ лето'!aa124-'[2]$ лето'!z124-'[2]$ лето'!y124-'[2]$ лето'!x124-'[2]$ лето'!v124-'[2]$ лето'!u124-'[2]$ лето'!t124-'[2]$ лето'!s124-'[2]$ лето'!r124-'[2]$ лето'!p124-'[2]$ лето'!o124-'[2]$ лето'!n124-'[2]$ лето'!m124-'[2]$ лето'!l124+'[2]$ лето'!k124+'[2]$ лето'!q124+'[2]$ лето'!w124+'[2]$ лето'!ac124+'[2]$ лето'!ai124+'[2]$ лето'!ao124</f>
        <v>0</v>
      </c>
      <c r="I124" s="109" t="n">
        <f aca="false">'[2]$ лето'!ay124*1.1</f>
        <v>770</v>
      </c>
    </row>
    <row r="125" customFormat="false" ht="15" hidden="true" customHeight="false" outlineLevel="0" collapsed="false">
      <c r="A125" s="115" t="s">
        <v>101</v>
      </c>
      <c r="B125" s="115" t="s">
        <v>553</v>
      </c>
      <c r="C125" s="116" t="s">
        <v>710</v>
      </c>
      <c r="D125" s="116"/>
      <c r="E125" s="116"/>
      <c r="F125" s="116"/>
      <c r="G125" s="108"/>
      <c r="H125" s="105" t="n">
        <f aca="false">'[2]$ лето'!j125-'[2]$ лето'!au125-'[2]$ лето'!at125-'[2]$ лето'!as125-'[2]$ лето'!ar125-'[2]$ лето'!aq125-'[2]$ лето'!ap125-'[2]$ лето'!an125-'[2]$ лето'!am125-'[2]$ лето'!al125-'[2]$ лето'!ak125-'[2]$ лето'!aj125-'[2]$ лето'!ah125-'[2]$ лето'!ag125-'[2]$ лето'!af125-'[2]$ лето'!ae125-'[2]$ лето'!ad125-'[2]$ лето'!ab125-'[2]$ лето'!aa125-'[2]$ лето'!z125-'[2]$ лето'!y125-'[2]$ лето'!x125-'[2]$ лето'!v125-'[2]$ лето'!u125-'[2]$ лето'!t125-'[2]$ лето'!s125-'[2]$ лето'!r125-'[2]$ лето'!p125-'[2]$ лето'!o125-'[2]$ лето'!n125-'[2]$ лето'!m125-'[2]$ лето'!l125+'[2]$ лето'!k125+'[2]$ лето'!q125+'[2]$ лето'!w125+'[2]$ лето'!ac125+'[2]$ лето'!ai125+'[2]$ лето'!ao125</f>
        <v>0</v>
      </c>
      <c r="I125" s="109" t="n">
        <f aca="false">'[2]$ лето'!ay125*1.1</f>
        <v>862.4</v>
      </c>
    </row>
    <row r="126" customFormat="false" ht="15" hidden="true" customHeight="false" outlineLevel="0" collapsed="false">
      <c r="A126" s="115" t="s">
        <v>101</v>
      </c>
      <c r="B126" s="115" t="s">
        <v>604</v>
      </c>
      <c r="C126" s="116" t="s">
        <v>642</v>
      </c>
      <c r="D126" s="116"/>
      <c r="E126" s="116"/>
      <c r="F126" s="116"/>
      <c r="G126" s="108"/>
      <c r="H126" s="105" t="n">
        <f aca="false">'[2]$ лето'!j126-'[2]$ лето'!au126-'[2]$ лето'!at126-'[2]$ лето'!as126-'[2]$ лето'!ar126-'[2]$ лето'!aq126-'[2]$ лето'!ap126-'[2]$ лето'!an126-'[2]$ лето'!am126-'[2]$ лето'!al126-'[2]$ лето'!ak126-'[2]$ лето'!aj126-'[2]$ лето'!ah126-'[2]$ лето'!ag126-'[2]$ лето'!af126-'[2]$ лето'!ae126-'[2]$ лето'!ad126-'[2]$ лето'!ab126-'[2]$ лето'!aa126-'[2]$ лето'!z126-'[2]$ лето'!y126-'[2]$ лето'!x126-'[2]$ лето'!v126-'[2]$ лето'!u126-'[2]$ лето'!t126-'[2]$ лето'!s126-'[2]$ лето'!r126-'[2]$ лето'!p126-'[2]$ лето'!o126-'[2]$ лето'!n126-'[2]$ лето'!m126-'[2]$ лето'!l126+'[2]$ лето'!k126+'[2]$ лето'!q126+'[2]$ лето'!w126+'[2]$ лето'!ac126+'[2]$ лето'!ai126+'[2]$ лето'!ao126</f>
        <v>0</v>
      </c>
      <c r="I126" s="109" t="n">
        <f aca="false">'[2]$ лето'!ay126*1.1</f>
        <v>1386</v>
      </c>
    </row>
    <row r="127" customFormat="false" ht="15" hidden="true" customHeight="false" outlineLevel="0" collapsed="false">
      <c r="A127" s="115" t="s">
        <v>101</v>
      </c>
      <c r="B127" s="115" t="s">
        <v>604</v>
      </c>
      <c r="C127" s="116" t="s">
        <v>711</v>
      </c>
      <c r="D127" s="116"/>
      <c r="E127" s="116"/>
      <c r="F127" s="116"/>
      <c r="G127" s="108"/>
      <c r="H127" s="105" t="n">
        <f aca="false">'[2]$ лето'!j127-'[2]$ лето'!au127-'[2]$ лето'!at127-'[2]$ лето'!as127-'[2]$ лето'!ar127-'[2]$ лето'!aq127-'[2]$ лето'!ap127-'[2]$ лето'!an127-'[2]$ лето'!am127-'[2]$ лето'!al127-'[2]$ лето'!ak127-'[2]$ лето'!aj127-'[2]$ лето'!ah127-'[2]$ лето'!ag127-'[2]$ лето'!af127-'[2]$ лето'!ae127-'[2]$ лето'!ad127-'[2]$ лето'!ab127-'[2]$ лето'!aa127-'[2]$ лето'!z127-'[2]$ лето'!y127-'[2]$ лето'!x127-'[2]$ лето'!v127-'[2]$ лето'!u127-'[2]$ лето'!t127-'[2]$ лето'!s127-'[2]$ лето'!r127-'[2]$ лето'!p127-'[2]$ лето'!o127-'[2]$ лето'!n127-'[2]$ лето'!m127-'[2]$ лето'!l127+'[2]$ лето'!k127+'[2]$ лето'!q127+'[2]$ лето'!w127+'[2]$ лето'!ac127+'[2]$ лето'!ai127+'[2]$ лето'!ao127</f>
        <v>0</v>
      </c>
      <c r="I127" s="109" t="n">
        <f aca="false">'[2]$ лето'!ay127*1.1</f>
        <v>924</v>
      </c>
    </row>
    <row r="128" customFormat="false" ht="15" hidden="false" customHeight="false" outlineLevel="0" collapsed="false">
      <c r="A128" s="115" t="s">
        <v>101</v>
      </c>
      <c r="B128" s="115" t="s">
        <v>606</v>
      </c>
      <c r="C128" s="107" t="s">
        <v>712</v>
      </c>
      <c r="D128" s="107"/>
      <c r="E128" s="116" t="n">
        <v>82</v>
      </c>
      <c r="F128" s="116" t="s">
        <v>634</v>
      </c>
      <c r="G128" s="108" t="s">
        <v>609</v>
      </c>
      <c r="H128" s="105" t="n">
        <f aca="false">'[2]$ лето'!j128-'[2]$ лето'!au128-'[2]$ лето'!at128-'[2]$ лето'!as128-'[2]$ лето'!ar128-'[2]$ лето'!aq128-'[2]$ лето'!ap128-'[2]$ лето'!an128-'[2]$ лето'!am128-'[2]$ лето'!al128-'[2]$ лето'!ak128-'[2]$ лето'!aj128-'[2]$ лето'!ah128-'[2]$ лето'!ag128-'[2]$ лето'!af128-'[2]$ лето'!ae128-'[2]$ лето'!ad128-'[2]$ лето'!ab128-'[2]$ лето'!aa128-'[2]$ лето'!z128-'[2]$ лето'!y128-'[2]$ лето'!x128-'[2]$ лето'!v128-'[2]$ лето'!u128-'[2]$ лето'!t128-'[2]$ лето'!s128-'[2]$ лето'!r128-'[2]$ лето'!p128-'[2]$ лето'!o128-'[2]$ лето'!n128-'[2]$ лето'!m128-'[2]$ лето'!l128+'[2]$ лето'!k128+'[2]$ лето'!q128+'[2]$ лето'!w128+'[2]$ лето'!ac128+'[2]$ лето'!ai128+'[2]$ лето'!ao128</f>
        <v>3</v>
      </c>
      <c r="I128" s="109" t="n">
        <f aca="false">'[2]$ лето'!ay128*1.1</f>
        <v>1262.8</v>
      </c>
      <c r="J128" s="85" t="n">
        <v>2018</v>
      </c>
    </row>
    <row r="129" customFormat="false" ht="15" hidden="false" customHeight="false" outlineLevel="0" collapsed="false">
      <c r="A129" s="115" t="s">
        <v>101</v>
      </c>
      <c r="B129" s="115" t="s">
        <v>666</v>
      </c>
      <c r="C129" s="116" t="s">
        <v>713</v>
      </c>
      <c r="D129" s="116"/>
      <c r="E129" s="116"/>
      <c r="F129" s="116"/>
      <c r="G129" s="108" t="s">
        <v>663</v>
      </c>
      <c r="H129" s="105" t="n">
        <f aca="false">'[2]$ лето'!j129-'[2]$ лето'!au129-'[2]$ лето'!at129-'[2]$ лето'!as129-'[2]$ лето'!ar129-'[2]$ лето'!aq129-'[2]$ лето'!ap129-'[2]$ лето'!an129-'[2]$ лето'!am129-'[2]$ лето'!al129-'[2]$ лето'!ak129-'[2]$ лето'!aj129-'[2]$ лето'!ah129-'[2]$ лето'!ag129-'[2]$ лето'!af129-'[2]$ лето'!ae129-'[2]$ лето'!ad129-'[2]$ лето'!ab129-'[2]$ лето'!aa129-'[2]$ лето'!z129-'[2]$ лето'!y129-'[2]$ лето'!x129-'[2]$ лето'!v129-'[2]$ лето'!u129-'[2]$ лето'!t129-'[2]$ лето'!s129-'[2]$ лето'!r129-'[2]$ лето'!p129-'[2]$ лето'!o129-'[2]$ лето'!n129-'[2]$ лето'!m129-'[2]$ лето'!l129+'[2]$ лето'!k129+'[2]$ лето'!q129+'[2]$ лето'!w129+'[2]$ лето'!ac129+'[2]$ лето'!ai129+'[2]$ лето'!ao129</f>
        <v>4</v>
      </c>
      <c r="I129" s="109" t="n">
        <f aca="false">'[2]$ лето'!ay129*1.1</f>
        <v>1139.6</v>
      </c>
      <c r="J129" s="85" t="n">
        <v>2017</v>
      </c>
    </row>
    <row r="130" customFormat="false" ht="15" hidden="true" customHeight="false" outlineLevel="0" collapsed="false">
      <c r="A130" s="115" t="s">
        <v>101</v>
      </c>
      <c r="B130" s="115" t="s">
        <v>668</v>
      </c>
      <c r="C130" s="116" t="s">
        <v>714</v>
      </c>
      <c r="D130" s="116"/>
      <c r="E130" s="116"/>
      <c r="F130" s="116"/>
      <c r="G130" s="108" t="s">
        <v>609</v>
      </c>
      <c r="H130" s="105" t="n">
        <f aca="false">'[2]$ лето'!j130-'[2]$ лето'!au130-'[2]$ лето'!at130-'[2]$ лето'!as130-'[2]$ лето'!ar130-'[2]$ лето'!aq130-'[2]$ лето'!ap130-'[2]$ лето'!an130-'[2]$ лето'!am130-'[2]$ лето'!al130-'[2]$ лето'!ak130-'[2]$ лето'!aj130-'[2]$ лето'!ah130-'[2]$ лето'!ag130-'[2]$ лето'!af130-'[2]$ лето'!ae130-'[2]$ лето'!ad130-'[2]$ лето'!ab130-'[2]$ лето'!aa130-'[2]$ лето'!z130-'[2]$ лето'!y130-'[2]$ лето'!x130-'[2]$ лето'!v130-'[2]$ лето'!u130-'[2]$ лето'!t130-'[2]$ лето'!s130-'[2]$ лето'!r130-'[2]$ лето'!p130-'[2]$ лето'!o130-'[2]$ лето'!n130-'[2]$ лето'!m130-'[2]$ лето'!l130+'[2]$ лето'!k130+'[2]$ лето'!q130+'[2]$ лето'!w130+'[2]$ лето'!ac130+'[2]$ лето'!ai130+'[2]$ лето'!ao130</f>
        <v>0</v>
      </c>
      <c r="I130" s="109" t="n">
        <f aca="false">'[2]$ лето'!ay130*1.1</f>
        <v>954.8</v>
      </c>
    </row>
    <row r="131" customFormat="false" ht="15" hidden="true" customHeight="false" outlineLevel="0" collapsed="false">
      <c r="A131" s="115" t="s">
        <v>101</v>
      </c>
      <c r="B131" s="115" t="s">
        <v>668</v>
      </c>
      <c r="C131" s="116" t="s">
        <v>715</v>
      </c>
      <c r="D131" s="116"/>
      <c r="E131" s="116"/>
      <c r="F131" s="116"/>
      <c r="G131" s="108" t="s">
        <v>609</v>
      </c>
      <c r="H131" s="105" t="n">
        <f aca="false">'[2]$ лето'!j131-'[2]$ лето'!au131-'[2]$ лето'!at131-'[2]$ лето'!as131-'[2]$ лето'!ar131-'[2]$ лето'!aq131-'[2]$ лето'!ap131-'[2]$ лето'!an131-'[2]$ лето'!am131-'[2]$ лето'!al131-'[2]$ лето'!ak131-'[2]$ лето'!aj131-'[2]$ лето'!ah131-'[2]$ лето'!ag131-'[2]$ лето'!af131-'[2]$ лето'!ae131-'[2]$ лето'!ad131-'[2]$ лето'!ab131-'[2]$ лето'!aa131-'[2]$ лето'!z131-'[2]$ лето'!y131-'[2]$ лето'!x131-'[2]$ лето'!v131-'[2]$ лето'!u131-'[2]$ лето'!t131-'[2]$ лето'!s131-'[2]$ лето'!r131-'[2]$ лето'!p131-'[2]$ лето'!o131-'[2]$ лето'!n131-'[2]$ лето'!m131-'[2]$ лето'!l131+'[2]$ лето'!k131+'[2]$ лето'!q131+'[2]$ лето'!w131+'[2]$ лето'!ac131+'[2]$ лето'!ai131+'[2]$ лето'!ao131</f>
        <v>0</v>
      </c>
      <c r="I131" s="109" t="n">
        <f aca="false">'[2]$ лето'!ay131*1.1</f>
        <v>954.8</v>
      </c>
    </row>
    <row r="132" customFormat="false" ht="15" hidden="true" customHeight="false" outlineLevel="0" collapsed="false">
      <c r="A132" s="115" t="s">
        <v>101</v>
      </c>
      <c r="B132" s="115" t="s">
        <v>668</v>
      </c>
      <c r="C132" s="107" t="s">
        <v>716</v>
      </c>
      <c r="D132" s="107"/>
      <c r="E132" s="107"/>
      <c r="F132" s="107"/>
      <c r="G132" s="108" t="s">
        <v>609</v>
      </c>
      <c r="H132" s="105" t="n">
        <f aca="false">'[2]$ лето'!j132-'[2]$ лето'!au132-'[2]$ лето'!at132-'[2]$ лето'!as132-'[2]$ лето'!ar132-'[2]$ лето'!aq132-'[2]$ лето'!ap132-'[2]$ лето'!an132-'[2]$ лето'!am132-'[2]$ лето'!al132-'[2]$ лето'!ak132-'[2]$ лето'!aj132-'[2]$ лето'!ah132-'[2]$ лето'!ag132-'[2]$ лето'!af132-'[2]$ лето'!ae132-'[2]$ лето'!ad132-'[2]$ лето'!ab132-'[2]$ лето'!aa132-'[2]$ лето'!z132-'[2]$ лето'!y132-'[2]$ лето'!x132-'[2]$ лето'!v132-'[2]$ лето'!u132-'[2]$ лето'!t132-'[2]$ лето'!s132-'[2]$ лето'!r132-'[2]$ лето'!p132-'[2]$ лето'!o132-'[2]$ лето'!n132-'[2]$ лето'!m132-'[2]$ лето'!l132+'[2]$ лето'!k132+'[2]$ лето'!q132+'[2]$ лето'!w132+'[2]$ лето'!ac132+'[2]$ лето'!ai132+'[2]$ лето'!ao132</f>
        <v>0</v>
      </c>
      <c r="I132" s="109" t="n">
        <f aca="false">'[2]$ лето'!ay132*1.1</f>
        <v>1016.4</v>
      </c>
    </row>
    <row r="133" customFormat="false" ht="15" hidden="true" customHeight="false" outlineLevel="0" collapsed="false">
      <c r="A133" s="115" t="s">
        <v>101</v>
      </c>
      <c r="B133" s="115" t="s">
        <v>574</v>
      </c>
      <c r="C133" s="116" t="s">
        <v>717</v>
      </c>
      <c r="D133" s="116"/>
      <c r="E133" s="116"/>
      <c r="F133" s="116"/>
      <c r="G133" s="108" t="s">
        <v>576</v>
      </c>
      <c r="H133" s="105" t="n">
        <f aca="false">'[2]$ лето'!j133-'[2]$ лето'!au133-'[2]$ лето'!at133-'[2]$ лето'!as133-'[2]$ лето'!ar133-'[2]$ лето'!aq133-'[2]$ лето'!ap133-'[2]$ лето'!an133-'[2]$ лето'!am133-'[2]$ лето'!al133-'[2]$ лето'!ak133-'[2]$ лето'!aj133-'[2]$ лето'!ah133-'[2]$ лето'!ag133-'[2]$ лето'!af133-'[2]$ лето'!ae133-'[2]$ лето'!ad133-'[2]$ лето'!ab133-'[2]$ лето'!aa133-'[2]$ лето'!z133-'[2]$ лето'!y133-'[2]$ лето'!x133-'[2]$ лето'!v133-'[2]$ лето'!u133-'[2]$ лето'!t133-'[2]$ лето'!s133-'[2]$ лето'!r133-'[2]$ лето'!p133-'[2]$ лето'!o133-'[2]$ лето'!n133-'[2]$ лето'!m133-'[2]$ лето'!l133+'[2]$ лето'!k133+'[2]$ лето'!q133+'[2]$ лето'!w133+'[2]$ лето'!ac133+'[2]$ лето'!ai133+'[2]$ лето'!ao133</f>
        <v>0</v>
      </c>
      <c r="I133" s="109" t="n">
        <f aca="false">'[2]$ лето'!ay133*1.1</f>
        <v>1078</v>
      </c>
      <c r="J133" s="85" t="n">
        <v>2017</v>
      </c>
    </row>
    <row r="134" customFormat="false" ht="15" hidden="false" customHeight="false" outlineLevel="0" collapsed="false">
      <c r="A134" s="115" t="s">
        <v>101</v>
      </c>
      <c r="B134" s="115" t="s">
        <v>574</v>
      </c>
      <c r="C134" s="116" t="s">
        <v>718</v>
      </c>
      <c r="D134" s="116"/>
      <c r="E134" s="116" t="n">
        <v>82</v>
      </c>
      <c r="F134" s="116" t="s">
        <v>634</v>
      </c>
      <c r="G134" s="108" t="s">
        <v>576</v>
      </c>
      <c r="H134" s="105" t="n">
        <f aca="false">'[2]$ лето'!j134-'[2]$ лето'!au134-'[2]$ лето'!at134-'[2]$ лето'!as134-'[2]$ лето'!ar134-'[2]$ лето'!aq134-'[2]$ лето'!ap134-'[2]$ лето'!an134-'[2]$ лето'!am134-'[2]$ лето'!al134-'[2]$ лето'!ak134-'[2]$ лето'!aj134-'[2]$ лето'!ah134-'[2]$ лето'!ag134-'[2]$ лето'!af134-'[2]$ лето'!ae134-'[2]$ лето'!ad134-'[2]$ лето'!ab134-'[2]$ лето'!aa134-'[2]$ лето'!z134-'[2]$ лето'!y134-'[2]$ лето'!x134-'[2]$ лето'!v134-'[2]$ лето'!u134-'[2]$ лето'!t134-'[2]$ лето'!s134-'[2]$ лето'!r134-'[2]$ лето'!p134-'[2]$ лето'!o134-'[2]$ лето'!n134-'[2]$ лето'!m134-'[2]$ лето'!l134+'[2]$ лето'!k134+'[2]$ лето'!q134+'[2]$ лето'!w134+'[2]$ лето'!ac134+'[2]$ лето'!ai134+'[2]$ лето'!ao134</f>
        <v>3</v>
      </c>
      <c r="I134" s="109" t="n">
        <f aca="false">'[2]$ лето'!ay134*1.1</f>
        <v>1093.4</v>
      </c>
      <c r="J134" s="85" t="n">
        <v>2017</v>
      </c>
    </row>
    <row r="135" customFormat="false" ht="15" hidden="true" customHeight="false" outlineLevel="0" collapsed="false">
      <c r="A135" s="115" t="s">
        <v>101</v>
      </c>
      <c r="B135" s="115" t="s">
        <v>583</v>
      </c>
      <c r="C135" s="116" t="s">
        <v>719</v>
      </c>
      <c r="D135" s="116"/>
      <c r="E135" s="116"/>
      <c r="F135" s="116"/>
      <c r="G135" s="108"/>
      <c r="H135" s="105" t="n">
        <f aca="false">'[2]$ лето'!j135-'[2]$ лето'!au135-'[2]$ лето'!at135-'[2]$ лето'!as135-'[2]$ лето'!ar135-'[2]$ лето'!aq135-'[2]$ лето'!ap135-'[2]$ лето'!an135-'[2]$ лето'!am135-'[2]$ лето'!al135-'[2]$ лето'!ak135-'[2]$ лето'!aj135-'[2]$ лето'!ah135-'[2]$ лето'!ag135-'[2]$ лето'!af135-'[2]$ лето'!ae135-'[2]$ лето'!ad135-'[2]$ лето'!ab135-'[2]$ лето'!aa135-'[2]$ лето'!z135-'[2]$ лето'!y135-'[2]$ лето'!x135-'[2]$ лето'!v135-'[2]$ лето'!u135-'[2]$ лето'!t135-'[2]$ лето'!s135-'[2]$ лето'!r135-'[2]$ лето'!p135-'[2]$ лето'!o135-'[2]$ лето'!n135-'[2]$ лето'!m135-'[2]$ лето'!l135+'[2]$ лето'!k135+'[2]$ лето'!q135+'[2]$ лето'!w135+'[2]$ лето'!ac135+'[2]$ лето'!ai135+'[2]$ лето'!ao135</f>
        <v>0</v>
      </c>
      <c r="I135" s="109" t="n">
        <f aca="false">'[2]$ лето'!ay135*1.1</f>
        <v>1016.4</v>
      </c>
    </row>
    <row r="136" customFormat="false" ht="15" hidden="false" customHeight="false" outlineLevel="0" collapsed="false">
      <c r="A136" s="115" t="s">
        <v>101</v>
      </c>
      <c r="B136" s="115" t="s">
        <v>583</v>
      </c>
      <c r="C136" s="116" t="s">
        <v>720</v>
      </c>
      <c r="D136" s="116"/>
      <c r="E136" s="116" t="n">
        <v>82</v>
      </c>
      <c r="F136" s="116" t="s">
        <v>634</v>
      </c>
      <c r="G136" s="108" t="s">
        <v>585</v>
      </c>
      <c r="H136" s="105" t="n">
        <f aca="false">'[2]$ лето'!j136-'[2]$ лето'!au136-'[2]$ лето'!at136-'[2]$ лето'!as136-'[2]$ лето'!ar136-'[2]$ лето'!aq136-'[2]$ лето'!ap136-'[2]$ лето'!an136-'[2]$ лето'!am136-'[2]$ лето'!al136-'[2]$ лето'!ak136-'[2]$ лето'!aj136-'[2]$ лето'!ah136-'[2]$ лето'!ag136-'[2]$ лето'!af136-'[2]$ лето'!ae136-'[2]$ лето'!ad136-'[2]$ лето'!ab136-'[2]$ лето'!aa136-'[2]$ лето'!z136-'[2]$ лето'!y136-'[2]$ лето'!x136-'[2]$ лето'!v136-'[2]$ лето'!u136-'[2]$ лето'!t136-'[2]$ лето'!s136-'[2]$ лето'!r136-'[2]$ лето'!p136-'[2]$ лето'!o136-'[2]$ лето'!n136-'[2]$ лето'!m136-'[2]$ лето'!l136+'[2]$ лето'!k136+'[2]$ лето'!q136+'[2]$ лето'!w136+'[2]$ лето'!ac136+'[2]$ лето'!ai136+'[2]$ лето'!ao136</f>
        <v>6</v>
      </c>
      <c r="I136" s="109" t="n">
        <f aca="false">'[2]$ лето'!ay136*1.1</f>
        <v>1047.2</v>
      </c>
      <c r="J136" s="85" t="n">
        <v>2018</v>
      </c>
    </row>
    <row r="137" customFormat="false" ht="15" hidden="true" customHeight="false" outlineLevel="0" collapsed="false">
      <c r="A137" s="115" t="s">
        <v>101</v>
      </c>
      <c r="B137" s="115" t="s">
        <v>593</v>
      </c>
      <c r="C137" s="116" t="s">
        <v>721</v>
      </c>
      <c r="D137" s="116"/>
      <c r="E137" s="116"/>
      <c r="F137" s="116"/>
      <c r="G137" s="108" t="s">
        <v>722</v>
      </c>
      <c r="H137" s="105" t="n">
        <f aca="false">'[2]$ лето'!j137-'[2]$ лето'!au137-'[2]$ лето'!at137-'[2]$ лето'!as137-'[2]$ лето'!ar137-'[2]$ лето'!aq137-'[2]$ лето'!ap137-'[2]$ лето'!an137-'[2]$ лето'!am137-'[2]$ лето'!al137-'[2]$ лето'!ak137-'[2]$ лето'!aj137-'[2]$ лето'!ah137-'[2]$ лето'!ag137-'[2]$ лето'!af137-'[2]$ лето'!ae137-'[2]$ лето'!ad137-'[2]$ лето'!ab137-'[2]$ лето'!aa137-'[2]$ лето'!z137-'[2]$ лето'!y137-'[2]$ лето'!x137-'[2]$ лето'!v137-'[2]$ лето'!u137-'[2]$ лето'!t137-'[2]$ лето'!s137-'[2]$ лето'!r137-'[2]$ лето'!p137-'[2]$ лето'!o137-'[2]$ лето'!n137-'[2]$ лето'!m137-'[2]$ лето'!l137+'[2]$ лето'!k137+'[2]$ лето'!q137+'[2]$ лето'!w137+'[2]$ лето'!ac137+'[2]$ лето'!ai137+'[2]$ лето'!ao137</f>
        <v>0</v>
      </c>
      <c r="I137" s="109" t="n">
        <f aca="false">'[2]$ лето'!ay137*1.1</f>
        <v>1540</v>
      </c>
      <c r="J137" s="85" t="n">
        <v>2018</v>
      </c>
    </row>
    <row r="138" customFormat="false" ht="15" hidden="true" customHeight="false" outlineLevel="0" collapsed="false">
      <c r="A138" s="115" t="s">
        <v>101</v>
      </c>
      <c r="B138" s="115" t="s">
        <v>593</v>
      </c>
      <c r="C138" s="116" t="s">
        <v>723</v>
      </c>
      <c r="D138" s="116"/>
      <c r="E138" s="116"/>
      <c r="F138" s="116"/>
      <c r="G138" s="108"/>
      <c r="H138" s="105" t="n">
        <f aca="false">'[2]$ лето'!j138-'[2]$ лето'!au138-'[2]$ лето'!at138-'[2]$ лето'!as138-'[2]$ лето'!ar138-'[2]$ лето'!aq138-'[2]$ лето'!ap138-'[2]$ лето'!an138-'[2]$ лето'!am138-'[2]$ лето'!al138-'[2]$ лето'!ak138-'[2]$ лето'!aj138-'[2]$ лето'!ah138-'[2]$ лето'!ag138-'[2]$ лето'!af138-'[2]$ лето'!ae138-'[2]$ лето'!ad138-'[2]$ лето'!ab138-'[2]$ лето'!aa138-'[2]$ лето'!z138-'[2]$ лето'!y138-'[2]$ лето'!x138-'[2]$ лето'!v138-'[2]$ лето'!u138-'[2]$ лето'!t138-'[2]$ лето'!s138-'[2]$ лето'!r138-'[2]$ лето'!p138-'[2]$ лето'!o138-'[2]$ лето'!n138-'[2]$ лето'!m138-'[2]$ лето'!l138+'[2]$ лето'!k138+'[2]$ лето'!q138+'[2]$ лето'!w138+'[2]$ лето'!ac138+'[2]$ лето'!ai138+'[2]$ лето'!ao138</f>
        <v>0</v>
      </c>
      <c r="I138" s="109" t="n">
        <f aca="false">'[2]$ лето'!ay138*1.1</f>
        <v>616</v>
      </c>
    </row>
    <row r="139" customFormat="false" ht="15" hidden="false" customHeight="false" outlineLevel="0" collapsed="false">
      <c r="A139" s="115" t="s">
        <v>101</v>
      </c>
      <c r="B139" s="115" t="s">
        <v>586</v>
      </c>
      <c r="C139" s="107" t="s">
        <v>724</v>
      </c>
      <c r="D139" s="107"/>
      <c r="E139" s="116" t="n">
        <v>82</v>
      </c>
      <c r="F139" s="116" t="s">
        <v>634</v>
      </c>
      <c r="G139" s="108" t="s">
        <v>520</v>
      </c>
      <c r="H139" s="105" t="n">
        <f aca="false">'[2]$ лето'!j139-'[2]$ лето'!au139-'[2]$ лето'!at139-'[2]$ лето'!as139-'[2]$ лето'!ar139-'[2]$ лето'!aq139-'[2]$ лето'!ap139-'[2]$ лето'!an139-'[2]$ лето'!am139-'[2]$ лето'!al139-'[2]$ лето'!ak139-'[2]$ лето'!aj139-'[2]$ лето'!ah139-'[2]$ лето'!ag139-'[2]$ лето'!af139-'[2]$ лето'!ae139-'[2]$ лето'!ad139-'[2]$ лето'!ab139-'[2]$ лето'!aa139-'[2]$ лето'!z139-'[2]$ лето'!y139-'[2]$ лето'!x139-'[2]$ лето'!v139-'[2]$ лето'!u139-'[2]$ лето'!t139-'[2]$ лето'!s139-'[2]$ лето'!r139-'[2]$ лето'!p139-'[2]$ лето'!o139-'[2]$ лето'!n139-'[2]$ лето'!m139-'[2]$ лето'!l139+'[2]$ лето'!k139+'[2]$ лето'!q139+'[2]$ лето'!w139+'[2]$ лето'!ac139+'[2]$ лето'!ai139+'[2]$ лето'!ao139</f>
        <v>4</v>
      </c>
      <c r="I139" s="109" t="n">
        <f aca="false">'[2]$ лето'!ay139*1.1</f>
        <v>924</v>
      </c>
    </row>
    <row r="140" customFormat="false" ht="15" hidden="true" customHeight="false" outlineLevel="0" collapsed="false">
      <c r="A140" s="115" t="s">
        <v>101</v>
      </c>
      <c r="B140" s="115" t="s">
        <v>725</v>
      </c>
      <c r="C140" s="116" t="s">
        <v>726</v>
      </c>
      <c r="D140" s="116"/>
      <c r="E140" s="116"/>
      <c r="F140" s="116"/>
      <c r="G140" s="108"/>
      <c r="H140" s="105" t="n">
        <f aca="false">'[2]$ лето'!j140-'[2]$ лето'!au140-'[2]$ лето'!at140-'[2]$ лето'!as140-'[2]$ лето'!ar140-'[2]$ лето'!aq140-'[2]$ лето'!ap140-'[2]$ лето'!an140-'[2]$ лето'!am140-'[2]$ лето'!al140-'[2]$ лето'!ak140-'[2]$ лето'!aj140-'[2]$ лето'!ah140-'[2]$ лето'!ag140-'[2]$ лето'!af140-'[2]$ лето'!ae140-'[2]$ лето'!ad140-'[2]$ лето'!ab140-'[2]$ лето'!aa140-'[2]$ лето'!z140-'[2]$ лето'!y140-'[2]$ лето'!x140-'[2]$ лето'!v140-'[2]$ лето'!u140-'[2]$ лето'!t140-'[2]$ лето'!s140-'[2]$ лето'!r140-'[2]$ лето'!p140-'[2]$ лето'!o140-'[2]$ лето'!n140-'[2]$ лето'!m140-'[2]$ лето'!l140+'[2]$ лето'!k140+'[2]$ лето'!q140+'[2]$ лето'!w140+'[2]$ лето'!ac140+'[2]$ лето'!ai140+'[2]$ лето'!ao140</f>
        <v>0</v>
      </c>
      <c r="I140" s="109" t="n">
        <f aca="false">'[2]$ лето'!ay140*1.1</f>
        <v>739.2</v>
      </c>
    </row>
    <row r="141" customFormat="false" ht="15" hidden="false" customHeight="false" outlineLevel="0" collapsed="false">
      <c r="A141" s="115" t="s">
        <v>101</v>
      </c>
      <c r="B141" s="115" t="s">
        <v>677</v>
      </c>
      <c r="C141" s="107" t="s">
        <v>727</v>
      </c>
      <c r="D141" s="107"/>
      <c r="E141" s="116" t="n">
        <v>82</v>
      </c>
      <c r="F141" s="116" t="s">
        <v>634</v>
      </c>
      <c r="G141" s="108" t="s">
        <v>520</v>
      </c>
      <c r="H141" s="105" t="n">
        <f aca="false">'[2]$ лето'!j141-'[2]$ лето'!au141-'[2]$ лето'!at141-'[2]$ лето'!as141-'[2]$ лето'!ar141-'[2]$ лето'!aq141-'[2]$ лето'!ap141-'[2]$ лето'!an141-'[2]$ лето'!am141-'[2]$ лето'!al141-'[2]$ лето'!ak141-'[2]$ лето'!aj141-'[2]$ лето'!ah141-'[2]$ лето'!ag141-'[2]$ лето'!af141-'[2]$ лето'!ae141-'[2]$ лето'!ad141-'[2]$ лето'!ab141-'[2]$ лето'!aa141-'[2]$ лето'!z141-'[2]$ лето'!y141-'[2]$ лето'!x141-'[2]$ лето'!v141-'[2]$ лето'!u141-'[2]$ лето'!t141-'[2]$ лето'!s141-'[2]$ лето'!r141-'[2]$ лето'!p141-'[2]$ лето'!o141-'[2]$ лето'!n141-'[2]$ лето'!m141-'[2]$ лето'!l141+'[2]$ лето'!k141+'[2]$ лето'!q141+'[2]$ лето'!w141+'[2]$ лето'!ac141+'[2]$ лето'!ai141+'[2]$ лето'!ao141</f>
        <v>8</v>
      </c>
      <c r="I141" s="109" t="n">
        <f aca="false">'[2]$ лето'!ay141*1.1</f>
        <v>954.8</v>
      </c>
      <c r="J141" s="85" t="n">
        <v>2017</v>
      </c>
    </row>
    <row r="142" customFormat="false" ht="15" hidden="true" customHeight="false" outlineLevel="0" collapsed="false">
      <c r="A142" s="115" t="s">
        <v>101</v>
      </c>
      <c r="B142" s="115" t="s">
        <v>621</v>
      </c>
      <c r="C142" s="107" t="s">
        <v>679</v>
      </c>
      <c r="D142" s="107"/>
      <c r="E142" s="107"/>
      <c r="F142" s="107"/>
      <c r="G142" s="108" t="s">
        <v>520</v>
      </c>
      <c r="H142" s="105" t="n">
        <f aca="false">'[2]$ лето'!j142-'[2]$ лето'!au142-'[2]$ лето'!at142-'[2]$ лето'!as142-'[2]$ лето'!ar142-'[2]$ лето'!aq142-'[2]$ лето'!ap142-'[2]$ лето'!an142-'[2]$ лето'!am142-'[2]$ лето'!al142-'[2]$ лето'!ak142-'[2]$ лето'!aj142-'[2]$ лето'!ah142-'[2]$ лето'!ag142-'[2]$ лето'!af142-'[2]$ лето'!ae142-'[2]$ лето'!ad142-'[2]$ лето'!ab142-'[2]$ лето'!aa142-'[2]$ лето'!z142-'[2]$ лето'!y142-'[2]$ лето'!x142-'[2]$ лето'!v142-'[2]$ лето'!u142-'[2]$ лето'!t142-'[2]$ лето'!s142-'[2]$ лето'!r142-'[2]$ лето'!p142-'[2]$ лето'!o142-'[2]$ лето'!n142-'[2]$ лето'!m142-'[2]$ лето'!l142+'[2]$ лето'!k142+'[2]$ лето'!q142+'[2]$ лето'!w142+'[2]$ лето'!ac142+'[2]$ лето'!ai142+'[2]$ лето'!ao142</f>
        <v>0</v>
      </c>
      <c r="I142" s="109" t="n">
        <f aca="false">'[2]$ лето'!ay142*1.1</f>
        <v>893.2</v>
      </c>
    </row>
    <row r="143" customFormat="false" ht="15" hidden="false" customHeight="false" outlineLevel="0" collapsed="false">
      <c r="A143" s="115" t="s">
        <v>101</v>
      </c>
      <c r="B143" s="115" t="s">
        <v>589</v>
      </c>
      <c r="C143" s="116" t="s">
        <v>728</v>
      </c>
      <c r="D143" s="116"/>
      <c r="E143" s="116"/>
      <c r="F143" s="116"/>
      <c r="G143" s="108" t="s">
        <v>626</v>
      </c>
      <c r="H143" s="105" t="n">
        <f aca="false">'[2]$ лето'!j143-'[2]$ лето'!au143-'[2]$ лето'!at143-'[2]$ лето'!as143-'[2]$ лето'!ar143-'[2]$ лето'!aq143-'[2]$ лето'!ap143-'[2]$ лето'!an143-'[2]$ лето'!am143-'[2]$ лето'!al143-'[2]$ лето'!ak143-'[2]$ лето'!aj143-'[2]$ лето'!ah143-'[2]$ лето'!ag143-'[2]$ лето'!af143-'[2]$ лето'!ae143-'[2]$ лето'!ad143-'[2]$ лето'!ab143-'[2]$ лето'!aa143-'[2]$ лето'!z143-'[2]$ лето'!y143-'[2]$ лето'!x143-'[2]$ лето'!v143-'[2]$ лето'!u143-'[2]$ лето'!t143-'[2]$ лето'!s143-'[2]$ лето'!r143-'[2]$ лето'!p143-'[2]$ лето'!o143-'[2]$ лето'!n143-'[2]$ лето'!m143-'[2]$ лето'!l143+'[2]$ лето'!k143+'[2]$ лето'!q143+'[2]$ лето'!w143+'[2]$ лето'!ac143+'[2]$ лето'!ai143+'[2]$ лето'!ao143</f>
        <v>2</v>
      </c>
      <c r="I143" s="109" t="n">
        <f aca="false">'[2]$ лето'!ay143*1.1</f>
        <v>1312.08</v>
      </c>
      <c r="J143" s="85" t="n">
        <v>2017</v>
      </c>
    </row>
    <row r="144" customFormat="false" ht="15" hidden="true" customHeight="false" outlineLevel="0" collapsed="false">
      <c r="A144" s="115" t="s">
        <v>101</v>
      </c>
      <c r="B144" s="115" t="s">
        <v>683</v>
      </c>
      <c r="C144" s="116" t="s">
        <v>729</v>
      </c>
      <c r="D144" s="116"/>
      <c r="E144" s="116"/>
      <c r="F144" s="116"/>
      <c r="G144" s="108"/>
      <c r="H144" s="105" t="n">
        <f aca="false">'[2]$ лето'!j144-'[2]$ лето'!au144-'[2]$ лето'!at144-'[2]$ лето'!as144-'[2]$ лето'!ar144-'[2]$ лето'!aq144-'[2]$ лето'!ap144-'[2]$ лето'!an144-'[2]$ лето'!am144-'[2]$ лето'!al144-'[2]$ лето'!ak144-'[2]$ лето'!aj144-'[2]$ лето'!ah144-'[2]$ лето'!ag144-'[2]$ лето'!af144-'[2]$ лето'!ae144-'[2]$ лето'!ad144-'[2]$ лето'!ab144-'[2]$ лето'!aa144-'[2]$ лето'!z144-'[2]$ лето'!y144-'[2]$ лето'!x144-'[2]$ лето'!v144-'[2]$ лето'!u144-'[2]$ лето'!t144-'[2]$ лето'!s144-'[2]$ лето'!r144-'[2]$ лето'!p144-'[2]$ лето'!o144-'[2]$ лето'!n144-'[2]$ лето'!m144-'[2]$ лето'!l144+'[2]$ лето'!k144+'[2]$ лето'!q144+'[2]$ лето'!w144+'[2]$ лето'!ac144+'[2]$ лето'!ai144+'[2]$ лето'!ao144</f>
        <v>0</v>
      </c>
      <c r="I144" s="109" t="n">
        <f aca="false">'[2]$ лето'!ay144*1.1</f>
        <v>985.6</v>
      </c>
      <c r="J144" s="85" t="n">
        <v>2017</v>
      </c>
    </row>
    <row r="145" customFormat="false" ht="15" hidden="true" customHeight="false" outlineLevel="0" collapsed="false">
      <c r="A145" s="115" t="s">
        <v>101</v>
      </c>
      <c r="B145" s="115" t="s">
        <v>730</v>
      </c>
      <c r="C145" s="116" t="s">
        <v>731</v>
      </c>
      <c r="D145" s="116"/>
      <c r="E145" s="116"/>
      <c r="F145" s="116"/>
      <c r="G145" s="108"/>
      <c r="H145" s="105" t="n">
        <f aca="false">'[2]$ лето'!j145-'[2]$ лето'!au145-'[2]$ лето'!at145-'[2]$ лето'!as145-'[2]$ лето'!ar145-'[2]$ лето'!aq145-'[2]$ лето'!ap145-'[2]$ лето'!an145-'[2]$ лето'!am145-'[2]$ лето'!al145-'[2]$ лето'!ak145-'[2]$ лето'!aj145-'[2]$ лето'!ah145-'[2]$ лето'!ag145-'[2]$ лето'!af145-'[2]$ лето'!ae145-'[2]$ лето'!ad145-'[2]$ лето'!ab145-'[2]$ лето'!aa145-'[2]$ лето'!z145-'[2]$ лето'!y145-'[2]$ лето'!x145-'[2]$ лето'!v145-'[2]$ лето'!u145-'[2]$ лето'!t145-'[2]$ лето'!s145-'[2]$ лето'!r145-'[2]$ лето'!p145-'[2]$ лето'!o145-'[2]$ лето'!n145-'[2]$ лето'!m145-'[2]$ лето'!l145+'[2]$ лето'!k145+'[2]$ лето'!q145+'[2]$ лето'!w145+'[2]$ лето'!ac145+'[2]$ лето'!ai145+'[2]$ лето'!ao145</f>
        <v>0</v>
      </c>
      <c r="I145" s="109" t="n">
        <f aca="false">'[2]$ лето'!ay145*1.1</f>
        <v>770</v>
      </c>
    </row>
    <row r="146" customFormat="false" ht="15" hidden="false" customHeight="false" outlineLevel="0" collapsed="false">
      <c r="A146" s="115" t="s">
        <v>114</v>
      </c>
      <c r="B146" s="115" t="s">
        <v>566</v>
      </c>
      <c r="C146" s="116" t="s">
        <v>732</v>
      </c>
      <c r="D146" s="116"/>
      <c r="E146" s="116" t="n">
        <v>86</v>
      </c>
      <c r="F146" s="116" t="s">
        <v>634</v>
      </c>
      <c r="G146" s="108" t="s">
        <v>563</v>
      </c>
      <c r="H146" s="105" t="n">
        <f aca="false">'[2]$ лето'!j146-'[2]$ лето'!au146-'[2]$ лето'!at146-'[2]$ лето'!as146-'[2]$ лето'!ar146-'[2]$ лето'!aq146-'[2]$ лето'!ap146-'[2]$ лето'!an146-'[2]$ лето'!am146-'[2]$ лето'!al146-'[2]$ лето'!ak146-'[2]$ лето'!aj146-'[2]$ лето'!ah146-'[2]$ лето'!ag146-'[2]$ лето'!af146-'[2]$ лето'!ae146-'[2]$ лето'!ad146-'[2]$ лето'!ab146-'[2]$ лето'!aa146-'[2]$ лето'!z146-'[2]$ лето'!y146-'[2]$ лето'!x146-'[2]$ лето'!v146-'[2]$ лето'!u146-'[2]$ лето'!t146-'[2]$ лето'!s146-'[2]$ лето'!r146-'[2]$ лето'!p146-'[2]$ лето'!o146-'[2]$ лето'!n146-'[2]$ лето'!m146-'[2]$ лето'!l146+'[2]$ лето'!k146+'[2]$ лето'!q146+'[2]$ лето'!w146+'[2]$ лето'!ac146+'[2]$ лето'!ai146+'[2]$ лето'!ao146</f>
        <v>2</v>
      </c>
      <c r="I146" s="109" t="n">
        <f aca="false">'[2]$ лето'!ay146*1.1</f>
        <v>954.8</v>
      </c>
    </row>
    <row r="147" customFormat="false" ht="15" hidden="true" customHeight="false" outlineLevel="0" collapsed="false">
      <c r="A147" s="115" t="s">
        <v>114</v>
      </c>
      <c r="B147" s="115" t="s">
        <v>566</v>
      </c>
      <c r="C147" s="116" t="s">
        <v>733</v>
      </c>
      <c r="D147" s="116"/>
      <c r="E147" s="116"/>
      <c r="F147" s="116"/>
      <c r="G147" s="108" t="s">
        <v>563</v>
      </c>
      <c r="H147" s="105" t="n">
        <f aca="false">'[2]$ лето'!j147-'[2]$ лето'!au147-'[2]$ лето'!at147-'[2]$ лето'!as147-'[2]$ лето'!ar147-'[2]$ лето'!aq147-'[2]$ лето'!ap147-'[2]$ лето'!an147-'[2]$ лето'!am147-'[2]$ лето'!al147-'[2]$ лето'!ak147-'[2]$ лето'!aj147-'[2]$ лето'!ah147-'[2]$ лето'!ag147-'[2]$ лето'!af147-'[2]$ лето'!ae147-'[2]$ лето'!ad147-'[2]$ лето'!ab147-'[2]$ лето'!aa147-'[2]$ лето'!z147-'[2]$ лето'!y147-'[2]$ лето'!x147-'[2]$ лето'!v147-'[2]$ лето'!u147-'[2]$ лето'!t147-'[2]$ лето'!s147-'[2]$ лето'!r147-'[2]$ лето'!p147-'[2]$ лето'!o147-'[2]$ лето'!n147-'[2]$ лето'!m147-'[2]$ лето'!l147+'[2]$ лето'!k147+'[2]$ лето'!q147+'[2]$ лето'!w147+'[2]$ лето'!ac147+'[2]$ лето'!ai147+'[2]$ лето'!ao147</f>
        <v>0</v>
      </c>
      <c r="I147" s="109" t="n">
        <f aca="false">'[2]$ лето'!ay147*1.1</f>
        <v>985.6</v>
      </c>
    </row>
    <row r="148" customFormat="false" ht="15" hidden="false" customHeight="false" outlineLevel="0" collapsed="false">
      <c r="A148" s="115" t="s">
        <v>114</v>
      </c>
      <c r="B148" s="115" t="s">
        <v>568</v>
      </c>
      <c r="C148" s="116" t="s">
        <v>630</v>
      </c>
      <c r="D148" s="116"/>
      <c r="E148" s="116" t="n">
        <v>86</v>
      </c>
      <c r="F148" s="116" t="s">
        <v>562</v>
      </c>
      <c r="G148" s="108" t="s">
        <v>631</v>
      </c>
      <c r="H148" s="105" t="n">
        <f aca="false">'[2]$ лето'!j148-'[2]$ лето'!au148-'[2]$ лето'!at148-'[2]$ лето'!as148-'[2]$ лето'!ar148-'[2]$ лето'!aq148-'[2]$ лето'!ap148-'[2]$ лето'!an148-'[2]$ лето'!am148-'[2]$ лето'!al148-'[2]$ лето'!ak148-'[2]$ лето'!aj148-'[2]$ лето'!ah148-'[2]$ лето'!ag148-'[2]$ лето'!af148-'[2]$ лето'!ae148-'[2]$ лето'!ad148-'[2]$ лето'!ab148-'[2]$ лето'!aa148-'[2]$ лето'!z148-'[2]$ лето'!y148-'[2]$ лето'!x148-'[2]$ лето'!v148-'[2]$ лето'!u148-'[2]$ лето'!t148-'[2]$ лето'!s148-'[2]$ лето'!r148-'[2]$ лето'!p148-'[2]$ лето'!o148-'[2]$ лето'!n148-'[2]$ лето'!m148-'[2]$ лето'!l148+'[2]$ лето'!k148+'[2]$ лето'!q148+'[2]$ лето'!w148+'[2]$ лето'!ac148+'[2]$ лето'!ai148+'[2]$ лето'!ao148</f>
        <v>1</v>
      </c>
      <c r="I148" s="109" t="n">
        <f aca="false">'[2]$ лето'!ay148*1.1</f>
        <v>1139.6</v>
      </c>
      <c r="J148" s="85" t="n">
        <v>2017</v>
      </c>
    </row>
    <row r="149" customFormat="false" ht="15" hidden="true" customHeight="false" outlineLevel="0" collapsed="false">
      <c r="A149" s="115" t="s">
        <v>114</v>
      </c>
      <c r="B149" s="115" t="s">
        <v>601</v>
      </c>
      <c r="C149" s="116" t="s">
        <v>734</v>
      </c>
      <c r="D149" s="116"/>
      <c r="E149" s="116"/>
      <c r="F149" s="116"/>
      <c r="G149" s="108"/>
      <c r="H149" s="105" t="n">
        <f aca="false">'[2]$ лето'!j149-'[2]$ лето'!au149-'[2]$ лето'!at149-'[2]$ лето'!as149-'[2]$ лето'!ar149-'[2]$ лето'!aq149-'[2]$ лето'!ap149-'[2]$ лето'!an149-'[2]$ лето'!am149-'[2]$ лето'!al149-'[2]$ лето'!ak149-'[2]$ лето'!aj149-'[2]$ лето'!ah149-'[2]$ лето'!ag149-'[2]$ лето'!af149-'[2]$ лето'!ae149-'[2]$ лето'!ad149-'[2]$ лето'!ab149-'[2]$ лето'!aa149-'[2]$ лето'!z149-'[2]$ лето'!y149-'[2]$ лето'!x149-'[2]$ лето'!v149-'[2]$ лето'!u149-'[2]$ лето'!t149-'[2]$ лето'!s149-'[2]$ лето'!r149-'[2]$ лето'!p149-'[2]$ лето'!o149-'[2]$ лето'!n149-'[2]$ лето'!m149-'[2]$ лето'!l149+'[2]$ лето'!k149+'[2]$ лето'!q149+'[2]$ лето'!w149+'[2]$ лето'!ac149+'[2]$ лето'!ai149+'[2]$ лето'!ao149</f>
        <v>0</v>
      </c>
      <c r="I149" s="109" t="n">
        <f aca="false">'[2]$ лето'!ay149*1.1</f>
        <v>1067</v>
      </c>
    </row>
    <row r="150" customFormat="false" ht="15" hidden="false" customHeight="false" outlineLevel="0" collapsed="false">
      <c r="A150" s="115" t="s">
        <v>114</v>
      </c>
      <c r="B150" s="115" t="s">
        <v>658</v>
      </c>
      <c r="C150" s="116" t="s">
        <v>735</v>
      </c>
      <c r="D150" s="116"/>
      <c r="E150" s="116" t="n">
        <v>86</v>
      </c>
      <c r="F150" s="116" t="s">
        <v>562</v>
      </c>
      <c r="G150" s="108" t="s">
        <v>640</v>
      </c>
      <c r="H150" s="105" t="n">
        <f aca="false">'[2]$ лето'!j150-'[2]$ лето'!au150-'[2]$ лето'!at150-'[2]$ лето'!as150-'[2]$ лето'!ar150-'[2]$ лето'!aq150-'[2]$ лето'!ap150-'[2]$ лето'!an150-'[2]$ лето'!am150-'[2]$ лето'!al150-'[2]$ лето'!ak150-'[2]$ лето'!aj150-'[2]$ лето'!ah150-'[2]$ лето'!ag150-'[2]$ лето'!af150-'[2]$ лето'!ae150-'[2]$ лето'!ad150-'[2]$ лето'!ab150-'[2]$ лето'!aa150-'[2]$ лето'!z150-'[2]$ лето'!y150-'[2]$ лето'!x150-'[2]$ лето'!v150-'[2]$ лето'!u150-'[2]$ лето'!t150-'[2]$ лето'!s150-'[2]$ лето'!r150-'[2]$ лето'!p150-'[2]$ лето'!o150-'[2]$ лето'!n150-'[2]$ лето'!m150-'[2]$ лето'!l150+'[2]$ лето'!k150+'[2]$ лето'!q150+'[2]$ лето'!w150+'[2]$ лето'!ac150+'[2]$ лето'!ai150+'[2]$ лето'!ao150</f>
        <v>2</v>
      </c>
      <c r="I150" s="109" t="n">
        <f aca="false">'[2]$ лето'!ay150*1.1</f>
        <v>1663.2</v>
      </c>
      <c r="J150" s="85" t="n">
        <v>2017</v>
      </c>
    </row>
    <row r="151" customFormat="false" ht="15" hidden="false" customHeight="false" outlineLevel="0" collapsed="false">
      <c r="A151" s="115" t="s">
        <v>114</v>
      </c>
      <c r="B151" s="115" t="s">
        <v>658</v>
      </c>
      <c r="C151" s="116" t="s">
        <v>736</v>
      </c>
      <c r="D151" s="116"/>
      <c r="E151" s="116" t="n">
        <v>86</v>
      </c>
      <c r="F151" s="116" t="s">
        <v>562</v>
      </c>
      <c r="G151" s="108" t="s">
        <v>640</v>
      </c>
      <c r="H151" s="105" t="n">
        <f aca="false">'[2]$ лето'!j151-'[2]$ лето'!au151-'[2]$ лето'!at151-'[2]$ лето'!as151-'[2]$ лето'!ar151-'[2]$ лето'!aq151-'[2]$ лето'!ap151-'[2]$ лето'!an151-'[2]$ лето'!am151-'[2]$ лето'!al151-'[2]$ лето'!ak151-'[2]$ лето'!aj151-'[2]$ лето'!ah151-'[2]$ лето'!ag151-'[2]$ лето'!af151-'[2]$ лето'!ae151-'[2]$ лето'!ad151-'[2]$ лето'!ab151-'[2]$ лето'!aa151-'[2]$ лето'!z151-'[2]$ лето'!y151-'[2]$ лето'!x151-'[2]$ лето'!v151-'[2]$ лето'!u151-'[2]$ лето'!t151-'[2]$ лето'!s151-'[2]$ лето'!r151-'[2]$ лето'!p151-'[2]$ лето'!o151-'[2]$ лето'!n151-'[2]$ лето'!m151-'[2]$ лето'!l151+'[2]$ лето'!k151+'[2]$ лето'!q151+'[2]$ лето'!w151+'[2]$ лето'!ac151+'[2]$ лето'!ai151+'[2]$ лето'!ao151</f>
        <v>1</v>
      </c>
      <c r="I151" s="109" t="n">
        <f aca="false">'[2]$ лето'!ay151*1.1</f>
        <v>924</v>
      </c>
      <c r="J151" s="85" t="n">
        <v>2013</v>
      </c>
    </row>
    <row r="152" customFormat="false" ht="15" hidden="true" customHeight="false" outlineLevel="0" collapsed="false">
      <c r="A152" s="115" t="s">
        <v>114</v>
      </c>
      <c r="B152" s="115" t="s">
        <v>555</v>
      </c>
      <c r="C152" s="116" t="s">
        <v>737</v>
      </c>
      <c r="D152" s="116"/>
      <c r="E152" s="116"/>
      <c r="F152" s="116"/>
      <c r="G152" s="108"/>
      <c r="H152" s="105" t="n">
        <f aca="false">'[2]$ лето'!j152-'[2]$ лето'!au152-'[2]$ лето'!at152-'[2]$ лето'!as152-'[2]$ лето'!ar152-'[2]$ лето'!aq152-'[2]$ лето'!ap152-'[2]$ лето'!an152-'[2]$ лето'!am152-'[2]$ лето'!al152-'[2]$ лето'!ak152-'[2]$ лето'!aj152-'[2]$ лето'!ah152-'[2]$ лето'!ag152-'[2]$ лето'!af152-'[2]$ лето'!ae152-'[2]$ лето'!ad152-'[2]$ лето'!ab152-'[2]$ лето'!aa152-'[2]$ лето'!z152-'[2]$ лето'!y152-'[2]$ лето'!x152-'[2]$ лето'!v152-'[2]$ лето'!u152-'[2]$ лето'!t152-'[2]$ лето'!s152-'[2]$ лето'!r152-'[2]$ лето'!p152-'[2]$ лето'!o152-'[2]$ лето'!n152-'[2]$ лето'!m152-'[2]$ лето'!l152+'[2]$ лето'!k152+'[2]$ лето'!q152+'[2]$ лето'!w152+'[2]$ лето'!ac152+'[2]$ лето'!ai152+'[2]$ лето'!ao152</f>
        <v>0</v>
      </c>
      <c r="I152" s="109" t="n">
        <f aca="false">'[2]$ лето'!ay152*1.1</f>
        <v>924</v>
      </c>
    </row>
    <row r="153" customFormat="false" ht="15" hidden="true" customHeight="false" outlineLevel="0" collapsed="false">
      <c r="A153" s="115" t="s">
        <v>114</v>
      </c>
      <c r="B153" s="115" t="s">
        <v>555</v>
      </c>
      <c r="C153" s="119" t="s">
        <v>738</v>
      </c>
      <c r="D153" s="119"/>
      <c r="E153" s="119" t="n">
        <v>86</v>
      </c>
      <c r="F153" s="119" t="s">
        <v>562</v>
      </c>
      <c r="G153" s="108"/>
      <c r="H153" s="105" t="n">
        <f aca="false">'[2]$ лето'!j153-'[2]$ лето'!au153-'[2]$ лето'!at153-'[2]$ лето'!as153-'[2]$ лето'!ar153-'[2]$ лето'!aq153-'[2]$ лето'!ap153-'[2]$ лето'!an153-'[2]$ лето'!am153-'[2]$ лето'!al153-'[2]$ лето'!ak153-'[2]$ лето'!aj153-'[2]$ лето'!ah153-'[2]$ лето'!ag153-'[2]$ лето'!af153-'[2]$ лето'!ae153-'[2]$ лето'!ad153-'[2]$ лето'!ab153-'[2]$ лето'!aa153-'[2]$ лето'!z153-'[2]$ лето'!y153-'[2]$ лето'!x153-'[2]$ лето'!v153-'[2]$ лето'!u153-'[2]$ лето'!t153-'[2]$ лето'!s153-'[2]$ лето'!r153-'[2]$ лето'!p153-'[2]$ лето'!o153-'[2]$ лето'!n153-'[2]$ лето'!m153-'[2]$ лето'!l153+'[2]$ лето'!k153+'[2]$ лето'!q153+'[2]$ лето'!w153+'[2]$ лето'!ac153+'[2]$ лето'!ai153+'[2]$ лето'!ao153</f>
        <v>0</v>
      </c>
      <c r="I153" s="109" t="n">
        <f aca="false">'[2]$ лето'!ay153*1.1</f>
        <v>1170.4</v>
      </c>
      <c r="J153" s="85" t="n">
        <v>2017</v>
      </c>
    </row>
    <row r="154" customFormat="false" ht="15" hidden="false" customHeight="false" outlineLevel="0" collapsed="false">
      <c r="A154" s="115" t="s">
        <v>114</v>
      </c>
      <c r="B154" s="115" t="s">
        <v>646</v>
      </c>
      <c r="C154" s="116" t="s">
        <v>739</v>
      </c>
      <c r="D154" s="116"/>
      <c r="E154" s="116" t="n">
        <v>86</v>
      </c>
      <c r="F154" s="116" t="s">
        <v>562</v>
      </c>
      <c r="G154" s="108" t="s">
        <v>663</v>
      </c>
      <c r="H154" s="105" t="n">
        <f aca="false">'[2]$ лето'!j154-'[2]$ лето'!au154-'[2]$ лето'!at154-'[2]$ лето'!as154-'[2]$ лето'!ar154-'[2]$ лето'!aq154-'[2]$ лето'!ap154-'[2]$ лето'!an154-'[2]$ лето'!am154-'[2]$ лето'!al154-'[2]$ лето'!ak154-'[2]$ лето'!aj154-'[2]$ лето'!ah154-'[2]$ лето'!ag154-'[2]$ лето'!af154-'[2]$ лето'!ae154-'[2]$ лето'!ad154-'[2]$ лето'!ab154-'[2]$ лето'!aa154-'[2]$ лето'!z154-'[2]$ лето'!y154-'[2]$ лето'!x154-'[2]$ лето'!v154-'[2]$ лето'!u154-'[2]$ лето'!t154-'[2]$ лето'!s154-'[2]$ лето'!r154-'[2]$ лето'!p154-'[2]$ лето'!o154-'[2]$ лето'!n154-'[2]$ лето'!m154-'[2]$ лето'!l154+'[2]$ лето'!k154+'[2]$ лето'!q154+'[2]$ лето'!w154+'[2]$ лето'!ac154+'[2]$ лето'!ai154+'[2]$ лето'!ao154</f>
        <v>1</v>
      </c>
      <c r="I154" s="109" t="n">
        <f aca="false">'[2]$ лето'!ay154*1.1</f>
        <v>924</v>
      </c>
      <c r="J154" s="85" t="n">
        <v>2016</v>
      </c>
    </row>
    <row r="155" customFormat="false" ht="15" hidden="true" customHeight="false" outlineLevel="0" collapsed="false">
      <c r="A155" s="115" t="s">
        <v>114</v>
      </c>
      <c r="B155" s="115" t="s">
        <v>553</v>
      </c>
      <c r="C155" s="116" t="s">
        <v>740</v>
      </c>
      <c r="D155" s="116"/>
      <c r="E155" s="116"/>
      <c r="F155" s="116"/>
      <c r="G155" s="108"/>
      <c r="H155" s="105" t="n">
        <f aca="false">'[2]$ лето'!j155-'[2]$ лето'!au155-'[2]$ лето'!at155-'[2]$ лето'!as155-'[2]$ лето'!ar155-'[2]$ лето'!aq155-'[2]$ лето'!ap155-'[2]$ лето'!an155-'[2]$ лето'!am155-'[2]$ лето'!al155-'[2]$ лето'!ak155-'[2]$ лето'!aj155-'[2]$ лето'!ah155-'[2]$ лето'!ag155-'[2]$ лето'!af155-'[2]$ лето'!ae155-'[2]$ лето'!ad155-'[2]$ лето'!ab155-'[2]$ лето'!aa155-'[2]$ лето'!z155-'[2]$ лето'!y155-'[2]$ лето'!x155-'[2]$ лето'!v155-'[2]$ лето'!u155-'[2]$ лето'!t155-'[2]$ лето'!s155-'[2]$ лето'!r155-'[2]$ лето'!p155-'[2]$ лето'!o155-'[2]$ лето'!n155-'[2]$ лето'!m155-'[2]$ лето'!l155+'[2]$ лето'!k155+'[2]$ лето'!q155+'[2]$ лето'!w155+'[2]$ лето'!ac155+'[2]$ лето'!ai155+'[2]$ лето'!ao155</f>
        <v>0</v>
      </c>
      <c r="I155" s="109" t="n">
        <f aca="false">'[2]$ лето'!ay155*1.1</f>
        <v>462</v>
      </c>
    </row>
    <row r="156" customFormat="false" ht="15" hidden="true" customHeight="false" outlineLevel="0" collapsed="false">
      <c r="A156" s="115" t="s">
        <v>114</v>
      </c>
      <c r="B156" s="115" t="s">
        <v>741</v>
      </c>
      <c r="C156" s="116" t="s">
        <v>742</v>
      </c>
      <c r="D156" s="116"/>
      <c r="E156" s="116"/>
      <c r="F156" s="116"/>
      <c r="G156" s="108"/>
      <c r="H156" s="105" t="n">
        <f aca="false">'[2]$ лето'!j156-'[2]$ лето'!au156-'[2]$ лето'!at156-'[2]$ лето'!as156-'[2]$ лето'!ar156-'[2]$ лето'!aq156-'[2]$ лето'!ap156-'[2]$ лето'!an156-'[2]$ лето'!am156-'[2]$ лето'!al156-'[2]$ лето'!ak156-'[2]$ лето'!aj156-'[2]$ лето'!ah156-'[2]$ лето'!ag156-'[2]$ лето'!af156-'[2]$ лето'!ae156-'[2]$ лето'!ad156-'[2]$ лето'!ab156-'[2]$ лето'!aa156-'[2]$ лето'!z156-'[2]$ лето'!y156-'[2]$ лето'!x156-'[2]$ лето'!v156-'[2]$ лето'!u156-'[2]$ лето'!t156-'[2]$ лето'!s156-'[2]$ лето'!r156-'[2]$ лето'!p156-'[2]$ лето'!o156-'[2]$ лето'!n156-'[2]$ лето'!m156-'[2]$ лето'!l156+'[2]$ лето'!k156+'[2]$ лето'!q156+'[2]$ лето'!w156+'[2]$ лето'!ac156+'[2]$ лето'!ai156+'[2]$ лето'!ao156</f>
        <v>0</v>
      </c>
      <c r="I156" s="109" t="n">
        <f aca="false">'[2]$ лето'!ay156*1.1</f>
        <v>1078</v>
      </c>
    </row>
    <row r="157" customFormat="false" ht="15" hidden="false" customHeight="false" outlineLevel="0" collapsed="false">
      <c r="A157" s="115" t="s">
        <v>114</v>
      </c>
      <c r="B157" s="115" t="s">
        <v>604</v>
      </c>
      <c r="C157" s="116" t="s">
        <v>743</v>
      </c>
      <c r="D157" s="116"/>
      <c r="E157" s="116" t="n">
        <v>86</v>
      </c>
      <c r="F157" s="116" t="s">
        <v>562</v>
      </c>
      <c r="G157" s="108" t="s">
        <v>576</v>
      </c>
      <c r="H157" s="105" t="n">
        <f aca="false">'[2]$ лето'!j157-'[2]$ лето'!au157-'[2]$ лето'!at157-'[2]$ лето'!as157-'[2]$ лето'!ar157-'[2]$ лето'!aq157-'[2]$ лето'!ap157-'[2]$ лето'!an157-'[2]$ лето'!am157-'[2]$ лето'!al157-'[2]$ лето'!ak157-'[2]$ лето'!aj157-'[2]$ лето'!ah157-'[2]$ лето'!ag157-'[2]$ лето'!af157-'[2]$ лето'!ae157-'[2]$ лето'!ad157-'[2]$ лето'!ab157-'[2]$ лето'!aa157-'[2]$ лето'!z157-'[2]$ лето'!y157-'[2]$ лето'!x157-'[2]$ лето'!v157-'[2]$ лето'!u157-'[2]$ лето'!t157-'[2]$ лето'!s157-'[2]$ лето'!r157-'[2]$ лето'!p157-'[2]$ лето'!o157-'[2]$ лето'!n157-'[2]$ лето'!m157-'[2]$ лето'!l157+'[2]$ лето'!k157+'[2]$ лето'!q157+'[2]$ лето'!w157+'[2]$ лето'!ac157+'[2]$ лето'!ai157+'[2]$ лето'!ao157</f>
        <v>4</v>
      </c>
      <c r="I157" s="109" t="n">
        <f aca="false">'[2]$ лето'!ay157*1.1</f>
        <v>1262.8</v>
      </c>
      <c r="J157" s="85" t="n">
        <v>2017</v>
      </c>
    </row>
    <row r="158" customFormat="false" ht="15" hidden="false" customHeight="false" outlineLevel="0" collapsed="false">
      <c r="A158" s="115" t="s">
        <v>114</v>
      </c>
      <c r="B158" s="115" t="s">
        <v>744</v>
      </c>
      <c r="C158" s="116" t="s">
        <v>745</v>
      </c>
      <c r="D158" s="116"/>
      <c r="E158" s="116" t="n">
        <v>86</v>
      </c>
      <c r="F158" s="116" t="s">
        <v>562</v>
      </c>
      <c r="G158" s="108"/>
      <c r="H158" s="105" t="n">
        <f aca="false">'[2]$ лето'!j158-'[2]$ лето'!au158-'[2]$ лето'!at158-'[2]$ лето'!as158-'[2]$ лето'!ar158-'[2]$ лето'!aq158-'[2]$ лето'!ap158-'[2]$ лето'!an158-'[2]$ лето'!am158-'[2]$ лето'!al158-'[2]$ лето'!ak158-'[2]$ лето'!aj158-'[2]$ лето'!ah158-'[2]$ лето'!ag158-'[2]$ лето'!af158-'[2]$ лето'!ae158-'[2]$ лето'!ad158-'[2]$ лето'!ab158-'[2]$ лето'!aa158-'[2]$ лето'!z158-'[2]$ лето'!y158-'[2]$ лето'!x158-'[2]$ лето'!v158-'[2]$ лето'!u158-'[2]$ лето'!t158-'[2]$ лето'!s158-'[2]$ лето'!r158-'[2]$ лето'!p158-'[2]$ лето'!o158-'[2]$ лето'!n158-'[2]$ лето'!m158-'[2]$ лето'!l158+'[2]$ лето'!k158+'[2]$ лето'!q158+'[2]$ лето'!w158+'[2]$ лето'!ac158+'[2]$ лето'!ai158+'[2]$ лето'!ao158</f>
        <v>4</v>
      </c>
      <c r="I158" s="109" t="n">
        <f aca="false">'[2]$ лето'!ay158*1.1</f>
        <v>1100</v>
      </c>
    </row>
    <row r="159" customFormat="false" ht="15" hidden="true" customHeight="false" outlineLevel="0" collapsed="false">
      <c r="A159" s="115" t="s">
        <v>114</v>
      </c>
      <c r="B159" s="115" t="s">
        <v>606</v>
      </c>
      <c r="C159" s="114" t="s">
        <v>746</v>
      </c>
      <c r="D159" s="114"/>
      <c r="E159" s="114"/>
      <c r="F159" s="114"/>
      <c r="G159" s="108"/>
      <c r="H159" s="105" t="n">
        <f aca="false">'[2]$ лето'!j159-'[2]$ лето'!au159-'[2]$ лето'!at159-'[2]$ лето'!as159-'[2]$ лето'!ar159-'[2]$ лето'!aq159-'[2]$ лето'!ap159-'[2]$ лето'!an159-'[2]$ лето'!am159-'[2]$ лето'!al159-'[2]$ лето'!ak159-'[2]$ лето'!aj159-'[2]$ лето'!ah159-'[2]$ лето'!ag159-'[2]$ лето'!af159-'[2]$ лето'!ae159-'[2]$ лето'!ad159-'[2]$ лето'!ab159-'[2]$ лето'!aa159-'[2]$ лето'!z159-'[2]$ лето'!y159-'[2]$ лето'!x159-'[2]$ лето'!v159-'[2]$ лето'!u159-'[2]$ лето'!t159-'[2]$ лето'!s159-'[2]$ лето'!r159-'[2]$ лето'!p159-'[2]$ лето'!o159-'[2]$ лето'!n159-'[2]$ лето'!m159-'[2]$ лето'!l159+'[2]$ лето'!k159+'[2]$ лето'!q159+'[2]$ лето'!w159+'[2]$ лето'!ac159+'[2]$ лето'!ai159+'[2]$ лето'!ao159</f>
        <v>0</v>
      </c>
      <c r="I159" s="109" t="n">
        <f aca="false">'[2]$ лето'!ay159*1.1</f>
        <v>1355.2</v>
      </c>
      <c r="J159" s="85" t="n">
        <v>2017</v>
      </c>
    </row>
    <row r="160" customFormat="false" ht="15" hidden="true" customHeight="false" outlineLevel="0" collapsed="false">
      <c r="A160" s="115" t="s">
        <v>114</v>
      </c>
      <c r="B160" s="115" t="s">
        <v>606</v>
      </c>
      <c r="C160" s="114" t="s">
        <v>747</v>
      </c>
      <c r="D160" s="114"/>
      <c r="E160" s="114"/>
      <c r="F160" s="114"/>
      <c r="G160" s="108"/>
      <c r="H160" s="105" t="n">
        <f aca="false">'[2]$ лето'!j160-'[2]$ лето'!au160-'[2]$ лето'!at160-'[2]$ лето'!as160-'[2]$ лето'!ar160-'[2]$ лето'!aq160-'[2]$ лето'!ap160-'[2]$ лето'!an160-'[2]$ лето'!am160-'[2]$ лето'!al160-'[2]$ лето'!ak160-'[2]$ лето'!aj160-'[2]$ лето'!ah160-'[2]$ лето'!ag160-'[2]$ лето'!af160-'[2]$ лето'!ae160-'[2]$ лето'!ad160-'[2]$ лето'!ab160-'[2]$ лето'!aa160-'[2]$ лето'!z160-'[2]$ лето'!y160-'[2]$ лето'!x160-'[2]$ лето'!v160-'[2]$ лето'!u160-'[2]$ лето'!t160-'[2]$ лето'!s160-'[2]$ лето'!r160-'[2]$ лето'!p160-'[2]$ лето'!o160-'[2]$ лето'!n160-'[2]$ лето'!m160-'[2]$ лето'!l160+'[2]$ лето'!k160+'[2]$ лето'!q160+'[2]$ лето'!w160+'[2]$ лето'!ac160+'[2]$ лето'!ai160+'[2]$ лето'!ao160</f>
        <v>0</v>
      </c>
      <c r="I160" s="109" t="n">
        <f aca="false">'[2]$ лето'!ay160*1.1</f>
        <v>1447.6</v>
      </c>
      <c r="J160" s="85" t="n">
        <v>2018</v>
      </c>
    </row>
    <row r="161" customFormat="false" ht="15" hidden="false" customHeight="false" outlineLevel="0" collapsed="false">
      <c r="A161" s="115" t="s">
        <v>114</v>
      </c>
      <c r="B161" s="115" t="s">
        <v>666</v>
      </c>
      <c r="C161" s="116" t="s">
        <v>748</v>
      </c>
      <c r="D161" s="116"/>
      <c r="E161" s="116" t="n">
        <v>86</v>
      </c>
      <c r="F161" s="116" t="s">
        <v>562</v>
      </c>
      <c r="G161" s="108" t="s">
        <v>663</v>
      </c>
      <c r="H161" s="105" t="n">
        <f aca="false">'[2]$ лето'!j161-'[2]$ лето'!au161-'[2]$ лето'!at161-'[2]$ лето'!as161-'[2]$ лето'!ar161-'[2]$ лето'!aq161-'[2]$ лето'!ap161-'[2]$ лето'!an161-'[2]$ лето'!am161-'[2]$ лето'!al161-'[2]$ лето'!ak161-'[2]$ лето'!aj161-'[2]$ лето'!ah161-'[2]$ лето'!ag161-'[2]$ лето'!af161-'[2]$ лето'!ae161-'[2]$ лето'!ad161-'[2]$ лето'!ab161-'[2]$ лето'!aa161-'[2]$ лето'!z161-'[2]$ лето'!y161-'[2]$ лето'!x161-'[2]$ лето'!v161-'[2]$ лето'!u161-'[2]$ лето'!t161-'[2]$ лето'!s161-'[2]$ лето'!r161-'[2]$ лето'!p161-'[2]$ лето'!o161-'[2]$ лето'!n161-'[2]$ лето'!m161-'[2]$ лето'!l161+'[2]$ лето'!k161+'[2]$ лето'!q161+'[2]$ лето'!w161+'[2]$ лето'!ac161+'[2]$ лето'!ai161+'[2]$ лето'!ao161</f>
        <v>10</v>
      </c>
      <c r="I161" s="109" t="n">
        <f aca="false">'[2]$ лето'!ay161*1.1</f>
        <v>1201.2</v>
      </c>
    </row>
    <row r="162" customFormat="false" ht="15" hidden="true" customHeight="false" outlineLevel="0" collapsed="false">
      <c r="A162" s="115" t="s">
        <v>114</v>
      </c>
      <c r="B162" s="115" t="s">
        <v>668</v>
      </c>
      <c r="C162" s="116" t="s">
        <v>749</v>
      </c>
      <c r="D162" s="116"/>
      <c r="E162" s="116"/>
      <c r="F162" s="116"/>
      <c r="G162" s="108" t="s">
        <v>609</v>
      </c>
      <c r="H162" s="105" t="n">
        <f aca="false">'[2]$ лето'!j162-'[2]$ лето'!au162-'[2]$ лето'!at162-'[2]$ лето'!as162-'[2]$ лето'!ar162-'[2]$ лето'!aq162-'[2]$ лето'!ap162-'[2]$ лето'!an162-'[2]$ лето'!am162-'[2]$ лето'!al162-'[2]$ лето'!ak162-'[2]$ лето'!aj162-'[2]$ лето'!ah162-'[2]$ лето'!ag162-'[2]$ лето'!af162-'[2]$ лето'!ae162-'[2]$ лето'!ad162-'[2]$ лето'!ab162-'[2]$ лето'!aa162-'[2]$ лето'!z162-'[2]$ лето'!y162-'[2]$ лето'!x162-'[2]$ лето'!v162-'[2]$ лето'!u162-'[2]$ лето'!t162-'[2]$ лето'!s162-'[2]$ лето'!r162-'[2]$ лето'!p162-'[2]$ лето'!o162-'[2]$ лето'!n162-'[2]$ лето'!m162-'[2]$ лето'!l162+'[2]$ лето'!k162+'[2]$ лето'!q162+'[2]$ лето'!w162+'[2]$ лето'!ac162+'[2]$ лето'!ai162+'[2]$ лето'!ao162</f>
        <v>0</v>
      </c>
      <c r="I162" s="109" t="n">
        <f aca="false">'[2]$ лето'!ay162*1.1</f>
        <v>924</v>
      </c>
    </row>
    <row r="163" customFormat="false" ht="15" hidden="true" customHeight="false" outlineLevel="0" collapsed="false">
      <c r="A163" s="115" t="s">
        <v>114</v>
      </c>
      <c r="B163" s="115" t="s">
        <v>668</v>
      </c>
      <c r="C163" s="107" t="s">
        <v>716</v>
      </c>
      <c r="D163" s="107"/>
      <c r="E163" s="107"/>
      <c r="F163" s="107"/>
      <c r="G163" s="108" t="s">
        <v>609</v>
      </c>
      <c r="H163" s="105" t="n">
        <f aca="false">'[2]$ лето'!j163-'[2]$ лето'!au163-'[2]$ лето'!at163-'[2]$ лето'!as163-'[2]$ лето'!ar163-'[2]$ лето'!aq163-'[2]$ лето'!ap163-'[2]$ лето'!an163-'[2]$ лето'!am163-'[2]$ лето'!al163-'[2]$ лето'!ak163-'[2]$ лето'!aj163-'[2]$ лето'!ah163-'[2]$ лето'!ag163-'[2]$ лето'!af163-'[2]$ лето'!ae163-'[2]$ лето'!ad163-'[2]$ лето'!ab163-'[2]$ лето'!aa163-'[2]$ лето'!z163-'[2]$ лето'!y163-'[2]$ лето'!x163-'[2]$ лето'!v163-'[2]$ лето'!u163-'[2]$ лето'!t163-'[2]$ лето'!s163-'[2]$ лето'!r163-'[2]$ лето'!p163-'[2]$ лето'!o163-'[2]$ лето'!n163-'[2]$ лето'!m163-'[2]$ лето'!l163+'[2]$ лето'!k163+'[2]$ лето'!q163+'[2]$ лето'!w163+'[2]$ лето'!ac163+'[2]$ лето'!ai163+'[2]$ лето'!ao163</f>
        <v>0</v>
      </c>
      <c r="I163" s="109" t="n">
        <f aca="false">'[2]$ лето'!ay163*1.1</f>
        <v>1170.4</v>
      </c>
    </row>
    <row r="164" customFormat="false" ht="15" hidden="false" customHeight="false" outlineLevel="0" collapsed="false">
      <c r="A164" s="115" t="s">
        <v>114</v>
      </c>
      <c r="B164" s="115" t="s">
        <v>574</v>
      </c>
      <c r="C164" s="116" t="s">
        <v>750</v>
      </c>
      <c r="D164" s="116"/>
      <c r="E164" s="116" t="n">
        <v>86</v>
      </c>
      <c r="F164" s="116" t="s">
        <v>634</v>
      </c>
      <c r="G164" s="108" t="s">
        <v>576</v>
      </c>
      <c r="H164" s="105" t="n">
        <f aca="false">'[2]$ лето'!j164-'[2]$ лето'!au164-'[2]$ лето'!at164-'[2]$ лето'!as164-'[2]$ лето'!ar164-'[2]$ лето'!aq164-'[2]$ лето'!ap164-'[2]$ лето'!an164-'[2]$ лето'!am164-'[2]$ лето'!al164-'[2]$ лето'!ak164-'[2]$ лето'!aj164-'[2]$ лето'!ah164-'[2]$ лето'!ag164-'[2]$ лето'!af164-'[2]$ лето'!ae164-'[2]$ лето'!ad164-'[2]$ лето'!ab164-'[2]$ лето'!aa164-'[2]$ лето'!z164-'[2]$ лето'!y164-'[2]$ лето'!x164-'[2]$ лето'!v164-'[2]$ лето'!u164-'[2]$ лето'!t164-'[2]$ лето'!s164-'[2]$ лето'!r164-'[2]$ лето'!p164-'[2]$ лето'!o164-'[2]$ лето'!n164-'[2]$ лето'!m164-'[2]$ лето'!l164+'[2]$ лето'!k164+'[2]$ лето'!q164+'[2]$ лето'!w164+'[2]$ лето'!ac164+'[2]$ лето'!ai164+'[2]$ лето'!ao164</f>
        <v>1</v>
      </c>
      <c r="I164" s="124" t="n">
        <f aca="false">'[2]$ лето'!ay164*1.1</f>
        <v>1187.12</v>
      </c>
      <c r="J164" s="85" t="n">
        <v>2018</v>
      </c>
    </row>
    <row r="165" customFormat="false" ht="15" hidden="true" customHeight="false" outlineLevel="0" collapsed="false">
      <c r="A165" s="115" t="s">
        <v>114</v>
      </c>
      <c r="B165" s="115" t="s">
        <v>574</v>
      </c>
      <c r="C165" s="116" t="s">
        <v>751</v>
      </c>
      <c r="D165" s="116"/>
      <c r="E165" s="116"/>
      <c r="F165" s="116"/>
      <c r="G165" s="108" t="s">
        <v>576</v>
      </c>
      <c r="H165" s="105" t="n">
        <f aca="false">'[2]$ лето'!j165-'[2]$ лето'!au165-'[2]$ лето'!at165-'[2]$ лето'!as165-'[2]$ лето'!ar165-'[2]$ лето'!aq165-'[2]$ лето'!ap165-'[2]$ лето'!an165-'[2]$ лето'!am165-'[2]$ лето'!al165-'[2]$ лето'!ak165-'[2]$ лето'!aj165-'[2]$ лето'!ah165-'[2]$ лето'!ag165-'[2]$ лето'!af165-'[2]$ лето'!ae165-'[2]$ лето'!ad165-'[2]$ лето'!ab165-'[2]$ лето'!aa165-'[2]$ лето'!z165-'[2]$ лето'!y165-'[2]$ лето'!x165-'[2]$ лето'!v165-'[2]$ лето'!u165-'[2]$ лето'!t165-'[2]$ лето'!s165-'[2]$ лето'!r165-'[2]$ лето'!p165-'[2]$ лето'!o165-'[2]$ лето'!n165-'[2]$ лето'!m165-'[2]$ лето'!l165+'[2]$ лето'!k165+'[2]$ лето'!q165+'[2]$ лето'!w165+'[2]$ лето'!ac165+'[2]$ лето'!ai165+'[2]$ лето'!ao165</f>
        <v>0</v>
      </c>
      <c r="I165" s="109" t="n">
        <f aca="false">'[2]$ лето'!ay165*1.1</f>
        <v>1139.6</v>
      </c>
      <c r="J165" s="85" t="n">
        <v>2018</v>
      </c>
    </row>
    <row r="166" customFormat="false" ht="15" hidden="false" customHeight="false" outlineLevel="0" collapsed="false">
      <c r="A166" s="115" t="s">
        <v>114</v>
      </c>
      <c r="B166" s="115" t="s">
        <v>577</v>
      </c>
      <c r="C166" s="116" t="s">
        <v>752</v>
      </c>
      <c r="D166" s="116"/>
      <c r="E166" s="116" t="n">
        <v>86</v>
      </c>
      <c r="F166" s="116" t="s">
        <v>634</v>
      </c>
      <c r="G166" s="108" t="s">
        <v>563</v>
      </c>
      <c r="H166" s="105" t="n">
        <f aca="false">'[2]$ лето'!j166-'[2]$ лето'!au166-'[2]$ лето'!at166-'[2]$ лето'!as166-'[2]$ лето'!ar166-'[2]$ лето'!aq166-'[2]$ лето'!ap166-'[2]$ лето'!an166-'[2]$ лето'!am166-'[2]$ лето'!al166-'[2]$ лето'!ak166-'[2]$ лето'!aj166-'[2]$ лето'!ah166-'[2]$ лето'!ag166-'[2]$ лето'!af166-'[2]$ лето'!ae166-'[2]$ лето'!ad166-'[2]$ лето'!ab166-'[2]$ лето'!aa166-'[2]$ лето'!z166-'[2]$ лето'!y166-'[2]$ лето'!x166-'[2]$ лето'!v166-'[2]$ лето'!u166-'[2]$ лето'!t166-'[2]$ лето'!s166-'[2]$ лето'!r166-'[2]$ лето'!p166-'[2]$ лето'!o166-'[2]$ лето'!n166-'[2]$ лето'!m166-'[2]$ лето'!l166+'[2]$ лето'!k166+'[2]$ лето'!q166+'[2]$ лето'!w166+'[2]$ лето'!ac166+'[2]$ лето'!ai166+'[2]$ лето'!ao166</f>
        <v>8</v>
      </c>
      <c r="I166" s="109" t="n">
        <f aca="false">'[2]$ лето'!ay166*1.1</f>
        <v>1016.4</v>
      </c>
    </row>
    <row r="167" customFormat="false" ht="15" hidden="false" customHeight="false" outlineLevel="0" collapsed="false">
      <c r="A167" s="115" t="s">
        <v>114</v>
      </c>
      <c r="B167" s="115" t="s">
        <v>579</v>
      </c>
      <c r="C167" s="116" t="s">
        <v>753</v>
      </c>
      <c r="D167" s="116"/>
      <c r="E167" s="116" t="n">
        <v>86</v>
      </c>
      <c r="F167" s="116" t="s">
        <v>562</v>
      </c>
      <c r="G167" s="108" t="s">
        <v>520</v>
      </c>
      <c r="H167" s="105" t="n">
        <f aca="false">'[2]$ лето'!j167-'[2]$ лето'!au167-'[2]$ лето'!at167-'[2]$ лето'!as167-'[2]$ лето'!ar167-'[2]$ лето'!aq167-'[2]$ лето'!ap167-'[2]$ лето'!an167-'[2]$ лето'!am167-'[2]$ лето'!al167-'[2]$ лето'!ak167-'[2]$ лето'!aj167-'[2]$ лето'!ah167-'[2]$ лето'!ag167-'[2]$ лето'!af167-'[2]$ лето'!ae167-'[2]$ лето'!ad167-'[2]$ лето'!ab167-'[2]$ лето'!aa167-'[2]$ лето'!z167-'[2]$ лето'!y167-'[2]$ лето'!x167-'[2]$ лето'!v167-'[2]$ лето'!u167-'[2]$ лето'!t167-'[2]$ лето'!s167-'[2]$ лето'!r167-'[2]$ лето'!p167-'[2]$ лето'!o167-'[2]$ лето'!n167-'[2]$ лето'!m167-'[2]$ лето'!l167+'[2]$ лето'!k167+'[2]$ лето'!q167+'[2]$ лето'!w167+'[2]$ лето'!ac167+'[2]$ лето'!ai167+'[2]$ лето'!ao167</f>
        <v>12</v>
      </c>
      <c r="I167" s="109" t="n">
        <f aca="false">'[2]$ лето'!ay167*1.1</f>
        <v>836</v>
      </c>
    </row>
    <row r="168" customFormat="false" ht="15" hidden="false" customHeight="false" outlineLevel="0" collapsed="false">
      <c r="A168" s="115" t="s">
        <v>114</v>
      </c>
      <c r="B168" s="115" t="s">
        <v>579</v>
      </c>
      <c r="C168" s="116" t="s">
        <v>754</v>
      </c>
      <c r="D168" s="116"/>
      <c r="E168" s="116" t="n">
        <v>86</v>
      </c>
      <c r="F168" s="116" t="s">
        <v>634</v>
      </c>
      <c r="G168" s="108" t="s">
        <v>520</v>
      </c>
      <c r="H168" s="105" t="n">
        <f aca="false">'[2]$ лето'!j168-'[2]$ лето'!au168-'[2]$ лето'!at168-'[2]$ лето'!as168-'[2]$ лето'!ar168-'[2]$ лето'!aq168-'[2]$ лето'!ap168-'[2]$ лето'!an168-'[2]$ лето'!am168-'[2]$ лето'!al168-'[2]$ лето'!ak168-'[2]$ лето'!aj168-'[2]$ лето'!ah168-'[2]$ лето'!ag168-'[2]$ лето'!af168-'[2]$ лето'!ae168-'[2]$ лето'!ad168-'[2]$ лето'!ab168-'[2]$ лето'!aa168-'[2]$ лето'!z168-'[2]$ лето'!y168-'[2]$ лето'!x168-'[2]$ лето'!v168-'[2]$ лето'!u168-'[2]$ лето'!t168-'[2]$ лето'!s168-'[2]$ лето'!r168-'[2]$ лето'!p168-'[2]$ лето'!o168-'[2]$ лето'!n168-'[2]$ лето'!m168-'[2]$ лето'!l168+'[2]$ лето'!k168+'[2]$ лето'!q168+'[2]$ лето'!w168+'[2]$ лето'!ac168+'[2]$ лето'!ai168+'[2]$ лето'!ao168</f>
        <v>26</v>
      </c>
      <c r="I168" s="109" t="n">
        <f aca="false">'[2]$ лето'!ay168*1.1</f>
        <v>836</v>
      </c>
    </row>
    <row r="169" customFormat="false" ht="15" hidden="false" customHeight="false" outlineLevel="0" collapsed="false">
      <c r="A169" s="115" t="s">
        <v>114</v>
      </c>
      <c r="B169" s="115" t="s">
        <v>755</v>
      </c>
      <c r="C169" s="116" t="s">
        <v>756</v>
      </c>
      <c r="D169" s="116"/>
      <c r="E169" s="116" t="n">
        <v>86</v>
      </c>
      <c r="F169" s="116" t="s">
        <v>634</v>
      </c>
      <c r="G169" s="108"/>
      <c r="H169" s="105" t="n">
        <f aca="false">'[2]$ лето'!j169-'[2]$ лето'!au169-'[2]$ лето'!at169-'[2]$ лето'!as169-'[2]$ лето'!ar169-'[2]$ лето'!aq169-'[2]$ лето'!ap169-'[2]$ лето'!an169-'[2]$ лето'!am169-'[2]$ лето'!al169-'[2]$ лето'!ak169-'[2]$ лето'!aj169-'[2]$ лето'!ah169-'[2]$ лето'!ag169-'[2]$ лето'!af169-'[2]$ лето'!ae169-'[2]$ лето'!ad169-'[2]$ лето'!ab169-'[2]$ лето'!aa169-'[2]$ лето'!z169-'[2]$ лето'!y169-'[2]$ лето'!x169-'[2]$ лето'!v169-'[2]$ лето'!u169-'[2]$ лето'!t169-'[2]$ лето'!s169-'[2]$ лето'!r169-'[2]$ лето'!p169-'[2]$ лето'!o169-'[2]$ лето'!n169-'[2]$ лето'!m169-'[2]$ лето'!l169+'[2]$ лето'!k169+'[2]$ лето'!q169+'[2]$ лето'!w169+'[2]$ лето'!ac169+'[2]$ лето'!ai169+'[2]$ лето'!ao169</f>
        <v>4</v>
      </c>
      <c r="I169" s="109" t="n">
        <f aca="false">'[2]$ лето'!ay169*1.1</f>
        <v>913</v>
      </c>
      <c r="J169" s="85" t="n">
        <v>2017</v>
      </c>
    </row>
    <row r="170" customFormat="false" ht="15" hidden="true" customHeight="false" outlineLevel="0" collapsed="false">
      <c r="A170" s="115" t="s">
        <v>114</v>
      </c>
      <c r="B170" s="115" t="s">
        <v>583</v>
      </c>
      <c r="C170" s="116" t="s">
        <v>757</v>
      </c>
      <c r="D170" s="116"/>
      <c r="E170" s="116"/>
      <c r="F170" s="116"/>
      <c r="G170" s="108"/>
      <c r="H170" s="105" t="n">
        <f aca="false">'[2]$ лето'!j170-'[2]$ лето'!au170-'[2]$ лето'!at170-'[2]$ лето'!as170-'[2]$ лето'!ar170-'[2]$ лето'!aq170-'[2]$ лето'!ap170-'[2]$ лето'!an170-'[2]$ лето'!am170-'[2]$ лето'!al170-'[2]$ лето'!ak170-'[2]$ лето'!aj170-'[2]$ лето'!ah170-'[2]$ лето'!ag170-'[2]$ лето'!af170-'[2]$ лето'!ae170-'[2]$ лето'!ad170-'[2]$ лето'!ab170-'[2]$ лето'!aa170-'[2]$ лето'!z170-'[2]$ лето'!y170-'[2]$ лето'!x170-'[2]$ лето'!v170-'[2]$ лето'!u170-'[2]$ лето'!t170-'[2]$ лето'!s170-'[2]$ лето'!r170-'[2]$ лето'!p170-'[2]$ лето'!o170-'[2]$ лето'!n170-'[2]$ лето'!m170-'[2]$ лето'!l170+'[2]$ лето'!k170+'[2]$ лето'!q170+'[2]$ лето'!w170+'[2]$ лето'!ac170+'[2]$ лето'!ai170+'[2]$ лето'!ao170</f>
        <v>0</v>
      </c>
      <c r="I170" s="109" t="n">
        <f aca="false">'[2]$ лето'!ay170*1.1</f>
        <v>1108.8</v>
      </c>
    </row>
    <row r="171" customFormat="false" ht="15" hidden="false" customHeight="false" outlineLevel="0" collapsed="false">
      <c r="A171" s="115" t="s">
        <v>114</v>
      </c>
      <c r="B171" s="115" t="s">
        <v>583</v>
      </c>
      <c r="C171" s="116" t="s">
        <v>758</v>
      </c>
      <c r="D171" s="116"/>
      <c r="E171" s="116" t="n">
        <v>86</v>
      </c>
      <c r="F171" s="116" t="s">
        <v>562</v>
      </c>
      <c r="G171" s="108" t="s">
        <v>585</v>
      </c>
      <c r="H171" s="105" t="n">
        <f aca="false">'[2]$ лето'!j171-'[2]$ лето'!au171-'[2]$ лето'!at171-'[2]$ лето'!as171-'[2]$ лето'!ar171-'[2]$ лето'!aq171-'[2]$ лето'!ap171-'[2]$ лето'!an171-'[2]$ лето'!am171-'[2]$ лето'!al171-'[2]$ лето'!ak171-'[2]$ лето'!aj171-'[2]$ лето'!ah171-'[2]$ лето'!ag171-'[2]$ лето'!af171-'[2]$ лето'!ae171-'[2]$ лето'!ad171-'[2]$ лето'!ab171-'[2]$ лето'!aa171-'[2]$ лето'!z171-'[2]$ лето'!y171-'[2]$ лето'!x171-'[2]$ лето'!v171-'[2]$ лето'!u171-'[2]$ лето'!t171-'[2]$ лето'!s171-'[2]$ лето'!r171-'[2]$ лето'!p171-'[2]$ лето'!o171-'[2]$ лето'!n171-'[2]$ лето'!m171-'[2]$ лето'!l171+'[2]$ лето'!k171+'[2]$ лето'!q171+'[2]$ лето'!w171+'[2]$ лето'!ac171+'[2]$ лето'!ai171+'[2]$ лето'!ao171</f>
        <v>4</v>
      </c>
      <c r="I171" s="109" t="n">
        <f aca="false">'[2]$ лето'!ay171*1.1</f>
        <v>1078</v>
      </c>
      <c r="J171" s="85" t="n">
        <v>2018</v>
      </c>
    </row>
    <row r="172" customFormat="false" ht="15" hidden="true" customHeight="false" outlineLevel="0" collapsed="false">
      <c r="A172" s="115" t="s">
        <v>114</v>
      </c>
      <c r="B172" s="115" t="s">
        <v>593</v>
      </c>
      <c r="C172" s="116" t="s">
        <v>759</v>
      </c>
      <c r="D172" s="116"/>
      <c r="E172" s="116"/>
      <c r="F172" s="116"/>
      <c r="G172" s="108" t="s">
        <v>722</v>
      </c>
      <c r="H172" s="105" t="n">
        <f aca="false">'[2]$ лето'!j172-'[2]$ лето'!au172-'[2]$ лето'!at172-'[2]$ лето'!as172-'[2]$ лето'!ar172-'[2]$ лето'!aq172-'[2]$ лето'!ap172-'[2]$ лето'!an172-'[2]$ лето'!am172-'[2]$ лето'!al172-'[2]$ лето'!ak172-'[2]$ лето'!aj172-'[2]$ лето'!ah172-'[2]$ лето'!ag172-'[2]$ лето'!af172-'[2]$ лето'!ae172-'[2]$ лето'!ad172-'[2]$ лето'!ab172-'[2]$ лето'!aa172-'[2]$ лето'!z172-'[2]$ лето'!y172-'[2]$ лето'!x172-'[2]$ лето'!v172-'[2]$ лето'!u172-'[2]$ лето'!t172-'[2]$ лето'!s172-'[2]$ лето'!r172-'[2]$ лето'!p172-'[2]$ лето'!o172-'[2]$ лето'!n172-'[2]$ лето'!m172-'[2]$ лето'!l172+'[2]$ лето'!k172+'[2]$ лето'!q172+'[2]$ лето'!w172+'[2]$ лето'!ac172+'[2]$ лето'!ai172+'[2]$ лето'!ao172</f>
        <v>0</v>
      </c>
      <c r="I172" s="109" t="n">
        <f aca="false">'[2]$ лето'!ay172*1.1</f>
        <v>1570.8</v>
      </c>
      <c r="J172" s="85" t="n">
        <v>2018</v>
      </c>
    </row>
    <row r="173" customFormat="false" ht="15" hidden="true" customHeight="false" outlineLevel="0" collapsed="false">
      <c r="A173" s="115" t="s">
        <v>114</v>
      </c>
      <c r="B173" s="115" t="s">
        <v>593</v>
      </c>
      <c r="C173" s="116" t="s">
        <v>760</v>
      </c>
      <c r="D173" s="116"/>
      <c r="E173" s="116"/>
      <c r="F173" s="116"/>
      <c r="G173" s="108"/>
      <c r="H173" s="105" t="n">
        <f aca="false">'[2]$ лето'!j173-'[2]$ лето'!au173-'[2]$ лето'!at173-'[2]$ лето'!as173-'[2]$ лето'!ar173-'[2]$ лето'!aq173-'[2]$ лето'!ap173-'[2]$ лето'!an173-'[2]$ лето'!am173-'[2]$ лето'!al173-'[2]$ лето'!ak173-'[2]$ лето'!aj173-'[2]$ лето'!ah173-'[2]$ лето'!ag173-'[2]$ лето'!af173-'[2]$ лето'!ae173-'[2]$ лето'!ad173-'[2]$ лето'!ab173-'[2]$ лето'!aa173-'[2]$ лето'!z173-'[2]$ лето'!y173-'[2]$ лето'!x173-'[2]$ лето'!v173-'[2]$ лето'!u173-'[2]$ лето'!t173-'[2]$ лето'!s173-'[2]$ лето'!r173-'[2]$ лето'!p173-'[2]$ лето'!o173-'[2]$ лето'!n173-'[2]$ лето'!m173-'[2]$ лето'!l173+'[2]$ лето'!k173+'[2]$ лето'!q173+'[2]$ лето'!w173+'[2]$ лето'!ac173+'[2]$ лето'!ai173+'[2]$ лето'!ao173</f>
        <v>0</v>
      </c>
      <c r="I173" s="109" t="n">
        <f aca="false">'[2]$ лето'!ay173*1.1</f>
        <v>1570.8</v>
      </c>
      <c r="J173" s="85" t="n">
        <v>2018</v>
      </c>
    </row>
    <row r="174" customFormat="false" ht="15" hidden="false" customHeight="false" outlineLevel="0" collapsed="false">
      <c r="A174" s="115" t="s">
        <v>114</v>
      </c>
      <c r="B174" s="115" t="s">
        <v>615</v>
      </c>
      <c r="C174" s="116" t="s">
        <v>761</v>
      </c>
      <c r="D174" s="116" t="s">
        <v>582</v>
      </c>
      <c r="E174" s="116" t="n">
        <v>86</v>
      </c>
      <c r="F174" s="116" t="s">
        <v>562</v>
      </c>
      <c r="G174" s="108"/>
      <c r="H174" s="105" t="n">
        <f aca="false">'[2]$ лето'!j174-'[2]$ лето'!au174-'[2]$ лето'!at174-'[2]$ лето'!as174-'[2]$ лето'!ar174-'[2]$ лето'!aq174-'[2]$ лето'!ap174-'[2]$ лето'!an174-'[2]$ лето'!am174-'[2]$ лето'!al174-'[2]$ лето'!ak174-'[2]$ лето'!aj174-'[2]$ лето'!ah174-'[2]$ лето'!ag174-'[2]$ лето'!af174-'[2]$ лето'!ae174-'[2]$ лето'!ad174-'[2]$ лето'!ab174-'[2]$ лето'!aa174-'[2]$ лето'!z174-'[2]$ лето'!y174-'[2]$ лето'!x174-'[2]$ лето'!v174-'[2]$ лето'!u174-'[2]$ лето'!t174-'[2]$ лето'!s174-'[2]$ лето'!r174-'[2]$ лето'!p174-'[2]$ лето'!o174-'[2]$ лето'!n174-'[2]$ лето'!m174-'[2]$ лето'!l174+'[2]$ лето'!k174+'[2]$ лето'!q174+'[2]$ лето'!w174+'[2]$ лето'!ac174+'[2]$ лето'!ai174+'[2]$ лето'!ao174</f>
        <v>4</v>
      </c>
      <c r="I174" s="109" t="n">
        <f aca="false">'[2]$ лето'!ay174*1.1</f>
        <v>1201.2</v>
      </c>
      <c r="J174" s="85" t="n">
        <v>2017</v>
      </c>
    </row>
    <row r="175" customFormat="false" ht="15" hidden="false" customHeight="false" outlineLevel="0" collapsed="false">
      <c r="A175" s="115" t="s">
        <v>114</v>
      </c>
      <c r="B175" s="115" t="s">
        <v>762</v>
      </c>
      <c r="C175" s="107" t="s">
        <v>763</v>
      </c>
      <c r="D175" s="107"/>
      <c r="E175" s="116" t="n">
        <v>86</v>
      </c>
      <c r="F175" s="116" t="s">
        <v>562</v>
      </c>
      <c r="G175" s="108" t="s">
        <v>631</v>
      </c>
      <c r="H175" s="105" t="n">
        <f aca="false">'[2]$ лето'!j175-'[2]$ лето'!au175-'[2]$ лето'!at175-'[2]$ лето'!as175-'[2]$ лето'!ar175-'[2]$ лето'!aq175-'[2]$ лето'!ap175-'[2]$ лето'!an175-'[2]$ лето'!am175-'[2]$ лето'!al175-'[2]$ лето'!ak175-'[2]$ лето'!aj175-'[2]$ лето'!ah175-'[2]$ лето'!ag175-'[2]$ лето'!af175-'[2]$ лето'!ae175-'[2]$ лето'!ad175-'[2]$ лето'!ab175-'[2]$ лето'!aa175-'[2]$ лето'!z175-'[2]$ лето'!y175-'[2]$ лето'!x175-'[2]$ лето'!v175-'[2]$ лето'!u175-'[2]$ лето'!t175-'[2]$ лето'!s175-'[2]$ лето'!r175-'[2]$ лето'!p175-'[2]$ лето'!o175-'[2]$ лето'!n175-'[2]$ лето'!m175-'[2]$ лето'!l175+'[2]$ лето'!k175+'[2]$ лето'!q175+'[2]$ лето'!w175+'[2]$ лето'!ac175+'[2]$ лето'!ai175+'[2]$ лето'!ao175</f>
        <v>2</v>
      </c>
      <c r="I175" s="109" t="n">
        <f aca="false">'[2]$ лето'!ay175*1.1</f>
        <v>1108.8</v>
      </c>
      <c r="J175" s="85" t="n">
        <v>2017</v>
      </c>
    </row>
    <row r="176" customFormat="false" ht="15" hidden="true" customHeight="false" outlineLevel="0" collapsed="false">
      <c r="A176" s="115" t="s">
        <v>114</v>
      </c>
      <c r="B176" s="115" t="s">
        <v>617</v>
      </c>
      <c r="C176" s="116" t="s">
        <v>764</v>
      </c>
      <c r="D176" s="116"/>
      <c r="E176" s="116"/>
      <c r="F176" s="116"/>
      <c r="G176" s="108"/>
      <c r="H176" s="105" t="n">
        <f aca="false">'[2]$ лето'!j176-'[2]$ лето'!au176-'[2]$ лето'!at176-'[2]$ лето'!as176-'[2]$ лето'!ar176-'[2]$ лето'!aq176-'[2]$ лето'!ap176-'[2]$ лето'!an176-'[2]$ лето'!am176-'[2]$ лето'!al176-'[2]$ лето'!ak176-'[2]$ лето'!aj176-'[2]$ лето'!ah176-'[2]$ лето'!ag176-'[2]$ лето'!af176-'[2]$ лето'!ae176-'[2]$ лето'!ad176-'[2]$ лето'!ab176-'[2]$ лето'!aa176-'[2]$ лето'!z176-'[2]$ лето'!y176-'[2]$ лето'!x176-'[2]$ лето'!v176-'[2]$ лето'!u176-'[2]$ лето'!t176-'[2]$ лето'!s176-'[2]$ лето'!r176-'[2]$ лето'!p176-'[2]$ лето'!o176-'[2]$ лето'!n176-'[2]$ лето'!m176-'[2]$ лето'!l176+'[2]$ лето'!k176+'[2]$ лето'!q176+'[2]$ лето'!w176+'[2]$ лето'!ac176+'[2]$ лето'!ai176+'[2]$ лето'!ao176</f>
        <v>0</v>
      </c>
      <c r="I176" s="109" t="n">
        <f aca="false">'[2]$ лето'!ay176*1.1</f>
        <v>1047.2</v>
      </c>
    </row>
    <row r="177" customFormat="false" ht="15" hidden="false" customHeight="false" outlineLevel="0" collapsed="false">
      <c r="A177" s="115" t="s">
        <v>114</v>
      </c>
      <c r="B177" s="115" t="s">
        <v>621</v>
      </c>
      <c r="C177" s="116" t="s">
        <v>765</v>
      </c>
      <c r="D177" s="116" t="s">
        <v>582</v>
      </c>
      <c r="E177" s="116" t="n">
        <v>86</v>
      </c>
      <c r="F177" s="116" t="s">
        <v>634</v>
      </c>
      <c r="G177" s="108" t="s">
        <v>520</v>
      </c>
      <c r="H177" s="105" t="n">
        <f aca="false">'[2]$ лето'!j177-'[2]$ лето'!au177-'[2]$ лето'!at177-'[2]$ лето'!as177-'[2]$ лето'!ar177-'[2]$ лето'!aq177-'[2]$ лето'!ap177-'[2]$ лето'!an177-'[2]$ лето'!am177-'[2]$ лето'!al177-'[2]$ лето'!ak177-'[2]$ лето'!aj177-'[2]$ лето'!ah177-'[2]$ лето'!ag177-'[2]$ лето'!af177-'[2]$ лето'!ae177-'[2]$ лето'!ad177-'[2]$ лето'!ab177-'[2]$ лето'!aa177-'[2]$ лето'!z177-'[2]$ лето'!y177-'[2]$ лето'!x177-'[2]$ лето'!v177-'[2]$ лето'!u177-'[2]$ лето'!t177-'[2]$ лето'!s177-'[2]$ лето'!r177-'[2]$ лето'!p177-'[2]$ лето'!o177-'[2]$ лето'!n177-'[2]$ лето'!m177-'[2]$ лето'!l177+'[2]$ лето'!k177+'[2]$ лето'!q177+'[2]$ лето'!w177+'[2]$ лето'!ac177+'[2]$ лето'!ai177+'[2]$ лето'!ao177</f>
        <v>12</v>
      </c>
      <c r="I177" s="109" t="n">
        <f aca="false">'[2]$ лето'!ay177*1.1</f>
        <v>847</v>
      </c>
    </row>
    <row r="178" customFormat="false" ht="15" hidden="false" customHeight="false" outlineLevel="0" collapsed="false">
      <c r="A178" s="115" t="s">
        <v>114</v>
      </c>
      <c r="B178" s="115" t="s">
        <v>621</v>
      </c>
      <c r="C178" s="116" t="s">
        <v>766</v>
      </c>
      <c r="D178" s="116"/>
      <c r="E178" s="116" t="n">
        <v>86</v>
      </c>
      <c r="F178" s="116" t="s">
        <v>634</v>
      </c>
      <c r="G178" s="108" t="s">
        <v>520</v>
      </c>
      <c r="H178" s="105" t="n">
        <f aca="false">'[2]$ лето'!j178-'[2]$ лето'!au178-'[2]$ лето'!at178-'[2]$ лето'!as178-'[2]$ лето'!ar178-'[2]$ лето'!aq178-'[2]$ лето'!ap178-'[2]$ лето'!an178-'[2]$ лето'!am178-'[2]$ лето'!al178-'[2]$ лето'!ak178-'[2]$ лето'!aj178-'[2]$ лето'!ah178-'[2]$ лето'!ag178-'[2]$ лето'!af178-'[2]$ лето'!ae178-'[2]$ лето'!ad178-'[2]$ лето'!ab178-'[2]$ лето'!aa178-'[2]$ лето'!z178-'[2]$ лето'!y178-'[2]$ лето'!x178-'[2]$ лето'!v178-'[2]$ лето'!u178-'[2]$ лето'!t178-'[2]$ лето'!s178-'[2]$ лето'!r178-'[2]$ лето'!p178-'[2]$ лето'!o178-'[2]$ лето'!n178-'[2]$ лето'!m178-'[2]$ лето'!l178+'[2]$ лето'!k178+'[2]$ лето'!q178+'[2]$ лето'!w178+'[2]$ лето'!ac178+'[2]$ лето'!ai178+'[2]$ лето'!ao178</f>
        <v>36</v>
      </c>
      <c r="I178" s="109" t="n">
        <f aca="false">'[2]$ лето'!ay178*1.1</f>
        <v>862.4</v>
      </c>
    </row>
    <row r="179" customFormat="false" ht="15" hidden="true" customHeight="false" outlineLevel="0" collapsed="false">
      <c r="A179" s="115" t="s">
        <v>114</v>
      </c>
      <c r="B179" s="115" t="s">
        <v>623</v>
      </c>
      <c r="C179" s="116" t="s">
        <v>624</v>
      </c>
      <c r="D179" s="116"/>
      <c r="E179" s="116"/>
      <c r="F179" s="116"/>
      <c r="G179" s="108"/>
      <c r="H179" s="105" t="n">
        <f aca="false">'[2]$ лето'!j179-'[2]$ лето'!au179-'[2]$ лето'!at179-'[2]$ лето'!as179-'[2]$ лето'!ar179-'[2]$ лето'!aq179-'[2]$ лето'!ap179-'[2]$ лето'!an179-'[2]$ лето'!am179-'[2]$ лето'!al179-'[2]$ лето'!ak179-'[2]$ лето'!aj179-'[2]$ лето'!ah179-'[2]$ лето'!ag179-'[2]$ лето'!af179-'[2]$ лето'!ae179-'[2]$ лето'!ad179-'[2]$ лето'!ab179-'[2]$ лето'!aa179-'[2]$ лето'!z179-'[2]$ лето'!y179-'[2]$ лето'!x179-'[2]$ лето'!v179-'[2]$ лето'!u179-'[2]$ лето'!t179-'[2]$ лето'!s179-'[2]$ лето'!r179-'[2]$ лето'!p179-'[2]$ лето'!o179-'[2]$ лето'!n179-'[2]$ лето'!m179-'[2]$ лето'!l179+'[2]$ лето'!k179+'[2]$ лето'!q179+'[2]$ лето'!w179+'[2]$ лето'!ac179+'[2]$ лето'!ai179+'[2]$ лето'!ao179</f>
        <v>0</v>
      </c>
      <c r="I179" s="109" t="n">
        <f aca="false">'[2]$ лето'!ay179*1.1</f>
        <v>924</v>
      </c>
    </row>
    <row r="180" customFormat="false" ht="15" hidden="true" customHeight="false" outlineLevel="0" collapsed="false">
      <c r="A180" s="115" t="s">
        <v>114</v>
      </c>
      <c r="B180" s="115" t="s">
        <v>589</v>
      </c>
      <c r="C180" s="125" t="s">
        <v>767</v>
      </c>
      <c r="D180" s="125"/>
      <c r="E180" s="125"/>
      <c r="F180" s="125"/>
      <c r="G180" s="108"/>
      <c r="H180" s="105" t="n">
        <f aca="false">'[2]$ лето'!j180-'[2]$ лето'!au180-'[2]$ лето'!at180-'[2]$ лето'!as180-'[2]$ лето'!ar180-'[2]$ лето'!aq180-'[2]$ лето'!ap180-'[2]$ лето'!an180-'[2]$ лето'!am180-'[2]$ лето'!al180-'[2]$ лето'!ak180-'[2]$ лето'!aj180-'[2]$ лето'!ah180-'[2]$ лето'!ag180-'[2]$ лето'!af180-'[2]$ лето'!ae180-'[2]$ лето'!ad180-'[2]$ лето'!ab180-'[2]$ лето'!aa180-'[2]$ лето'!z180-'[2]$ лето'!y180-'[2]$ лето'!x180-'[2]$ лето'!v180-'[2]$ лето'!u180-'[2]$ лето'!t180-'[2]$ лето'!s180-'[2]$ лето'!r180-'[2]$ лето'!p180-'[2]$ лето'!o180-'[2]$ лето'!n180-'[2]$ лето'!m180-'[2]$ лето'!l180+'[2]$ лето'!k180+'[2]$ лето'!q180+'[2]$ лето'!w180+'[2]$ лето'!ac180+'[2]$ лето'!ai180+'[2]$ лето'!ao180</f>
        <v>0</v>
      </c>
      <c r="I180" s="109" t="n">
        <f aca="false">'[2]$ лето'!ay180*1.1</f>
        <v>1324.4</v>
      </c>
      <c r="J180" s="113" t="n">
        <v>2017</v>
      </c>
    </row>
    <row r="181" customFormat="false" ht="15" hidden="false" customHeight="false" outlineLevel="0" collapsed="false">
      <c r="A181" s="115" t="s">
        <v>114</v>
      </c>
      <c r="B181" s="115" t="s">
        <v>589</v>
      </c>
      <c r="C181" s="125" t="s">
        <v>768</v>
      </c>
      <c r="D181" s="125"/>
      <c r="E181" s="116" t="n">
        <v>86</v>
      </c>
      <c r="F181" s="116" t="s">
        <v>634</v>
      </c>
      <c r="G181" s="108" t="s">
        <v>626</v>
      </c>
      <c r="H181" s="105" t="n">
        <f aca="false">'[2]$ лето'!j181-'[2]$ лето'!au181-'[2]$ лето'!at181-'[2]$ лето'!as181-'[2]$ лето'!ar181-'[2]$ лето'!aq181-'[2]$ лето'!ap181-'[2]$ лето'!an181-'[2]$ лето'!am181-'[2]$ лето'!al181-'[2]$ лето'!ak181-'[2]$ лето'!aj181-'[2]$ лето'!ah181-'[2]$ лето'!ag181-'[2]$ лето'!af181-'[2]$ лето'!ae181-'[2]$ лето'!ad181-'[2]$ лето'!ab181-'[2]$ лето'!aa181-'[2]$ лето'!z181-'[2]$ лето'!y181-'[2]$ лето'!x181-'[2]$ лето'!v181-'[2]$ лето'!u181-'[2]$ лето'!t181-'[2]$ лето'!s181-'[2]$ лето'!r181-'[2]$ лето'!p181-'[2]$ лето'!o181-'[2]$ лето'!n181-'[2]$ лето'!m181-'[2]$ лето'!l181+'[2]$ лето'!k181+'[2]$ лето'!q181+'[2]$ лето'!w181+'[2]$ лето'!ac181+'[2]$ лето'!ai181+'[2]$ лето'!ao181</f>
        <v>8</v>
      </c>
      <c r="I181" s="109" t="n">
        <f aca="false">'[2]$ лето'!ay181*1.1</f>
        <v>1437.04</v>
      </c>
      <c r="J181" s="113" t="n">
        <v>2017</v>
      </c>
    </row>
    <row r="182" customFormat="false" ht="15" hidden="true" customHeight="false" outlineLevel="0" collapsed="false">
      <c r="A182" s="115" t="s">
        <v>114</v>
      </c>
      <c r="B182" s="115" t="s">
        <v>683</v>
      </c>
      <c r="C182" s="125" t="s">
        <v>769</v>
      </c>
      <c r="D182" s="125"/>
      <c r="E182" s="125"/>
      <c r="F182" s="125"/>
      <c r="G182" s="108"/>
      <c r="H182" s="105" t="n">
        <f aca="false">'[2]$ лето'!j182-'[2]$ лето'!au182-'[2]$ лето'!at182-'[2]$ лето'!as182-'[2]$ лето'!ar182-'[2]$ лето'!aq182-'[2]$ лето'!ap182-'[2]$ лето'!an182-'[2]$ лето'!am182-'[2]$ лето'!al182-'[2]$ лето'!ak182-'[2]$ лето'!aj182-'[2]$ лето'!ah182-'[2]$ лето'!ag182-'[2]$ лето'!af182-'[2]$ лето'!ae182-'[2]$ лето'!ad182-'[2]$ лето'!ab182-'[2]$ лето'!aa182-'[2]$ лето'!z182-'[2]$ лето'!y182-'[2]$ лето'!x182-'[2]$ лето'!v182-'[2]$ лето'!u182-'[2]$ лето'!t182-'[2]$ лето'!s182-'[2]$ лето'!r182-'[2]$ лето'!p182-'[2]$ лето'!o182-'[2]$ лето'!n182-'[2]$ лето'!m182-'[2]$ лето'!l182+'[2]$ лето'!k182+'[2]$ лето'!q182+'[2]$ лето'!w182+'[2]$ лето'!ac182+'[2]$ лето'!ai182+'[2]$ лето'!ao182</f>
        <v>0</v>
      </c>
      <c r="I182" s="109" t="n">
        <f aca="false">'[2]$ лето'!ay182*1.1</f>
        <v>1047.2</v>
      </c>
      <c r="J182" s="113" t="n">
        <v>2017</v>
      </c>
    </row>
    <row r="183" customFormat="false" ht="15" hidden="true" customHeight="false" outlineLevel="0" collapsed="false">
      <c r="A183" s="115" t="s">
        <v>114</v>
      </c>
      <c r="B183" s="115" t="s">
        <v>770</v>
      </c>
      <c r="C183" s="107" t="s">
        <v>771</v>
      </c>
      <c r="D183" s="107"/>
      <c r="E183" s="107"/>
      <c r="F183" s="107"/>
      <c r="G183" s="108"/>
      <c r="H183" s="105" t="n">
        <f aca="false">'[2]$ лето'!j183-'[2]$ лето'!au183-'[2]$ лето'!at183-'[2]$ лето'!as183-'[2]$ лето'!ar183-'[2]$ лето'!aq183-'[2]$ лето'!ap183-'[2]$ лето'!an183-'[2]$ лето'!am183-'[2]$ лето'!al183-'[2]$ лето'!ak183-'[2]$ лето'!aj183-'[2]$ лето'!ah183-'[2]$ лето'!ag183-'[2]$ лето'!af183-'[2]$ лето'!ae183-'[2]$ лето'!ad183-'[2]$ лето'!ab183-'[2]$ лето'!aa183-'[2]$ лето'!z183-'[2]$ лето'!y183-'[2]$ лето'!x183-'[2]$ лето'!v183-'[2]$ лето'!u183-'[2]$ лето'!t183-'[2]$ лето'!s183-'[2]$ лето'!r183-'[2]$ лето'!p183-'[2]$ лето'!o183-'[2]$ лето'!n183-'[2]$ лето'!m183-'[2]$ лето'!l183+'[2]$ лето'!k183+'[2]$ лето'!q183+'[2]$ лето'!w183+'[2]$ лето'!ac183+'[2]$ лето'!ai183+'[2]$ лето'!ao183</f>
        <v>0</v>
      </c>
      <c r="I183" s="109" t="n">
        <f aca="false">'[2]$ лето'!ay183*1.1</f>
        <v>1293.6</v>
      </c>
    </row>
    <row r="184" customFormat="false" ht="15" hidden="false" customHeight="false" outlineLevel="0" collapsed="false">
      <c r="A184" s="115" t="s">
        <v>129</v>
      </c>
      <c r="B184" s="115" t="s">
        <v>568</v>
      </c>
      <c r="C184" s="119" t="s">
        <v>772</v>
      </c>
      <c r="D184" s="119"/>
      <c r="E184" s="119" t="n">
        <v>88</v>
      </c>
      <c r="F184" s="119" t="s">
        <v>562</v>
      </c>
      <c r="G184" s="108"/>
      <c r="H184" s="105" t="n">
        <f aca="false">'[2]$ лето'!j184-'[2]$ лето'!au184-'[2]$ лето'!at184-'[2]$ лето'!as184-'[2]$ лето'!ar184-'[2]$ лето'!aq184-'[2]$ лето'!ap184-'[2]$ лето'!an184-'[2]$ лето'!am184-'[2]$ лето'!al184-'[2]$ лето'!ak184-'[2]$ лето'!aj184-'[2]$ лето'!ah184-'[2]$ лето'!ag184-'[2]$ лето'!af184-'[2]$ лето'!ae184-'[2]$ лето'!ad184-'[2]$ лето'!ab184-'[2]$ лето'!aa184-'[2]$ лето'!z184-'[2]$ лето'!y184-'[2]$ лето'!x184-'[2]$ лето'!v184-'[2]$ лето'!u184-'[2]$ лето'!t184-'[2]$ лето'!s184-'[2]$ лето'!r184-'[2]$ лето'!p184-'[2]$ лето'!o184-'[2]$ лето'!n184-'[2]$ лето'!m184-'[2]$ лето'!l184+'[2]$ лето'!k184+'[2]$ лето'!q184+'[2]$ лето'!w184+'[2]$ лето'!ac184+'[2]$ лето'!ai184+'[2]$ лето'!ao184</f>
        <v>8</v>
      </c>
      <c r="I184" s="109" t="n">
        <f aca="false">'[2]$ лето'!ay184*1.1</f>
        <v>1293.6</v>
      </c>
    </row>
    <row r="185" customFormat="false" ht="15" hidden="true" customHeight="false" outlineLevel="0" collapsed="false">
      <c r="A185" s="115" t="s">
        <v>129</v>
      </c>
      <c r="B185" s="115" t="s">
        <v>601</v>
      </c>
      <c r="C185" s="116" t="s">
        <v>773</v>
      </c>
      <c r="D185" s="116"/>
      <c r="E185" s="116"/>
      <c r="F185" s="116"/>
      <c r="G185" s="108"/>
      <c r="H185" s="105" t="n">
        <f aca="false">'[2]$ лето'!j185-'[2]$ лето'!au185-'[2]$ лето'!at185-'[2]$ лето'!as185-'[2]$ лето'!ar185-'[2]$ лето'!aq185-'[2]$ лето'!ap185-'[2]$ лето'!an185-'[2]$ лето'!am185-'[2]$ лето'!al185-'[2]$ лето'!ak185-'[2]$ лето'!aj185-'[2]$ лето'!ah185-'[2]$ лето'!ag185-'[2]$ лето'!af185-'[2]$ лето'!ae185-'[2]$ лето'!ad185-'[2]$ лето'!ab185-'[2]$ лето'!aa185-'[2]$ лето'!z185-'[2]$ лето'!y185-'[2]$ лето'!x185-'[2]$ лето'!v185-'[2]$ лето'!u185-'[2]$ лето'!t185-'[2]$ лето'!s185-'[2]$ лето'!r185-'[2]$ лето'!p185-'[2]$ лето'!o185-'[2]$ лето'!n185-'[2]$ лето'!m185-'[2]$ лето'!l185+'[2]$ лето'!k185+'[2]$ лето'!q185+'[2]$ лето'!w185+'[2]$ лето'!ac185+'[2]$ лето'!ai185+'[2]$ лето'!ao185</f>
        <v>0</v>
      </c>
      <c r="I185" s="109" t="n">
        <f aca="false">'[2]$ лето'!ay185*1.1</f>
        <v>1078</v>
      </c>
    </row>
    <row r="186" customFormat="false" ht="15" hidden="true" customHeight="false" outlineLevel="0" collapsed="false">
      <c r="A186" s="115" t="s">
        <v>129</v>
      </c>
      <c r="B186" s="115" t="s">
        <v>555</v>
      </c>
      <c r="C186" s="119" t="s">
        <v>571</v>
      </c>
      <c r="D186" s="119"/>
      <c r="E186" s="119"/>
      <c r="F186" s="119"/>
      <c r="G186" s="108"/>
      <c r="H186" s="105" t="n">
        <f aca="false">'[2]$ лето'!j186-'[2]$ лето'!au186-'[2]$ лето'!at186-'[2]$ лето'!as186-'[2]$ лето'!ar186-'[2]$ лето'!aq186-'[2]$ лето'!ap186-'[2]$ лето'!an186-'[2]$ лето'!am186-'[2]$ лето'!al186-'[2]$ лето'!ak186-'[2]$ лето'!aj186-'[2]$ лето'!ah186-'[2]$ лето'!ag186-'[2]$ лето'!af186-'[2]$ лето'!ae186-'[2]$ лето'!ad186-'[2]$ лето'!ab186-'[2]$ лето'!aa186-'[2]$ лето'!z186-'[2]$ лето'!y186-'[2]$ лето'!x186-'[2]$ лето'!v186-'[2]$ лето'!u186-'[2]$ лето'!t186-'[2]$ лето'!s186-'[2]$ лето'!r186-'[2]$ лето'!p186-'[2]$ лето'!o186-'[2]$ лето'!n186-'[2]$ лето'!m186-'[2]$ лето'!l186+'[2]$ лето'!k186+'[2]$ лето'!q186+'[2]$ лето'!w186+'[2]$ лето'!ac186+'[2]$ лето'!ai186+'[2]$ лето'!ao186</f>
        <v>0</v>
      </c>
      <c r="I186" s="109" t="n">
        <f aca="false">'[2]$ лето'!ay186*1.1</f>
        <v>1170.4</v>
      </c>
    </row>
    <row r="187" customFormat="false" ht="15" hidden="true" customHeight="false" outlineLevel="0" collapsed="false">
      <c r="A187" s="115" t="s">
        <v>129</v>
      </c>
      <c r="B187" s="115" t="s">
        <v>555</v>
      </c>
      <c r="C187" s="116" t="s">
        <v>774</v>
      </c>
      <c r="D187" s="116"/>
      <c r="E187" s="116"/>
      <c r="F187" s="116"/>
      <c r="G187" s="108"/>
      <c r="H187" s="105" t="n">
        <f aca="false">'[2]$ лето'!j187-'[2]$ лето'!au187-'[2]$ лето'!at187-'[2]$ лето'!as187-'[2]$ лето'!ar187-'[2]$ лето'!aq187-'[2]$ лето'!ap187-'[2]$ лето'!an187-'[2]$ лето'!am187-'[2]$ лето'!al187-'[2]$ лето'!ak187-'[2]$ лето'!aj187-'[2]$ лето'!ah187-'[2]$ лето'!ag187-'[2]$ лето'!af187-'[2]$ лето'!ae187-'[2]$ лето'!ad187-'[2]$ лето'!ab187-'[2]$ лето'!aa187-'[2]$ лето'!z187-'[2]$ лето'!y187-'[2]$ лето'!x187-'[2]$ лето'!v187-'[2]$ лето'!u187-'[2]$ лето'!t187-'[2]$ лето'!s187-'[2]$ лето'!r187-'[2]$ лето'!p187-'[2]$ лето'!o187-'[2]$ лето'!n187-'[2]$ лето'!m187-'[2]$ лето'!l187+'[2]$ лето'!k187+'[2]$ лето'!q187+'[2]$ лето'!w187+'[2]$ лето'!ac187+'[2]$ лето'!ai187+'[2]$ лето'!ao187</f>
        <v>0</v>
      </c>
      <c r="I187" s="109" t="n">
        <f aca="false">'[2]$ лето'!ay187*1.1</f>
        <v>1324.4</v>
      </c>
    </row>
    <row r="188" customFormat="false" ht="15" hidden="true" customHeight="false" outlineLevel="0" collapsed="false">
      <c r="A188" s="115" t="s">
        <v>129</v>
      </c>
      <c r="B188" s="115" t="s">
        <v>606</v>
      </c>
      <c r="C188" s="116" t="s">
        <v>775</v>
      </c>
      <c r="D188" s="116"/>
      <c r="E188" s="116"/>
      <c r="F188" s="116"/>
      <c r="G188" s="108"/>
      <c r="H188" s="105" t="n">
        <f aca="false">'[2]$ лето'!j188-'[2]$ лето'!au188-'[2]$ лето'!at188-'[2]$ лето'!as188-'[2]$ лето'!ar188-'[2]$ лето'!aq188-'[2]$ лето'!ap188-'[2]$ лето'!an188-'[2]$ лето'!am188-'[2]$ лето'!al188-'[2]$ лето'!ak188-'[2]$ лето'!aj188-'[2]$ лето'!ah188-'[2]$ лето'!ag188-'[2]$ лето'!af188-'[2]$ лето'!ae188-'[2]$ лето'!ad188-'[2]$ лето'!ab188-'[2]$ лето'!aa188-'[2]$ лето'!z188-'[2]$ лето'!y188-'[2]$ лето'!x188-'[2]$ лето'!v188-'[2]$ лето'!u188-'[2]$ лето'!t188-'[2]$ лето'!s188-'[2]$ лето'!r188-'[2]$ лето'!p188-'[2]$ лето'!o188-'[2]$ лето'!n188-'[2]$ лето'!m188-'[2]$ лето'!l188+'[2]$ лето'!k188+'[2]$ лето'!q188+'[2]$ лето'!w188+'[2]$ лето'!ac188+'[2]$ лето'!ai188+'[2]$ лето'!ao188</f>
        <v>0</v>
      </c>
      <c r="I188" s="109" t="n">
        <f aca="false">'[2]$ лето'!ay188*1.1</f>
        <v>1078</v>
      </c>
    </row>
    <row r="189" customFormat="false" ht="15" hidden="true" customHeight="false" outlineLevel="0" collapsed="false">
      <c r="A189" s="115" t="s">
        <v>129</v>
      </c>
      <c r="B189" s="115" t="s">
        <v>606</v>
      </c>
      <c r="C189" s="116" t="s">
        <v>776</v>
      </c>
      <c r="D189" s="116"/>
      <c r="E189" s="116"/>
      <c r="F189" s="116"/>
      <c r="G189" s="108"/>
      <c r="H189" s="105" t="n">
        <f aca="false">'[2]$ лето'!j189-'[2]$ лето'!au189-'[2]$ лето'!at189-'[2]$ лето'!as189-'[2]$ лето'!ar189-'[2]$ лето'!aq189-'[2]$ лето'!ap189-'[2]$ лето'!an189-'[2]$ лето'!am189-'[2]$ лето'!al189-'[2]$ лето'!ak189-'[2]$ лето'!aj189-'[2]$ лето'!ah189-'[2]$ лето'!ag189-'[2]$ лето'!af189-'[2]$ лето'!ae189-'[2]$ лето'!ad189-'[2]$ лето'!ab189-'[2]$ лето'!aa189-'[2]$ лето'!z189-'[2]$ лето'!y189-'[2]$ лето'!x189-'[2]$ лето'!v189-'[2]$ лето'!u189-'[2]$ лето'!t189-'[2]$ лето'!s189-'[2]$ лето'!r189-'[2]$ лето'!p189-'[2]$ лето'!o189-'[2]$ лето'!n189-'[2]$ лето'!m189-'[2]$ лето'!l189+'[2]$ лето'!k189+'[2]$ лето'!q189+'[2]$ лето'!w189+'[2]$ лето'!ac189+'[2]$ лето'!ai189+'[2]$ лето'!ao189</f>
        <v>0</v>
      </c>
      <c r="I189" s="109" t="n">
        <f aca="false">'[2]$ лето'!ay189*1.1</f>
        <v>1139.6</v>
      </c>
    </row>
    <row r="190" customFormat="false" ht="15" hidden="false" customHeight="false" outlineLevel="0" collapsed="false">
      <c r="A190" s="115" t="s">
        <v>129</v>
      </c>
      <c r="B190" s="115" t="s">
        <v>777</v>
      </c>
      <c r="C190" s="116" t="s">
        <v>778</v>
      </c>
      <c r="D190" s="116"/>
      <c r="E190" s="116"/>
      <c r="F190" s="116"/>
      <c r="G190" s="108"/>
      <c r="H190" s="105" t="n">
        <f aca="false">'[2]$ лето'!j190-'[2]$ лето'!au190-'[2]$ лето'!at190-'[2]$ лето'!as190-'[2]$ лето'!ar190-'[2]$ лето'!aq190-'[2]$ лето'!ap190-'[2]$ лето'!an190-'[2]$ лето'!am190-'[2]$ лето'!al190-'[2]$ лето'!ak190-'[2]$ лето'!aj190-'[2]$ лето'!ah190-'[2]$ лето'!ag190-'[2]$ лето'!af190-'[2]$ лето'!ae190-'[2]$ лето'!ad190-'[2]$ лето'!ab190-'[2]$ лето'!aa190-'[2]$ лето'!z190-'[2]$ лето'!y190-'[2]$ лето'!x190-'[2]$ лето'!v190-'[2]$ лето'!u190-'[2]$ лето'!t190-'[2]$ лето'!s190-'[2]$ лето'!r190-'[2]$ лето'!p190-'[2]$ лето'!o190-'[2]$ лето'!n190-'[2]$ лето'!m190-'[2]$ лето'!l190+'[2]$ лето'!k190+'[2]$ лето'!q190+'[2]$ лето'!w190+'[2]$ лето'!ac190+'[2]$ лето'!ai190+'[2]$ лето'!ao190</f>
        <v>1</v>
      </c>
      <c r="I190" s="109" t="n">
        <f aca="false">'[2]$ лето'!ay190*1.1</f>
        <v>616</v>
      </c>
    </row>
    <row r="191" customFormat="false" ht="15" hidden="false" customHeight="false" outlineLevel="0" collapsed="false">
      <c r="A191" s="115" t="s">
        <v>129</v>
      </c>
      <c r="B191" s="115" t="s">
        <v>666</v>
      </c>
      <c r="C191" s="116" t="s">
        <v>779</v>
      </c>
      <c r="D191" s="116"/>
      <c r="E191" s="116"/>
      <c r="F191" s="116"/>
      <c r="G191" s="108"/>
      <c r="H191" s="105" t="n">
        <f aca="false">'[2]$ лето'!j191-'[2]$ лето'!au191-'[2]$ лето'!at191-'[2]$ лето'!as191-'[2]$ лето'!ar191-'[2]$ лето'!aq191-'[2]$ лето'!ap191-'[2]$ лето'!an191-'[2]$ лето'!am191-'[2]$ лето'!al191-'[2]$ лето'!ak191-'[2]$ лето'!aj191-'[2]$ лето'!ah191-'[2]$ лето'!ag191-'[2]$ лето'!af191-'[2]$ лето'!ae191-'[2]$ лето'!ad191-'[2]$ лето'!ab191-'[2]$ лето'!aa191-'[2]$ лето'!z191-'[2]$ лето'!y191-'[2]$ лето'!x191-'[2]$ лето'!v191-'[2]$ лето'!u191-'[2]$ лето'!t191-'[2]$ лето'!s191-'[2]$ лето'!r191-'[2]$ лето'!p191-'[2]$ лето'!o191-'[2]$ лето'!n191-'[2]$ лето'!m191-'[2]$ лето'!l191+'[2]$ лето'!k191+'[2]$ лето'!q191+'[2]$ лето'!w191+'[2]$ лето'!ac191+'[2]$ лето'!ai191+'[2]$ лето'!ao191</f>
        <v>2</v>
      </c>
      <c r="I191" s="109" t="n">
        <f aca="false">'[2]$ лето'!ay191*1.1</f>
        <v>1232</v>
      </c>
    </row>
    <row r="192" customFormat="false" ht="15" hidden="false" customHeight="false" outlineLevel="0" collapsed="false">
      <c r="A192" s="115" t="s">
        <v>129</v>
      </c>
      <c r="B192" s="115" t="s">
        <v>574</v>
      </c>
      <c r="C192" s="107" t="s">
        <v>780</v>
      </c>
      <c r="D192" s="107"/>
      <c r="E192" s="116" t="n">
        <v>88</v>
      </c>
      <c r="F192" s="116" t="s">
        <v>562</v>
      </c>
      <c r="G192" s="108" t="s">
        <v>576</v>
      </c>
      <c r="H192" s="105" t="n">
        <f aca="false">'[2]$ лето'!j192-'[2]$ лето'!au192-'[2]$ лето'!at192-'[2]$ лето'!as192-'[2]$ лето'!ar192-'[2]$ лето'!aq192-'[2]$ лето'!ap192-'[2]$ лето'!an192-'[2]$ лето'!am192-'[2]$ лето'!al192-'[2]$ лето'!ak192-'[2]$ лето'!aj192-'[2]$ лето'!ah192-'[2]$ лето'!ag192-'[2]$ лето'!af192-'[2]$ лето'!ae192-'[2]$ лето'!ad192-'[2]$ лето'!ab192-'[2]$ лето'!aa192-'[2]$ лето'!z192-'[2]$ лето'!y192-'[2]$ лето'!x192-'[2]$ лето'!v192-'[2]$ лето'!u192-'[2]$ лето'!t192-'[2]$ лето'!s192-'[2]$ лето'!r192-'[2]$ лето'!p192-'[2]$ лето'!o192-'[2]$ лето'!n192-'[2]$ лето'!m192-'[2]$ лето'!l192+'[2]$ лето'!k192+'[2]$ лето'!q192+'[2]$ лето'!w192+'[2]$ лето'!ac192+'[2]$ лето'!ai192+'[2]$ лето'!ao192</f>
        <v>4</v>
      </c>
      <c r="I192" s="109" t="n">
        <f aca="false">'[2]$ лето'!ay192*1.1</f>
        <v>1218.36</v>
      </c>
      <c r="J192" s="85" t="n">
        <v>2018</v>
      </c>
    </row>
    <row r="193" customFormat="false" ht="15" hidden="false" customHeight="false" outlineLevel="0" collapsed="false">
      <c r="A193" s="115" t="s">
        <v>129</v>
      </c>
      <c r="B193" s="115" t="s">
        <v>577</v>
      </c>
      <c r="C193" s="107" t="s">
        <v>781</v>
      </c>
      <c r="D193" s="107"/>
      <c r="E193" s="116" t="n">
        <v>88</v>
      </c>
      <c r="F193" s="116" t="s">
        <v>562</v>
      </c>
      <c r="G193" s="108" t="s">
        <v>563</v>
      </c>
      <c r="H193" s="105" t="n">
        <f aca="false">'[2]$ лето'!j193-'[2]$ лето'!au193-'[2]$ лето'!at193-'[2]$ лето'!as193-'[2]$ лето'!ar193-'[2]$ лето'!aq193-'[2]$ лето'!ap193-'[2]$ лето'!an193-'[2]$ лето'!am193-'[2]$ лето'!al193-'[2]$ лето'!ak193-'[2]$ лето'!aj193-'[2]$ лето'!ah193-'[2]$ лето'!ag193-'[2]$ лето'!af193-'[2]$ лето'!ae193-'[2]$ лето'!ad193-'[2]$ лето'!ab193-'[2]$ лето'!aa193-'[2]$ лето'!z193-'[2]$ лето'!y193-'[2]$ лето'!x193-'[2]$ лето'!v193-'[2]$ лето'!u193-'[2]$ лето'!t193-'[2]$ лето'!s193-'[2]$ лето'!r193-'[2]$ лето'!p193-'[2]$ лето'!o193-'[2]$ лето'!n193-'[2]$ лето'!m193-'[2]$ лето'!l193+'[2]$ лето'!k193+'[2]$ лето'!q193+'[2]$ лето'!w193+'[2]$ лето'!ac193+'[2]$ лето'!ai193+'[2]$ лето'!ao193</f>
        <v>6</v>
      </c>
      <c r="I193" s="109" t="n">
        <f aca="false">'[2]$ лето'!ay193*1.1</f>
        <v>1133</v>
      </c>
      <c r="J193" s="85" t="n">
        <v>2018</v>
      </c>
    </row>
    <row r="194" customFormat="false" ht="15" hidden="false" customHeight="false" outlineLevel="0" collapsed="false">
      <c r="A194" s="123" t="s">
        <v>129</v>
      </c>
      <c r="B194" s="123" t="s">
        <v>583</v>
      </c>
      <c r="C194" s="119" t="s">
        <v>782</v>
      </c>
      <c r="D194" s="119"/>
      <c r="E194" s="119" t="n">
        <v>88</v>
      </c>
      <c r="F194" s="119" t="s">
        <v>562</v>
      </c>
      <c r="G194" s="108"/>
      <c r="H194" s="105" t="n">
        <f aca="false">'[2]$ лето'!j194-'[2]$ лето'!au194-'[2]$ лето'!at194-'[2]$ лето'!as194-'[2]$ лето'!ar194-'[2]$ лето'!aq194-'[2]$ лето'!ap194-'[2]$ лето'!an194-'[2]$ лето'!am194-'[2]$ лето'!al194-'[2]$ лето'!ak194-'[2]$ лето'!aj194-'[2]$ лето'!ah194-'[2]$ лето'!ag194-'[2]$ лето'!af194-'[2]$ лето'!ae194-'[2]$ лето'!ad194-'[2]$ лето'!ab194-'[2]$ лето'!aa194-'[2]$ лето'!z194-'[2]$ лето'!y194-'[2]$ лето'!x194-'[2]$ лето'!v194-'[2]$ лето'!u194-'[2]$ лето'!t194-'[2]$ лето'!s194-'[2]$ лето'!r194-'[2]$ лето'!p194-'[2]$ лето'!o194-'[2]$ лето'!n194-'[2]$ лето'!m194-'[2]$ лето'!l194+'[2]$ лето'!k194+'[2]$ лето'!q194+'[2]$ лето'!w194+'[2]$ лето'!ac194+'[2]$ лето'!ai194+'[2]$ лето'!ao194</f>
        <v>2</v>
      </c>
      <c r="I194" s="109" t="n">
        <f aca="false">'[2]$ лето'!ay194*1.1</f>
        <v>1232</v>
      </c>
    </row>
    <row r="195" customFormat="false" ht="15" hidden="false" customHeight="false" outlineLevel="0" collapsed="false">
      <c r="A195" s="123" t="s">
        <v>129</v>
      </c>
      <c r="B195" s="123" t="s">
        <v>583</v>
      </c>
      <c r="C195" s="119" t="s">
        <v>783</v>
      </c>
      <c r="D195" s="119"/>
      <c r="E195" s="119" t="n">
        <v>88</v>
      </c>
      <c r="F195" s="119" t="s">
        <v>562</v>
      </c>
      <c r="G195" s="108" t="s">
        <v>585</v>
      </c>
      <c r="H195" s="105" t="n">
        <f aca="false">'[2]$ лето'!j195-'[2]$ лето'!au195-'[2]$ лето'!at195-'[2]$ лето'!as195-'[2]$ лето'!ar195-'[2]$ лето'!aq195-'[2]$ лето'!ap195-'[2]$ лето'!an195-'[2]$ лето'!am195-'[2]$ лето'!al195-'[2]$ лето'!ak195-'[2]$ лето'!aj195-'[2]$ лето'!ah195-'[2]$ лето'!ag195-'[2]$ лето'!af195-'[2]$ лето'!ae195-'[2]$ лето'!ad195-'[2]$ лето'!ab195-'[2]$ лето'!aa195-'[2]$ лето'!z195-'[2]$ лето'!y195-'[2]$ лето'!x195-'[2]$ лето'!v195-'[2]$ лето'!u195-'[2]$ лето'!t195-'[2]$ лето'!s195-'[2]$ лето'!r195-'[2]$ лето'!p195-'[2]$ лето'!o195-'[2]$ лето'!n195-'[2]$ лето'!m195-'[2]$ лето'!l195+'[2]$ лето'!k195+'[2]$ лето'!q195+'[2]$ лето'!w195+'[2]$ лето'!ac195+'[2]$ лето'!ai195+'[2]$ лето'!ao195</f>
        <v>1</v>
      </c>
      <c r="I195" s="109" t="n">
        <f aca="false">'[2]$ лето'!ay195*1.1</f>
        <v>1232</v>
      </c>
      <c r="J195" s="85" t="n">
        <v>2018</v>
      </c>
    </row>
    <row r="196" customFormat="false" ht="15" hidden="true" customHeight="false" outlineLevel="0" collapsed="false">
      <c r="A196" s="115" t="s">
        <v>129</v>
      </c>
      <c r="B196" s="115" t="s">
        <v>593</v>
      </c>
      <c r="C196" s="116" t="s">
        <v>784</v>
      </c>
      <c r="D196" s="116"/>
      <c r="E196" s="116"/>
      <c r="F196" s="116"/>
      <c r="G196" s="108"/>
      <c r="H196" s="105" t="n">
        <f aca="false">'[2]$ лето'!j196-'[2]$ лето'!au196-'[2]$ лето'!at196-'[2]$ лето'!as196-'[2]$ лето'!ar196-'[2]$ лето'!aq196-'[2]$ лето'!ap196-'[2]$ лето'!an196-'[2]$ лето'!am196-'[2]$ лето'!al196-'[2]$ лето'!ak196-'[2]$ лето'!aj196-'[2]$ лето'!ah196-'[2]$ лето'!ag196-'[2]$ лето'!af196-'[2]$ лето'!ae196-'[2]$ лето'!ad196-'[2]$ лето'!ab196-'[2]$ лето'!aa196-'[2]$ лето'!z196-'[2]$ лето'!y196-'[2]$ лето'!x196-'[2]$ лето'!v196-'[2]$ лето'!u196-'[2]$ лето'!t196-'[2]$ лето'!s196-'[2]$ лето'!r196-'[2]$ лето'!p196-'[2]$ лето'!o196-'[2]$ лето'!n196-'[2]$ лето'!m196-'[2]$ лето'!l196+'[2]$ лето'!k196+'[2]$ лето'!q196+'[2]$ лето'!w196+'[2]$ лето'!ac196+'[2]$ лето'!ai196+'[2]$ лето'!ao196</f>
        <v>0</v>
      </c>
      <c r="I196" s="109" t="n">
        <f aca="false">'[2]$ лето'!ay196*1.1</f>
        <v>2217.6</v>
      </c>
    </row>
    <row r="197" customFormat="false" ht="15" hidden="true" customHeight="false" outlineLevel="0" collapsed="false">
      <c r="A197" s="115" t="s">
        <v>129</v>
      </c>
      <c r="B197" s="115" t="s">
        <v>593</v>
      </c>
      <c r="C197" s="116" t="s">
        <v>785</v>
      </c>
      <c r="D197" s="116"/>
      <c r="E197" s="116"/>
      <c r="F197" s="116"/>
      <c r="G197" s="108"/>
      <c r="H197" s="105" t="n">
        <f aca="false">'[2]$ лето'!j197-'[2]$ лето'!au197-'[2]$ лето'!at197-'[2]$ лето'!as197-'[2]$ лето'!ar197-'[2]$ лето'!aq197-'[2]$ лето'!ap197-'[2]$ лето'!an197-'[2]$ лето'!am197-'[2]$ лето'!al197-'[2]$ лето'!ak197-'[2]$ лето'!aj197-'[2]$ лето'!ah197-'[2]$ лето'!ag197-'[2]$ лето'!af197-'[2]$ лето'!ae197-'[2]$ лето'!ad197-'[2]$ лето'!ab197-'[2]$ лето'!aa197-'[2]$ лето'!z197-'[2]$ лето'!y197-'[2]$ лето'!x197-'[2]$ лето'!v197-'[2]$ лето'!u197-'[2]$ лето'!t197-'[2]$ лето'!s197-'[2]$ лето'!r197-'[2]$ лето'!p197-'[2]$ лето'!o197-'[2]$ лето'!n197-'[2]$ лето'!m197-'[2]$ лето'!l197+'[2]$ лето'!k197+'[2]$ лето'!q197+'[2]$ лето'!w197+'[2]$ лето'!ac197+'[2]$ лето'!ai197+'[2]$ лето'!ao197</f>
        <v>0</v>
      </c>
      <c r="I197" s="109" t="n">
        <f aca="false">'[2]$ лето'!ay197*1.1</f>
        <v>1139.6</v>
      </c>
    </row>
    <row r="198" customFormat="false" ht="15" hidden="false" customHeight="false" outlineLevel="0" collapsed="false">
      <c r="A198" s="115" t="s">
        <v>129</v>
      </c>
      <c r="B198" s="115" t="s">
        <v>621</v>
      </c>
      <c r="C198" s="116" t="s">
        <v>786</v>
      </c>
      <c r="D198" s="116"/>
      <c r="E198" s="116" t="n">
        <v>88</v>
      </c>
      <c r="F198" s="116" t="s">
        <v>634</v>
      </c>
      <c r="G198" s="108" t="s">
        <v>520</v>
      </c>
      <c r="H198" s="105" t="n">
        <f aca="false">'[2]$ лето'!j198-'[2]$ лето'!au198-'[2]$ лето'!at198-'[2]$ лето'!as198-'[2]$ лето'!ar198-'[2]$ лето'!aq198-'[2]$ лето'!ap198-'[2]$ лето'!an198-'[2]$ лето'!am198-'[2]$ лето'!al198-'[2]$ лето'!ak198-'[2]$ лето'!aj198-'[2]$ лето'!ah198-'[2]$ лето'!ag198-'[2]$ лето'!af198-'[2]$ лето'!ae198-'[2]$ лето'!ad198-'[2]$ лето'!ab198-'[2]$ лето'!aa198-'[2]$ лето'!z198-'[2]$ лето'!y198-'[2]$ лето'!x198-'[2]$ лето'!v198-'[2]$ лето'!u198-'[2]$ лето'!t198-'[2]$ лето'!s198-'[2]$ лето'!r198-'[2]$ лето'!p198-'[2]$ лето'!o198-'[2]$ лето'!n198-'[2]$ лето'!m198-'[2]$ лето'!l198+'[2]$ лето'!k198+'[2]$ лето'!q198+'[2]$ лето'!w198+'[2]$ лето'!ac198+'[2]$ лето'!ai198+'[2]$ лето'!ao198</f>
        <v>2</v>
      </c>
      <c r="I198" s="109" t="n">
        <f aca="false">'[2]$ лето'!ay198*1.1</f>
        <v>985.6</v>
      </c>
    </row>
    <row r="199" customFormat="false" ht="15" hidden="true" customHeight="false" outlineLevel="0" collapsed="false">
      <c r="A199" s="115" t="s">
        <v>129</v>
      </c>
      <c r="B199" s="115" t="s">
        <v>589</v>
      </c>
      <c r="C199" s="116" t="s">
        <v>787</v>
      </c>
      <c r="D199" s="116"/>
      <c r="E199" s="116"/>
      <c r="F199" s="116"/>
      <c r="G199" s="108" t="s">
        <v>626</v>
      </c>
      <c r="H199" s="105" t="n">
        <f aca="false">'[2]$ лето'!j199-'[2]$ лето'!au199-'[2]$ лето'!at199-'[2]$ лето'!as199-'[2]$ лето'!ar199-'[2]$ лето'!aq199-'[2]$ лето'!ap199-'[2]$ лето'!an199-'[2]$ лето'!am199-'[2]$ лето'!al199-'[2]$ лето'!ak199-'[2]$ лето'!aj199-'[2]$ лето'!ah199-'[2]$ лето'!ag199-'[2]$ лето'!af199-'[2]$ лето'!ae199-'[2]$ лето'!ad199-'[2]$ лето'!ab199-'[2]$ лето'!aa199-'[2]$ лето'!z199-'[2]$ лето'!y199-'[2]$ лето'!x199-'[2]$ лето'!v199-'[2]$ лето'!u199-'[2]$ лето'!t199-'[2]$ лето'!s199-'[2]$ лето'!r199-'[2]$ лето'!p199-'[2]$ лето'!o199-'[2]$ лето'!n199-'[2]$ лето'!m199-'[2]$ лето'!l199+'[2]$ лето'!k199+'[2]$ лето'!q199+'[2]$ лето'!w199+'[2]$ лето'!ac199+'[2]$ лето'!ai199+'[2]$ лето'!ao199</f>
        <v>0</v>
      </c>
      <c r="I199" s="109" t="n">
        <f aca="false">'[2]$ лето'!ay199*1.1</f>
        <v>1416.8</v>
      </c>
      <c r="J199" s="85" t="n">
        <v>2018</v>
      </c>
    </row>
    <row r="200" customFormat="false" ht="15" hidden="false" customHeight="false" outlineLevel="0" collapsed="false">
      <c r="A200" s="115" t="s">
        <v>129</v>
      </c>
      <c r="B200" s="115" t="s">
        <v>564</v>
      </c>
      <c r="C200" s="116" t="s">
        <v>788</v>
      </c>
      <c r="D200" s="116"/>
      <c r="E200" s="116" t="n">
        <v>88</v>
      </c>
      <c r="F200" s="116" t="s">
        <v>634</v>
      </c>
      <c r="G200" s="108" t="s">
        <v>520</v>
      </c>
      <c r="H200" s="105" t="n">
        <f aca="false">'[2]$ лето'!j200-'[2]$ лето'!au200-'[2]$ лето'!at200-'[2]$ лето'!as200-'[2]$ лето'!ar200-'[2]$ лето'!aq200-'[2]$ лето'!ap200-'[2]$ лето'!an200-'[2]$ лето'!am200-'[2]$ лето'!al200-'[2]$ лето'!ak200-'[2]$ лето'!aj200-'[2]$ лето'!ah200-'[2]$ лето'!ag200-'[2]$ лето'!af200-'[2]$ лето'!ae200-'[2]$ лето'!ad200-'[2]$ лето'!ab200-'[2]$ лето'!aa200-'[2]$ лето'!z200-'[2]$ лето'!y200-'[2]$ лето'!x200-'[2]$ лето'!v200-'[2]$ лето'!u200-'[2]$ лето'!t200-'[2]$ лето'!s200-'[2]$ лето'!r200-'[2]$ лето'!p200-'[2]$ лето'!o200-'[2]$ лето'!n200-'[2]$ лето'!m200-'[2]$ лето'!l200+'[2]$ лето'!k200+'[2]$ лето'!q200+'[2]$ лето'!w200+'[2]$ лето'!ac200+'[2]$ лето'!ai200+'[2]$ лето'!ao200</f>
        <v>6</v>
      </c>
      <c r="I200" s="109" t="n">
        <f aca="false">'[2]$ лето'!ay200*1.1</f>
        <v>1047.2</v>
      </c>
    </row>
    <row r="201" customFormat="false" ht="15" hidden="true" customHeight="false" outlineLevel="0" collapsed="false">
      <c r="A201" s="115" t="s">
        <v>789</v>
      </c>
      <c r="B201" s="115" t="s">
        <v>568</v>
      </c>
      <c r="C201" s="107" t="s">
        <v>790</v>
      </c>
      <c r="D201" s="107"/>
      <c r="E201" s="107"/>
      <c r="F201" s="107"/>
      <c r="G201" s="108"/>
      <c r="H201" s="105" t="n">
        <f aca="false">'[2]$ лето'!j201-'[2]$ лето'!au201-'[2]$ лето'!at201-'[2]$ лето'!as201-'[2]$ лето'!ar201-'[2]$ лето'!aq201-'[2]$ лето'!ap201-'[2]$ лето'!an201-'[2]$ лето'!am201-'[2]$ лето'!al201-'[2]$ лето'!ak201-'[2]$ лето'!aj201-'[2]$ лето'!ah201-'[2]$ лето'!ag201-'[2]$ лето'!af201-'[2]$ лето'!ae201-'[2]$ лето'!ad201-'[2]$ лето'!ab201-'[2]$ лето'!aa201-'[2]$ лето'!z201-'[2]$ лето'!y201-'[2]$ лето'!x201-'[2]$ лето'!v201-'[2]$ лето'!u201-'[2]$ лето'!t201-'[2]$ лето'!s201-'[2]$ лето'!r201-'[2]$ лето'!p201-'[2]$ лето'!o201-'[2]$ лето'!n201-'[2]$ лето'!m201-'[2]$ лето'!l201+'[2]$ лето'!k201+'[2]$ лето'!q201+'[2]$ лето'!w201+'[2]$ лето'!ac201+'[2]$ лето'!ai201+'[2]$ лето'!ao201</f>
        <v>0</v>
      </c>
      <c r="I201" s="109" t="n">
        <f aca="false">'[2]$ лето'!ay201*1.1</f>
        <v>0</v>
      </c>
    </row>
    <row r="202" customFormat="false" ht="15" hidden="true" customHeight="false" outlineLevel="0" collapsed="false">
      <c r="A202" s="115" t="s">
        <v>791</v>
      </c>
      <c r="B202" s="115" t="s">
        <v>568</v>
      </c>
      <c r="C202" s="116" t="s">
        <v>644</v>
      </c>
      <c r="D202" s="116"/>
      <c r="E202" s="116"/>
      <c r="F202" s="116"/>
      <c r="G202" s="108"/>
      <c r="H202" s="105" t="n">
        <f aca="false">'[2]$ лето'!j202-'[2]$ лето'!au202-'[2]$ лето'!at202-'[2]$ лето'!as202-'[2]$ лето'!ar202-'[2]$ лето'!aq202-'[2]$ лето'!ap202-'[2]$ лето'!an202-'[2]$ лето'!am202-'[2]$ лето'!al202-'[2]$ лето'!ak202-'[2]$ лето'!aj202-'[2]$ лето'!ah202-'[2]$ лето'!ag202-'[2]$ лето'!af202-'[2]$ лето'!ae202-'[2]$ лето'!ad202-'[2]$ лето'!ab202-'[2]$ лето'!aa202-'[2]$ лето'!z202-'[2]$ лето'!y202-'[2]$ лето'!x202-'[2]$ лето'!v202-'[2]$ лето'!u202-'[2]$ лето'!t202-'[2]$ лето'!s202-'[2]$ лето'!r202-'[2]$ лето'!p202-'[2]$ лето'!o202-'[2]$ лето'!n202-'[2]$ лето'!m202-'[2]$ лето'!l202+'[2]$ лето'!k202+'[2]$ лето'!q202+'[2]$ лето'!w202+'[2]$ лето'!ac202+'[2]$ лето'!ai202+'[2]$ лето'!ao202</f>
        <v>0</v>
      </c>
      <c r="I202" s="109" t="n">
        <f aca="false">'[2]$ лето'!ay202*1.1</f>
        <v>0</v>
      </c>
    </row>
    <row r="203" customFormat="false" ht="15" hidden="true" customHeight="false" outlineLevel="0" collapsed="false">
      <c r="A203" s="115" t="s">
        <v>791</v>
      </c>
      <c r="B203" s="115" t="s">
        <v>583</v>
      </c>
      <c r="C203" s="107" t="s">
        <v>673</v>
      </c>
      <c r="D203" s="107"/>
      <c r="E203" s="107"/>
      <c r="F203" s="107"/>
      <c r="G203" s="108"/>
      <c r="H203" s="105" t="n">
        <f aca="false">'[2]$ лето'!j203-'[2]$ лето'!au203-'[2]$ лето'!at203-'[2]$ лето'!as203-'[2]$ лето'!ar203-'[2]$ лето'!aq203-'[2]$ лето'!ap203-'[2]$ лето'!an203-'[2]$ лето'!am203-'[2]$ лето'!al203-'[2]$ лето'!ak203-'[2]$ лето'!aj203-'[2]$ лето'!ah203-'[2]$ лето'!ag203-'[2]$ лето'!af203-'[2]$ лето'!ae203-'[2]$ лето'!ad203-'[2]$ лето'!ab203-'[2]$ лето'!aa203-'[2]$ лето'!z203-'[2]$ лето'!y203-'[2]$ лето'!x203-'[2]$ лето'!v203-'[2]$ лето'!u203-'[2]$ лето'!t203-'[2]$ лето'!s203-'[2]$ лето'!r203-'[2]$ лето'!p203-'[2]$ лето'!o203-'[2]$ лето'!n203-'[2]$ лето'!m203-'[2]$ лето'!l203+'[2]$ лето'!k203+'[2]$ лето'!q203+'[2]$ лето'!w203+'[2]$ лето'!ac203+'[2]$ лето'!ai203+'[2]$ лето'!ao203</f>
        <v>0</v>
      </c>
      <c r="I203" s="109" t="n">
        <f aca="false">'[2]$ лето'!ay203*1.1</f>
        <v>0</v>
      </c>
    </row>
    <row r="204" customFormat="false" ht="15" hidden="true" customHeight="false" outlineLevel="0" collapsed="false">
      <c r="A204" s="115" t="s">
        <v>138</v>
      </c>
      <c r="B204" s="115" t="s">
        <v>792</v>
      </c>
      <c r="C204" s="107" t="s">
        <v>793</v>
      </c>
      <c r="D204" s="107"/>
      <c r="E204" s="116" t="n">
        <v>95</v>
      </c>
      <c r="F204" s="116" t="s">
        <v>634</v>
      </c>
      <c r="G204" s="108"/>
      <c r="H204" s="105" t="n">
        <f aca="false">'[2]$ лето'!j204-'[2]$ лето'!au204-'[2]$ лето'!at204-'[2]$ лето'!as204-'[2]$ лето'!ar204-'[2]$ лето'!aq204-'[2]$ лето'!ap204-'[2]$ лето'!an204-'[2]$ лето'!am204-'[2]$ лето'!al204-'[2]$ лето'!ak204-'[2]$ лето'!aj204-'[2]$ лето'!ah204-'[2]$ лето'!ag204-'[2]$ лето'!af204-'[2]$ лето'!ae204-'[2]$ лето'!ad204-'[2]$ лето'!ab204-'[2]$ лето'!aa204-'[2]$ лето'!z204-'[2]$ лето'!y204-'[2]$ лето'!x204-'[2]$ лето'!v204-'[2]$ лето'!u204-'[2]$ лето'!t204-'[2]$ лето'!s204-'[2]$ лето'!r204-'[2]$ лето'!p204-'[2]$ лето'!o204-'[2]$ лето'!n204-'[2]$ лето'!m204-'[2]$ лето'!l204+'[2]$ лето'!k204+'[2]$ лето'!q204+'[2]$ лето'!w204+'[2]$ лето'!ac204+'[2]$ лето'!ai204+'[2]$ лето'!ao204</f>
        <v>0</v>
      </c>
      <c r="I204" s="109" t="n">
        <f aca="false">'[2]$ лето'!ay204*1.1</f>
        <v>1108.8</v>
      </c>
    </row>
    <row r="205" customFormat="false" ht="15" hidden="true" customHeight="false" outlineLevel="0" collapsed="false">
      <c r="A205" s="115" t="s">
        <v>138</v>
      </c>
      <c r="B205" s="115" t="s">
        <v>568</v>
      </c>
      <c r="C205" s="116" t="s">
        <v>644</v>
      </c>
      <c r="D205" s="116"/>
      <c r="E205" s="116"/>
      <c r="F205" s="116"/>
      <c r="G205" s="108"/>
      <c r="H205" s="105" t="n">
        <f aca="false">'[2]$ лето'!j205-'[2]$ лето'!au205-'[2]$ лето'!at205-'[2]$ лето'!as205-'[2]$ лето'!ar205-'[2]$ лето'!aq205-'[2]$ лето'!ap205-'[2]$ лето'!an205-'[2]$ лето'!am205-'[2]$ лето'!al205-'[2]$ лето'!ak205-'[2]$ лето'!aj205-'[2]$ лето'!ah205-'[2]$ лето'!ag205-'[2]$ лето'!af205-'[2]$ лето'!ae205-'[2]$ лето'!ad205-'[2]$ лето'!ab205-'[2]$ лето'!aa205-'[2]$ лето'!z205-'[2]$ лето'!y205-'[2]$ лето'!x205-'[2]$ лето'!v205-'[2]$ лето'!u205-'[2]$ лето'!t205-'[2]$ лето'!s205-'[2]$ лето'!r205-'[2]$ лето'!p205-'[2]$ лето'!o205-'[2]$ лето'!n205-'[2]$ лето'!m205-'[2]$ лето'!l205+'[2]$ лето'!k205+'[2]$ лето'!q205+'[2]$ лето'!w205+'[2]$ лето'!ac205+'[2]$ лето'!ai205+'[2]$ лето'!ao205</f>
        <v>0</v>
      </c>
      <c r="I205" s="109" t="n">
        <f aca="false">'[2]$ лето'!ay205*1.1</f>
        <v>1170.4</v>
      </c>
    </row>
    <row r="206" customFormat="false" ht="15" hidden="true" customHeight="false" outlineLevel="0" collapsed="false">
      <c r="A206" s="115" t="s">
        <v>138</v>
      </c>
      <c r="B206" s="115" t="s">
        <v>601</v>
      </c>
      <c r="C206" s="107" t="s">
        <v>794</v>
      </c>
      <c r="D206" s="107"/>
      <c r="E206" s="107"/>
      <c r="F206" s="107"/>
      <c r="G206" s="108"/>
      <c r="H206" s="105" t="n">
        <f aca="false">'[2]$ лето'!j206-'[2]$ лето'!au206-'[2]$ лето'!at206-'[2]$ лето'!as206-'[2]$ лето'!ar206-'[2]$ лето'!aq206-'[2]$ лето'!ap206-'[2]$ лето'!an206-'[2]$ лето'!am206-'[2]$ лето'!al206-'[2]$ лето'!ak206-'[2]$ лето'!aj206-'[2]$ лето'!ah206-'[2]$ лето'!ag206-'[2]$ лето'!af206-'[2]$ лето'!ae206-'[2]$ лето'!ad206-'[2]$ лето'!ab206-'[2]$ лето'!aa206-'[2]$ лето'!z206-'[2]$ лето'!y206-'[2]$ лето'!x206-'[2]$ лето'!v206-'[2]$ лето'!u206-'[2]$ лето'!t206-'[2]$ лето'!s206-'[2]$ лето'!r206-'[2]$ лето'!p206-'[2]$ лето'!o206-'[2]$ лето'!n206-'[2]$ лето'!m206-'[2]$ лето'!l206+'[2]$ лето'!k206+'[2]$ лето'!q206+'[2]$ лето'!w206+'[2]$ лето'!ac206+'[2]$ лето'!ai206+'[2]$ лето'!ao206</f>
        <v>0</v>
      </c>
      <c r="I206" s="109" t="n">
        <f aca="false">'[2]$ лето'!ay206*1.1</f>
        <v>0</v>
      </c>
    </row>
    <row r="207" customFormat="false" ht="15" hidden="true" customHeight="false" outlineLevel="0" collapsed="false">
      <c r="A207" s="115" t="s">
        <v>138</v>
      </c>
      <c r="B207" s="115" t="s">
        <v>606</v>
      </c>
      <c r="C207" s="107" t="s">
        <v>795</v>
      </c>
      <c r="D207" s="107"/>
      <c r="E207" s="107"/>
      <c r="F207" s="107"/>
      <c r="G207" s="108"/>
      <c r="H207" s="105" t="n">
        <f aca="false">'[2]$ лето'!j207-'[2]$ лето'!au207-'[2]$ лето'!at207-'[2]$ лето'!as207-'[2]$ лето'!ar207-'[2]$ лето'!aq207-'[2]$ лето'!ap207-'[2]$ лето'!an207-'[2]$ лето'!am207-'[2]$ лето'!al207-'[2]$ лето'!ak207-'[2]$ лето'!aj207-'[2]$ лето'!ah207-'[2]$ лето'!ag207-'[2]$ лето'!af207-'[2]$ лето'!ae207-'[2]$ лето'!ad207-'[2]$ лето'!ab207-'[2]$ лето'!aa207-'[2]$ лето'!z207-'[2]$ лето'!y207-'[2]$ лето'!x207-'[2]$ лето'!v207-'[2]$ лето'!u207-'[2]$ лето'!t207-'[2]$ лето'!s207-'[2]$ лето'!r207-'[2]$ лето'!p207-'[2]$ лето'!o207-'[2]$ лето'!n207-'[2]$ лето'!m207-'[2]$ лето'!l207+'[2]$ лето'!k207+'[2]$ лето'!q207+'[2]$ лето'!w207+'[2]$ лето'!ac207+'[2]$ лето'!ai207+'[2]$ лето'!ao207</f>
        <v>0</v>
      </c>
      <c r="I207" s="109" t="n">
        <f aca="false">'[2]$ лето'!ay207*1.1</f>
        <v>1386</v>
      </c>
    </row>
    <row r="208" customFormat="false" ht="15" hidden="true" customHeight="false" outlineLevel="0" collapsed="false">
      <c r="A208" s="115" t="s">
        <v>138</v>
      </c>
      <c r="B208" s="115" t="s">
        <v>668</v>
      </c>
      <c r="C208" s="107" t="s">
        <v>796</v>
      </c>
      <c r="D208" s="107"/>
      <c r="E208" s="107"/>
      <c r="F208" s="107"/>
      <c r="G208" s="108" t="s">
        <v>609</v>
      </c>
      <c r="H208" s="105" t="n">
        <f aca="false">'[2]$ лето'!j208-'[2]$ лето'!au208-'[2]$ лето'!at208-'[2]$ лето'!as208-'[2]$ лето'!ar208-'[2]$ лето'!aq208-'[2]$ лето'!ap208-'[2]$ лето'!an208-'[2]$ лето'!am208-'[2]$ лето'!al208-'[2]$ лето'!ak208-'[2]$ лето'!aj208-'[2]$ лето'!ah208-'[2]$ лето'!ag208-'[2]$ лето'!af208-'[2]$ лето'!ae208-'[2]$ лето'!ad208-'[2]$ лето'!ab208-'[2]$ лето'!aa208-'[2]$ лето'!z208-'[2]$ лето'!y208-'[2]$ лето'!x208-'[2]$ лето'!v208-'[2]$ лето'!u208-'[2]$ лето'!t208-'[2]$ лето'!s208-'[2]$ лето'!r208-'[2]$ лето'!p208-'[2]$ лето'!o208-'[2]$ лето'!n208-'[2]$ лето'!m208-'[2]$ лето'!l208+'[2]$ лето'!k208+'[2]$ лето'!q208+'[2]$ лето'!w208+'[2]$ лето'!ac208+'[2]$ лето'!ai208+'[2]$ лето'!ao208</f>
        <v>0</v>
      </c>
      <c r="I208" s="109" t="n">
        <f aca="false">'[2]$ лето'!ay208*1.1</f>
        <v>1078</v>
      </c>
    </row>
    <row r="209" customFormat="false" ht="15" hidden="true" customHeight="false" outlineLevel="0" collapsed="false">
      <c r="A209" s="115" t="s">
        <v>138</v>
      </c>
      <c r="B209" s="115" t="s">
        <v>574</v>
      </c>
      <c r="C209" s="126" t="s">
        <v>797</v>
      </c>
      <c r="D209" s="126"/>
      <c r="E209" s="126"/>
      <c r="F209" s="126"/>
      <c r="G209" s="108" t="s">
        <v>576</v>
      </c>
      <c r="H209" s="105" t="n">
        <f aca="false">'[2]$ лето'!j209-'[2]$ лето'!au209-'[2]$ лето'!at209-'[2]$ лето'!as209-'[2]$ лето'!ar209-'[2]$ лето'!aq209-'[2]$ лето'!ap209-'[2]$ лето'!an209-'[2]$ лето'!am209-'[2]$ лето'!al209-'[2]$ лето'!ak209-'[2]$ лето'!aj209-'[2]$ лето'!ah209-'[2]$ лето'!ag209-'[2]$ лето'!af209-'[2]$ лето'!ae209-'[2]$ лето'!ad209-'[2]$ лето'!ab209-'[2]$ лето'!aa209-'[2]$ лето'!z209-'[2]$ лето'!y209-'[2]$ лето'!x209-'[2]$ лето'!v209-'[2]$ лето'!u209-'[2]$ лето'!t209-'[2]$ лето'!s209-'[2]$ лето'!r209-'[2]$ лето'!p209-'[2]$ лето'!o209-'[2]$ лето'!n209-'[2]$ лето'!m209-'[2]$ лето'!l209+'[2]$ лето'!k209+'[2]$ лето'!q209+'[2]$ лето'!w209+'[2]$ лето'!ac209+'[2]$ лето'!ai209+'[2]$ лето'!ao209</f>
        <v>0</v>
      </c>
      <c r="I209" s="109" t="n">
        <f aca="false">'[2]$ лето'!ay209*1.1</f>
        <v>1232</v>
      </c>
    </row>
    <row r="210" customFormat="false" ht="15" hidden="true" customHeight="false" outlineLevel="0" collapsed="false">
      <c r="A210" s="115" t="s">
        <v>138</v>
      </c>
      <c r="B210" s="115" t="s">
        <v>583</v>
      </c>
      <c r="C210" s="116" t="s">
        <v>798</v>
      </c>
      <c r="D210" s="116"/>
      <c r="E210" s="116"/>
      <c r="F210" s="116"/>
      <c r="G210" s="108"/>
      <c r="H210" s="105" t="n">
        <f aca="false">'[2]$ лето'!j210-'[2]$ лето'!au210-'[2]$ лето'!at210-'[2]$ лето'!as210-'[2]$ лето'!ar210-'[2]$ лето'!aq210-'[2]$ лето'!ap210-'[2]$ лето'!an210-'[2]$ лето'!am210-'[2]$ лето'!al210-'[2]$ лето'!ak210-'[2]$ лето'!aj210-'[2]$ лето'!ah210-'[2]$ лето'!ag210-'[2]$ лето'!af210-'[2]$ лето'!ae210-'[2]$ лето'!ad210-'[2]$ лето'!ab210-'[2]$ лето'!aa210-'[2]$ лето'!z210-'[2]$ лето'!y210-'[2]$ лето'!x210-'[2]$ лето'!v210-'[2]$ лето'!u210-'[2]$ лето'!t210-'[2]$ лето'!s210-'[2]$ лето'!r210-'[2]$ лето'!p210-'[2]$ лето'!o210-'[2]$ лето'!n210-'[2]$ лето'!m210-'[2]$ лето'!l210+'[2]$ лето'!k210+'[2]$ лето'!q210+'[2]$ лето'!w210+'[2]$ лето'!ac210+'[2]$ лето'!ai210+'[2]$ лето'!ao210</f>
        <v>0</v>
      </c>
      <c r="I210" s="109" t="n">
        <f aca="false">'[2]$ лето'!ay210*1.1</f>
        <v>462</v>
      </c>
    </row>
    <row r="211" customFormat="false" ht="15" hidden="true" customHeight="false" outlineLevel="0" collapsed="false">
      <c r="A211" s="115" t="s">
        <v>138</v>
      </c>
      <c r="B211" s="115" t="s">
        <v>593</v>
      </c>
      <c r="C211" s="116" t="s">
        <v>799</v>
      </c>
      <c r="D211" s="116"/>
      <c r="E211" s="116"/>
      <c r="F211" s="116"/>
      <c r="G211" s="108"/>
      <c r="H211" s="105" t="n">
        <f aca="false">'[2]$ лето'!j211-'[2]$ лето'!au211-'[2]$ лето'!at211-'[2]$ лето'!as211-'[2]$ лето'!ar211-'[2]$ лето'!aq211-'[2]$ лето'!ap211-'[2]$ лето'!an211-'[2]$ лето'!am211-'[2]$ лето'!al211-'[2]$ лето'!ak211-'[2]$ лето'!aj211-'[2]$ лето'!ah211-'[2]$ лето'!ag211-'[2]$ лето'!af211-'[2]$ лето'!ae211-'[2]$ лето'!ad211-'[2]$ лето'!ab211-'[2]$ лето'!aa211-'[2]$ лето'!z211-'[2]$ лето'!y211-'[2]$ лето'!x211-'[2]$ лето'!v211-'[2]$ лето'!u211-'[2]$ лето'!t211-'[2]$ лето'!s211-'[2]$ лето'!r211-'[2]$ лето'!p211-'[2]$ лето'!o211-'[2]$ лето'!n211-'[2]$ лето'!m211-'[2]$ лето'!l211+'[2]$ лето'!k211+'[2]$ лето'!q211+'[2]$ лето'!w211+'[2]$ лето'!ac211+'[2]$ лето'!ai211+'[2]$ лето'!ao211</f>
        <v>0</v>
      </c>
      <c r="I211" s="109" t="n">
        <f aca="false">'[2]$ лето'!ay211*1.1</f>
        <v>1232</v>
      </c>
    </row>
    <row r="212" customFormat="false" ht="15" hidden="true" customHeight="false" outlineLevel="0" collapsed="false">
      <c r="A212" s="115" t="s">
        <v>138</v>
      </c>
      <c r="B212" s="115" t="s">
        <v>593</v>
      </c>
      <c r="C212" s="116" t="s">
        <v>785</v>
      </c>
      <c r="D212" s="116"/>
      <c r="E212" s="116"/>
      <c r="F212" s="116"/>
      <c r="G212" s="108"/>
      <c r="H212" s="105" t="n">
        <f aca="false">'[2]$ лето'!j212-'[2]$ лето'!au212-'[2]$ лето'!at212-'[2]$ лето'!as212-'[2]$ лето'!ar212-'[2]$ лето'!aq212-'[2]$ лето'!ap212-'[2]$ лето'!an212-'[2]$ лето'!am212-'[2]$ лето'!al212-'[2]$ лето'!ak212-'[2]$ лето'!aj212-'[2]$ лето'!ah212-'[2]$ лето'!ag212-'[2]$ лето'!af212-'[2]$ лето'!ae212-'[2]$ лето'!ad212-'[2]$ лето'!ab212-'[2]$ лето'!aa212-'[2]$ лето'!z212-'[2]$ лето'!y212-'[2]$ лето'!x212-'[2]$ лето'!v212-'[2]$ лето'!u212-'[2]$ лето'!t212-'[2]$ лето'!s212-'[2]$ лето'!r212-'[2]$ лето'!p212-'[2]$ лето'!o212-'[2]$ лето'!n212-'[2]$ лето'!m212-'[2]$ лето'!l212+'[2]$ лето'!k212+'[2]$ лето'!q212+'[2]$ лето'!w212+'[2]$ лето'!ac212+'[2]$ лето'!ai212+'[2]$ лето'!ao212</f>
        <v>0</v>
      </c>
      <c r="I212" s="109" t="n">
        <f aca="false">'[2]$ лето'!ay212*1.1</f>
        <v>1386</v>
      </c>
    </row>
    <row r="213" customFormat="false" ht="15" hidden="true" customHeight="false" outlineLevel="0" collapsed="false">
      <c r="A213" s="115" t="s">
        <v>138</v>
      </c>
      <c r="B213" s="115" t="s">
        <v>615</v>
      </c>
      <c r="C213" s="107" t="s">
        <v>800</v>
      </c>
      <c r="D213" s="107"/>
      <c r="E213" s="107"/>
      <c r="F213" s="107"/>
      <c r="G213" s="108"/>
      <c r="H213" s="105" t="n">
        <f aca="false">'[2]$ лето'!j213-'[2]$ лето'!au213-'[2]$ лето'!at213-'[2]$ лето'!as213-'[2]$ лето'!ar213-'[2]$ лето'!aq213-'[2]$ лето'!ap213-'[2]$ лето'!an213-'[2]$ лето'!am213-'[2]$ лето'!al213-'[2]$ лето'!ak213-'[2]$ лето'!aj213-'[2]$ лето'!ah213-'[2]$ лето'!ag213-'[2]$ лето'!af213-'[2]$ лето'!ae213-'[2]$ лето'!ad213-'[2]$ лето'!ab213-'[2]$ лето'!aa213-'[2]$ лето'!z213-'[2]$ лето'!y213-'[2]$ лето'!x213-'[2]$ лето'!v213-'[2]$ лето'!u213-'[2]$ лето'!t213-'[2]$ лето'!s213-'[2]$ лето'!r213-'[2]$ лето'!p213-'[2]$ лето'!o213-'[2]$ лето'!n213-'[2]$ лето'!m213-'[2]$ лето'!l213+'[2]$ лето'!k213+'[2]$ лето'!q213+'[2]$ лето'!w213+'[2]$ лето'!ac213+'[2]$ лето'!ai213+'[2]$ лето'!ao213</f>
        <v>0</v>
      </c>
      <c r="I213" s="109" t="n">
        <f aca="false">'[2]$ лето'!ay213*1.1</f>
        <v>1108.8</v>
      </c>
    </row>
    <row r="214" customFormat="false" ht="15" hidden="true" customHeight="false" outlineLevel="0" collapsed="false">
      <c r="A214" s="115" t="s">
        <v>138</v>
      </c>
      <c r="B214" s="115" t="s">
        <v>801</v>
      </c>
      <c r="C214" s="116" t="s">
        <v>802</v>
      </c>
      <c r="D214" s="116"/>
      <c r="E214" s="116"/>
      <c r="F214" s="116"/>
      <c r="G214" s="108"/>
      <c r="H214" s="105" t="n">
        <f aca="false">'[2]$ лето'!j214-'[2]$ лето'!au214-'[2]$ лето'!at214-'[2]$ лето'!as214-'[2]$ лето'!ar214-'[2]$ лето'!aq214-'[2]$ лето'!ap214-'[2]$ лето'!an214-'[2]$ лето'!am214-'[2]$ лето'!al214-'[2]$ лето'!ak214-'[2]$ лето'!aj214-'[2]$ лето'!ah214-'[2]$ лето'!ag214-'[2]$ лето'!af214-'[2]$ лето'!ae214-'[2]$ лето'!ad214-'[2]$ лето'!ab214-'[2]$ лето'!aa214-'[2]$ лето'!z214-'[2]$ лето'!y214-'[2]$ лето'!x214-'[2]$ лето'!v214-'[2]$ лето'!u214-'[2]$ лето'!t214-'[2]$ лето'!s214-'[2]$ лето'!r214-'[2]$ лето'!p214-'[2]$ лето'!o214-'[2]$ лето'!n214-'[2]$ лето'!m214-'[2]$ лето'!l214+'[2]$ лето'!k214+'[2]$ лето'!q214+'[2]$ лето'!w214+'[2]$ лето'!ac214+'[2]$ лето'!ai214+'[2]$ лето'!ao214</f>
        <v>0</v>
      </c>
      <c r="I214" s="109" t="n">
        <f aca="false">'[2]$ лето'!ay214*1.1</f>
        <v>462</v>
      </c>
    </row>
    <row r="215" customFormat="false" ht="15" hidden="false" customHeight="false" outlineLevel="0" collapsed="false">
      <c r="A215" s="115" t="s">
        <v>138</v>
      </c>
      <c r="B215" s="115" t="s">
        <v>564</v>
      </c>
      <c r="C215" s="116" t="s">
        <v>803</v>
      </c>
      <c r="D215" s="116"/>
      <c r="E215" s="116" t="n">
        <v>95</v>
      </c>
      <c r="F215" s="116" t="s">
        <v>634</v>
      </c>
      <c r="G215" s="108" t="s">
        <v>520</v>
      </c>
      <c r="H215" s="105" t="n">
        <f aca="false">'[2]$ лето'!j215-'[2]$ лето'!au215-'[2]$ лето'!at215-'[2]$ лето'!as215-'[2]$ лето'!ar215-'[2]$ лето'!aq215-'[2]$ лето'!ap215-'[2]$ лето'!an215-'[2]$ лето'!am215-'[2]$ лето'!al215-'[2]$ лето'!ak215-'[2]$ лето'!aj215-'[2]$ лето'!ah215-'[2]$ лето'!ag215-'[2]$ лето'!af215-'[2]$ лето'!ae215-'[2]$ лето'!ad215-'[2]$ лето'!ab215-'[2]$ лето'!aa215-'[2]$ лето'!z215-'[2]$ лето'!y215-'[2]$ лето'!x215-'[2]$ лето'!v215-'[2]$ лето'!u215-'[2]$ лето'!t215-'[2]$ лето'!s215-'[2]$ лето'!r215-'[2]$ лето'!p215-'[2]$ лето'!o215-'[2]$ лето'!n215-'[2]$ лето'!m215-'[2]$ лето'!l215+'[2]$ лето'!k215+'[2]$ лето'!q215+'[2]$ лето'!w215+'[2]$ лето'!ac215+'[2]$ лето'!ai215+'[2]$ лето'!ao215</f>
        <v>2</v>
      </c>
      <c r="I215" s="109" t="n">
        <f aca="false">'[2]$ лето'!ay215*1.1</f>
        <v>1170.4</v>
      </c>
    </row>
    <row r="216" customFormat="false" ht="15" hidden="true" customHeight="false" outlineLevel="0" collapsed="false">
      <c r="A216" s="107" t="s">
        <v>139</v>
      </c>
      <c r="B216" s="107" t="s">
        <v>601</v>
      </c>
      <c r="C216" s="107" t="s">
        <v>794</v>
      </c>
      <c r="D216" s="107"/>
      <c r="E216" s="107"/>
      <c r="F216" s="107"/>
      <c r="G216" s="108"/>
      <c r="H216" s="105" t="n">
        <f aca="false">'[2]$ лето'!j216-'[2]$ лето'!au216-'[2]$ лето'!at216-'[2]$ лето'!as216-'[2]$ лето'!ar216-'[2]$ лето'!aq216-'[2]$ лето'!ap216-'[2]$ лето'!an216-'[2]$ лето'!am216-'[2]$ лето'!al216-'[2]$ лето'!ak216-'[2]$ лето'!aj216-'[2]$ лето'!ah216-'[2]$ лето'!ag216-'[2]$ лето'!af216-'[2]$ лето'!ae216-'[2]$ лето'!ad216-'[2]$ лето'!ab216-'[2]$ лето'!aa216-'[2]$ лето'!z216-'[2]$ лето'!y216-'[2]$ лето'!x216-'[2]$ лето'!v216-'[2]$ лето'!u216-'[2]$ лето'!t216-'[2]$ лето'!s216-'[2]$ лето'!r216-'[2]$ лето'!p216-'[2]$ лето'!o216-'[2]$ лето'!n216-'[2]$ лето'!m216-'[2]$ лето'!l216+'[2]$ лето'!k216+'[2]$ лето'!q216+'[2]$ лето'!w216+'[2]$ лето'!ac216+'[2]$ лето'!ai216+'[2]$ лето'!ao216</f>
        <v>0</v>
      </c>
      <c r="I216" s="109" t="n">
        <f aca="false">'[2]$ лето'!ay216*1.1</f>
        <v>0</v>
      </c>
    </row>
    <row r="217" customFormat="false" ht="15" hidden="true" customHeight="false" outlineLevel="0" collapsed="false">
      <c r="A217" s="107" t="s">
        <v>139</v>
      </c>
      <c r="B217" s="107" t="s">
        <v>606</v>
      </c>
      <c r="C217" s="107" t="s">
        <v>804</v>
      </c>
      <c r="D217" s="107"/>
      <c r="E217" s="107"/>
      <c r="F217" s="107"/>
      <c r="G217" s="108"/>
      <c r="H217" s="105" t="n">
        <f aca="false">'[2]$ лето'!j217-'[2]$ лето'!au217-'[2]$ лето'!at217-'[2]$ лето'!as217-'[2]$ лето'!ar217-'[2]$ лето'!aq217-'[2]$ лето'!ap217-'[2]$ лето'!an217-'[2]$ лето'!am217-'[2]$ лето'!al217-'[2]$ лето'!ak217-'[2]$ лето'!aj217-'[2]$ лето'!ah217-'[2]$ лето'!ag217-'[2]$ лето'!af217-'[2]$ лето'!ae217-'[2]$ лето'!ad217-'[2]$ лето'!ab217-'[2]$ лето'!aa217-'[2]$ лето'!z217-'[2]$ лето'!y217-'[2]$ лето'!x217-'[2]$ лето'!v217-'[2]$ лето'!u217-'[2]$ лето'!t217-'[2]$ лето'!s217-'[2]$ лето'!r217-'[2]$ лето'!p217-'[2]$ лето'!o217-'[2]$ лето'!n217-'[2]$ лето'!m217-'[2]$ лето'!l217+'[2]$ лето'!k217+'[2]$ лето'!q217+'[2]$ лето'!w217+'[2]$ лето'!ac217+'[2]$ лето'!ai217+'[2]$ лето'!ao217</f>
        <v>0</v>
      </c>
      <c r="I217" s="109" t="n">
        <f aca="false">'[2]$ лето'!ay217*1.1</f>
        <v>1232</v>
      </c>
    </row>
    <row r="218" customFormat="false" ht="15" hidden="false" customHeight="false" outlineLevel="0" collapsed="false">
      <c r="A218" s="107" t="s">
        <v>139</v>
      </c>
      <c r="B218" s="107" t="s">
        <v>621</v>
      </c>
      <c r="C218" s="107" t="s">
        <v>805</v>
      </c>
      <c r="D218" s="107"/>
      <c r="E218" s="116" t="n">
        <v>95</v>
      </c>
      <c r="F218" s="116" t="s">
        <v>634</v>
      </c>
      <c r="G218" s="108" t="s">
        <v>520</v>
      </c>
      <c r="H218" s="105" t="n">
        <f aca="false">'[2]$ лето'!j218-'[2]$ лето'!au218-'[2]$ лето'!at218-'[2]$ лето'!as218-'[2]$ лето'!ar218-'[2]$ лето'!aq218-'[2]$ лето'!ap218-'[2]$ лето'!an218-'[2]$ лето'!am218-'[2]$ лето'!al218-'[2]$ лето'!ak218-'[2]$ лето'!aj218-'[2]$ лето'!ah218-'[2]$ лето'!ag218-'[2]$ лето'!af218-'[2]$ лето'!ae218-'[2]$ лето'!ad218-'[2]$ лето'!ab218-'[2]$ лето'!aa218-'[2]$ лето'!z218-'[2]$ лето'!y218-'[2]$ лето'!x218-'[2]$ лето'!v218-'[2]$ лето'!u218-'[2]$ лето'!t218-'[2]$ лето'!s218-'[2]$ лето'!r218-'[2]$ лето'!p218-'[2]$ лето'!o218-'[2]$ лето'!n218-'[2]$ лето'!m218-'[2]$ лето'!l218+'[2]$ лето'!k218+'[2]$ лето'!q218+'[2]$ лето'!w218+'[2]$ лето'!ac218+'[2]$ лето'!ai218+'[2]$ лето'!ao218</f>
        <v>4</v>
      </c>
      <c r="I218" s="109" t="n">
        <f aca="false">'[2]$ лето'!ay218*1.1</f>
        <v>1232</v>
      </c>
    </row>
    <row r="219" customFormat="false" ht="15" hidden="false" customHeight="false" outlineLevel="0" collapsed="false">
      <c r="A219" s="107" t="s">
        <v>139</v>
      </c>
      <c r="B219" s="107" t="s">
        <v>564</v>
      </c>
      <c r="C219" s="107" t="s">
        <v>806</v>
      </c>
      <c r="D219" s="107"/>
      <c r="E219" s="116" t="n">
        <v>98</v>
      </c>
      <c r="F219" s="116" t="s">
        <v>562</v>
      </c>
      <c r="G219" s="108" t="s">
        <v>520</v>
      </c>
      <c r="H219" s="105" t="n">
        <f aca="false">'[2]$ лето'!j219-'[2]$ лето'!au219-'[2]$ лето'!at219-'[2]$ лето'!as219-'[2]$ лето'!ar219-'[2]$ лето'!aq219-'[2]$ лето'!ap219-'[2]$ лето'!an219-'[2]$ лето'!am219-'[2]$ лето'!al219-'[2]$ лето'!ak219-'[2]$ лето'!aj219-'[2]$ лето'!ah219-'[2]$ лето'!ag219-'[2]$ лето'!af219-'[2]$ лето'!ae219-'[2]$ лето'!ad219-'[2]$ лето'!ab219-'[2]$ лето'!aa219-'[2]$ лето'!z219-'[2]$ лето'!y219-'[2]$ лето'!x219-'[2]$ лето'!v219-'[2]$ лето'!u219-'[2]$ лето'!t219-'[2]$ лето'!s219-'[2]$ лето'!r219-'[2]$ лето'!p219-'[2]$ лето'!o219-'[2]$ лето'!n219-'[2]$ лето'!m219-'[2]$ лето'!l219+'[2]$ лето'!k219+'[2]$ лето'!q219+'[2]$ лето'!w219+'[2]$ лето'!ac219+'[2]$ лето'!ai219+'[2]$ лето'!ao219</f>
        <v>2</v>
      </c>
      <c r="I219" s="109" t="n">
        <f aca="false">'[2]$ лето'!ay219*1.1</f>
        <v>1386</v>
      </c>
      <c r="J219" s="85" t="n">
        <v>2017</v>
      </c>
    </row>
    <row r="220" customFormat="false" ht="15" hidden="false" customHeight="false" outlineLevel="0" collapsed="false">
      <c r="A220" s="110" t="s">
        <v>145</v>
      </c>
      <c r="B220" s="111"/>
      <c r="C220" s="112"/>
      <c r="D220" s="112"/>
      <c r="E220" s="112"/>
      <c r="F220" s="112"/>
      <c r="G220" s="104"/>
      <c r="H220" s="105"/>
      <c r="I220" s="105" t="n">
        <f aca="false">'[2]$ лето'!ay220*1.1</f>
        <v>0</v>
      </c>
    </row>
    <row r="221" customFormat="false" ht="15" hidden="false" customHeight="false" outlineLevel="0" collapsed="false">
      <c r="A221" s="127" t="s">
        <v>807</v>
      </c>
      <c r="B221" s="115" t="s">
        <v>583</v>
      </c>
      <c r="C221" s="116" t="s">
        <v>808</v>
      </c>
      <c r="D221" s="116"/>
      <c r="E221" s="116"/>
      <c r="F221" s="116"/>
      <c r="G221" s="108" t="s">
        <v>585</v>
      </c>
      <c r="H221" s="105" t="n">
        <f aca="false">'[2]$ лето'!j221-'[2]$ лето'!au221-'[2]$ лето'!at221-'[2]$ лето'!as221-'[2]$ лето'!ar221-'[2]$ лето'!aq221-'[2]$ лето'!ap221-'[2]$ лето'!an221-'[2]$ лето'!am221-'[2]$ лето'!al221-'[2]$ лето'!ak221-'[2]$ лето'!aj221-'[2]$ лето'!ah221-'[2]$ лето'!ag221-'[2]$ лето'!af221-'[2]$ лето'!ae221-'[2]$ лето'!ad221-'[2]$ лето'!ab221-'[2]$ лето'!aa221-'[2]$ лето'!z221-'[2]$ лето'!y221-'[2]$ лето'!x221-'[2]$ лето'!v221-'[2]$ лето'!u221-'[2]$ лето'!t221-'[2]$ лето'!s221-'[2]$ лето'!r221-'[2]$ лето'!p221-'[2]$ лето'!o221-'[2]$ лето'!n221-'[2]$ лето'!m221-'[2]$ лето'!l221+'[2]$ лето'!k221+'[2]$ лето'!q221+'[2]$ лето'!w221+'[2]$ лето'!ac221+'[2]$ лето'!ai221+'[2]$ лето'!ao221</f>
        <v>4</v>
      </c>
      <c r="I221" s="109" t="n">
        <f aca="false">'[2]$ лето'!ay221*1.1</f>
        <v>1324.4</v>
      </c>
      <c r="J221" s="85" t="n">
        <v>2016</v>
      </c>
    </row>
    <row r="222" customFormat="false" ht="15" hidden="false" customHeight="false" outlineLevel="0" collapsed="false">
      <c r="A222" s="127" t="s">
        <v>807</v>
      </c>
      <c r="B222" s="115" t="s">
        <v>583</v>
      </c>
      <c r="C222" s="116" t="s">
        <v>809</v>
      </c>
      <c r="D222" s="116"/>
      <c r="E222" s="116"/>
      <c r="F222" s="116"/>
      <c r="G222" s="108" t="s">
        <v>585</v>
      </c>
      <c r="H222" s="105" t="n">
        <f aca="false">'[2]$ лето'!j222-'[2]$ лето'!au222-'[2]$ лето'!at222-'[2]$ лето'!as222-'[2]$ лето'!ar222-'[2]$ лето'!aq222-'[2]$ лето'!ap222-'[2]$ лето'!an222-'[2]$ лето'!am222-'[2]$ лето'!al222-'[2]$ лето'!ak222-'[2]$ лето'!aj222-'[2]$ лето'!ah222-'[2]$ лето'!ag222-'[2]$ лето'!af222-'[2]$ лето'!ae222-'[2]$ лето'!ad222-'[2]$ лето'!ab222-'[2]$ лето'!aa222-'[2]$ лето'!z222-'[2]$ лето'!y222-'[2]$ лето'!x222-'[2]$ лето'!v222-'[2]$ лето'!u222-'[2]$ лето'!t222-'[2]$ лето'!s222-'[2]$ лето'!r222-'[2]$ лето'!p222-'[2]$ лето'!o222-'[2]$ лето'!n222-'[2]$ лето'!m222-'[2]$ лето'!l222+'[2]$ лето'!k222+'[2]$ лето'!q222+'[2]$ лето'!w222+'[2]$ лето'!ac222+'[2]$ лето'!ai222+'[2]$ лето'!ao222</f>
        <v>4</v>
      </c>
      <c r="I222" s="109" t="n">
        <f aca="false">'[2]$ лето'!ay222*1.1</f>
        <v>1540</v>
      </c>
      <c r="J222" s="85" t="n">
        <v>2017</v>
      </c>
    </row>
    <row r="223" customFormat="false" ht="15" hidden="true" customHeight="false" outlineLevel="0" collapsed="false">
      <c r="A223" s="127" t="s">
        <v>146</v>
      </c>
      <c r="B223" s="115" t="s">
        <v>604</v>
      </c>
      <c r="C223" s="116" t="s">
        <v>711</v>
      </c>
      <c r="D223" s="116"/>
      <c r="E223" s="116"/>
      <c r="F223" s="116"/>
      <c r="G223" s="108"/>
      <c r="H223" s="105" t="n">
        <f aca="false">'[2]$ лето'!j223-'[2]$ лето'!au223-'[2]$ лето'!at223-'[2]$ лето'!as223-'[2]$ лето'!ar223-'[2]$ лето'!aq223-'[2]$ лето'!ap223-'[2]$ лето'!an223-'[2]$ лето'!am223-'[2]$ лето'!al223-'[2]$ лето'!ak223-'[2]$ лето'!aj223-'[2]$ лето'!ah223-'[2]$ лето'!ag223-'[2]$ лето'!af223-'[2]$ лето'!ae223-'[2]$ лето'!ad223-'[2]$ лето'!ab223-'[2]$ лето'!aa223-'[2]$ лето'!z223-'[2]$ лето'!y223-'[2]$ лето'!x223-'[2]$ лето'!v223-'[2]$ лето'!u223-'[2]$ лето'!t223-'[2]$ лето'!s223-'[2]$ лето'!r223-'[2]$ лето'!p223-'[2]$ лето'!o223-'[2]$ лето'!n223-'[2]$ лето'!m223-'[2]$ лето'!l223+'[2]$ лето'!k223+'[2]$ лето'!q223+'[2]$ лето'!w223+'[2]$ лето'!ac223+'[2]$ лето'!ai223+'[2]$ лето'!ao223</f>
        <v>0</v>
      </c>
      <c r="I223" s="109" t="n">
        <f aca="false">'[2]$ лето'!ay223*1.1</f>
        <v>0</v>
      </c>
    </row>
    <row r="224" customFormat="false" ht="15" hidden="false" customHeight="false" outlineLevel="0" collapsed="false">
      <c r="A224" s="127" t="s">
        <v>146</v>
      </c>
      <c r="B224" s="115" t="s">
        <v>574</v>
      </c>
      <c r="C224" s="116" t="s">
        <v>810</v>
      </c>
      <c r="D224" s="116"/>
      <c r="E224" s="116"/>
      <c r="F224" s="116"/>
      <c r="G224" s="108" t="s">
        <v>576</v>
      </c>
      <c r="H224" s="105" t="n">
        <f aca="false">'[2]$ лето'!j224-'[2]$ лето'!au224-'[2]$ лето'!at224-'[2]$ лето'!as224-'[2]$ лето'!ar224-'[2]$ лето'!aq224-'[2]$ лето'!ap224-'[2]$ лето'!an224-'[2]$ лето'!am224-'[2]$ лето'!al224-'[2]$ лето'!ak224-'[2]$ лето'!aj224-'[2]$ лето'!ah224-'[2]$ лето'!ag224-'[2]$ лето'!af224-'[2]$ лето'!ae224-'[2]$ лето'!ad224-'[2]$ лето'!ab224-'[2]$ лето'!aa224-'[2]$ лето'!z224-'[2]$ лето'!y224-'[2]$ лето'!x224-'[2]$ лето'!v224-'[2]$ лето'!u224-'[2]$ лето'!t224-'[2]$ лето'!s224-'[2]$ лето'!r224-'[2]$ лето'!p224-'[2]$ лето'!o224-'[2]$ лето'!n224-'[2]$ лето'!m224-'[2]$ лето'!l224+'[2]$ лето'!k224+'[2]$ лето'!q224+'[2]$ лето'!w224+'[2]$ лето'!ac224+'[2]$ лето'!ai224+'[2]$ лето'!ao224</f>
        <v>4</v>
      </c>
      <c r="I224" s="109" t="n">
        <f aca="false">'[2]$ лето'!ay224*1.1</f>
        <v>1374.56</v>
      </c>
      <c r="J224" s="85" t="n">
        <v>2017</v>
      </c>
    </row>
    <row r="225" customFormat="false" ht="15" hidden="true" customHeight="false" outlineLevel="0" collapsed="false">
      <c r="A225" s="115" t="s">
        <v>146</v>
      </c>
      <c r="B225" s="115" t="s">
        <v>583</v>
      </c>
      <c r="C225" s="116" t="s">
        <v>811</v>
      </c>
      <c r="D225" s="116"/>
      <c r="E225" s="116"/>
      <c r="F225" s="116"/>
      <c r="G225" s="108"/>
      <c r="H225" s="105" t="n">
        <f aca="false">'[2]$ лето'!j225-'[2]$ лето'!au225-'[2]$ лето'!at225-'[2]$ лето'!as225-'[2]$ лето'!ar225-'[2]$ лето'!aq225-'[2]$ лето'!ap225-'[2]$ лето'!an225-'[2]$ лето'!am225-'[2]$ лето'!al225-'[2]$ лето'!ak225-'[2]$ лето'!aj225-'[2]$ лето'!ah225-'[2]$ лето'!ag225-'[2]$ лето'!af225-'[2]$ лето'!ae225-'[2]$ лето'!ad225-'[2]$ лето'!ab225-'[2]$ лето'!aa225-'[2]$ лето'!z225-'[2]$ лето'!y225-'[2]$ лето'!x225-'[2]$ лето'!v225-'[2]$ лето'!u225-'[2]$ лето'!t225-'[2]$ лето'!s225-'[2]$ лето'!r225-'[2]$ лето'!p225-'[2]$ лето'!o225-'[2]$ лето'!n225-'[2]$ лето'!m225-'[2]$ лето'!l225+'[2]$ лето'!k225+'[2]$ лето'!q225+'[2]$ лето'!w225+'[2]$ лето'!ac225+'[2]$ лето'!ai225+'[2]$ лето'!ao225</f>
        <v>0</v>
      </c>
      <c r="I225" s="109" t="n">
        <f aca="false">'[2]$ лето'!ay225*1.1</f>
        <v>1324.4</v>
      </c>
      <c r="J225" s="85" t="n">
        <v>2017</v>
      </c>
    </row>
    <row r="226" customFormat="false" ht="15" hidden="true" customHeight="false" outlineLevel="0" collapsed="false">
      <c r="A226" s="115" t="s">
        <v>146</v>
      </c>
      <c r="B226" s="115" t="s">
        <v>586</v>
      </c>
      <c r="C226" s="116" t="s">
        <v>812</v>
      </c>
      <c r="D226" s="116"/>
      <c r="E226" s="116"/>
      <c r="F226" s="116"/>
      <c r="G226" s="108" t="s">
        <v>520</v>
      </c>
      <c r="H226" s="105" t="n">
        <f aca="false">'[2]$ лето'!j226-'[2]$ лето'!au226-'[2]$ лето'!at226-'[2]$ лето'!as226-'[2]$ лето'!ar226-'[2]$ лето'!aq226-'[2]$ лето'!ap226-'[2]$ лето'!an226-'[2]$ лето'!am226-'[2]$ лето'!al226-'[2]$ лето'!ak226-'[2]$ лето'!aj226-'[2]$ лето'!ah226-'[2]$ лето'!ag226-'[2]$ лето'!af226-'[2]$ лето'!ae226-'[2]$ лето'!ad226-'[2]$ лето'!ab226-'[2]$ лето'!aa226-'[2]$ лето'!z226-'[2]$ лето'!y226-'[2]$ лето'!x226-'[2]$ лето'!v226-'[2]$ лето'!u226-'[2]$ лето'!t226-'[2]$ лето'!s226-'[2]$ лето'!r226-'[2]$ лето'!p226-'[2]$ лето'!o226-'[2]$ лето'!n226-'[2]$ лето'!m226-'[2]$ лето'!l226+'[2]$ лето'!k226+'[2]$ лето'!q226+'[2]$ лето'!w226+'[2]$ лето'!ac226+'[2]$ лето'!ai226+'[2]$ лето'!ao226</f>
        <v>0</v>
      </c>
      <c r="I226" s="109" t="n">
        <f aca="false">'[2]$ лето'!ay226*1.1</f>
        <v>985.6</v>
      </c>
      <c r="J226" s="85" t="n">
        <v>2018</v>
      </c>
    </row>
    <row r="227" customFormat="false" ht="15" hidden="false" customHeight="false" outlineLevel="0" collapsed="false">
      <c r="A227" s="115" t="s">
        <v>146</v>
      </c>
      <c r="B227" s="115" t="s">
        <v>617</v>
      </c>
      <c r="C227" s="116" t="s">
        <v>813</v>
      </c>
      <c r="D227" s="116"/>
      <c r="E227" s="116" t="n">
        <v>82</v>
      </c>
      <c r="F227" s="116" t="s">
        <v>814</v>
      </c>
      <c r="G227" s="108"/>
      <c r="H227" s="105" t="n">
        <f aca="false">'[2]$ лето'!j227-'[2]$ лето'!au227-'[2]$ лето'!at227-'[2]$ лето'!as227-'[2]$ лето'!ar227-'[2]$ лето'!aq227-'[2]$ лето'!ap227-'[2]$ лето'!an227-'[2]$ лето'!am227-'[2]$ лето'!al227-'[2]$ лето'!ak227-'[2]$ лето'!aj227-'[2]$ лето'!ah227-'[2]$ лето'!ag227-'[2]$ лето'!af227-'[2]$ лето'!ae227-'[2]$ лето'!ad227-'[2]$ лето'!ab227-'[2]$ лето'!aa227-'[2]$ лето'!z227-'[2]$ лето'!y227-'[2]$ лето'!x227-'[2]$ лето'!v227-'[2]$ лето'!u227-'[2]$ лето'!t227-'[2]$ лето'!s227-'[2]$ лето'!r227-'[2]$ лето'!p227-'[2]$ лето'!o227-'[2]$ лето'!n227-'[2]$ лето'!m227-'[2]$ лето'!l227+'[2]$ лето'!k227+'[2]$ лето'!q227+'[2]$ лето'!w227+'[2]$ лето'!ac227+'[2]$ лето'!ai227+'[2]$ лето'!ao227</f>
        <v>4</v>
      </c>
      <c r="I227" s="109" t="n">
        <f aca="false">'[2]$ лето'!ay227*1.1</f>
        <v>1139.6</v>
      </c>
      <c r="J227" s="85" t="n">
        <v>2018</v>
      </c>
    </row>
    <row r="228" customFormat="false" ht="15" hidden="false" customHeight="false" outlineLevel="0" collapsed="false">
      <c r="A228" s="115" t="s">
        <v>146</v>
      </c>
      <c r="B228" s="115" t="s">
        <v>815</v>
      </c>
      <c r="C228" s="116" t="s">
        <v>816</v>
      </c>
      <c r="D228" s="116"/>
      <c r="E228" s="116"/>
      <c r="F228" s="116"/>
      <c r="G228" s="108" t="s">
        <v>520</v>
      </c>
      <c r="H228" s="105" t="n">
        <f aca="false">'[2]$ лето'!j228-'[2]$ лето'!au228-'[2]$ лето'!at228-'[2]$ лето'!as228-'[2]$ лето'!ar228-'[2]$ лето'!aq228-'[2]$ лето'!ap228-'[2]$ лето'!an228-'[2]$ лето'!am228-'[2]$ лето'!al228-'[2]$ лето'!ak228-'[2]$ лето'!aj228-'[2]$ лето'!ah228-'[2]$ лето'!ag228-'[2]$ лето'!af228-'[2]$ лето'!ae228-'[2]$ лето'!ad228-'[2]$ лето'!ab228-'[2]$ лето'!aa228-'[2]$ лето'!z228-'[2]$ лето'!y228-'[2]$ лето'!x228-'[2]$ лето'!v228-'[2]$ лето'!u228-'[2]$ лето'!t228-'[2]$ лето'!s228-'[2]$ лето'!r228-'[2]$ лето'!p228-'[2]$ лето'!o228-'[2]$ лето'!n228-'[2]$ лето'!m228-'[2]$ лето'!l228+'[2]$ лето'!k228+'[2]$ лето'!q228+'[2]$ лето'!w228+'[2]$ лето'!ac228+'[2]$ лето'!ai228+'[2]$ лето'!ao228</f>
        <v>4</v>
      </c>
      <c r="I228" s="109" t="n">
        <f aca="false">'[2]$ лето'!ay228*1.1</f>
        <v>1047.2</v>
      </c>
    </row>
    <row r="229" customFormat="false" ht="15" hidden="false" customHeight="false" outlineLevel="0" collapsed="false">
      <c r="A229" s="115" t="s">
        <v>147</v>
      </c>
      <c r="B229" s="115" t="s">
        <v>566</v>
      </c>
      <c r="C229" s="116" t="s">
        <v>817</v>
      </c>
      <c r="D229" s="116"/>
      <c r="E229" s="116"/>
      <c r="F229" s="116"/>
      <c r="G229" s="108" t="s">
        <v>563</v>
      </c>
      <c r="H229" s="105" t="n">
        <f aca="false">'[2]$ лето'!j229-'[2]$ лето'!au229-'[2]$ лето'!at229-'[2]$ лето'!as229-'[2]$ лето'!ar229-'[2]$ лето'!aq229-'[2]$ лето'!ap229-'[2]$ лето'!an229-'[2]$ лето'!am229-'[2]$ лето'!al229-'[2]$ лето'!ak229-'[2]$ лето'!aj229-'[2]$ лето'!ah229-'[2]$ лето'!ag229-'[2]$ лето'!af229-'[2]$ лето'!ae229-'[2]$ лето'!ad229-'[2]$ лето'!ab229-'[2]$ лето'!aa229-'[2]$ лето'!z229-'[2]$ лето'!y229-'[2]$ лето'!x229-'[2]$ лето'!v229-'[2]$ лето'!u229-'[2]$ лето'!t229-'[2]$ лето'!s229-'[2]$ лето'!r229-'[2]$ лето'!p229-'[2]$ лето'!o229-'[2]$ лето'!n229-'[2]$ лето'!m229-'[2]$ лето'!l229+'[2]$ лето'!k229+'[2]$ лето'!q229+'[2]$ лето'!w229+'[2]$ лето'!ac229+'[2]$ лето'!ai229+'[2]$ лето'!ao229</f>
        <v>2</v>
      </c>
      <c r="I229" s="109" t="n">
        <f aca="false">'[2]$ лето'!ay229*1.1</f>
        <v>985.6</v>
      </c>
      <c r="J229" s="85" t="n">
        <v>2017</v>
      </c>
    </row>
    <row r="230" customFormat="false" ht="15" hidden="false" customHeight="false" outlineLevel="0" collapsed="false">
      <c r="A230" s="123" t="s">
        <v>147</v>
      </c>
      <c r="B230" s="115" t="s">
        <v>568</v>
      </c>
      <c r="C230" s="116" t="s">
        <v>818</v>
      </c>
      <c r="D230" s="116"/>
      <c r="E230" s="116"/>
      <c r="F230" s="116"/>
      <c r="G230" s="128" t="s">
        <v>640</v>
      </c>
      <c r="H230" s="105" t="n">
        <f aca="false">'[2]$ лето'!j230-'[2]$ лето'!au230-'[2]$ лето'!at230-'[2]$ лето'!as230-'[2]$ лето'!ar230-'[2]$ лето'!aq230-'[2]$ лето'!ap230-'[2]$ лето'!an230-'[2]$ лето'!am230-'[2]$ лето'!al230-'[2]$ лето'!ak230-'[2]$ лето'!aj230-'[2]$ лето'!ah230-'[2]$ лето'!ag230-'[2]$ лето'!af230-'[2]$ лето'!ae230-'[2]$ лето'!ad230-'[2]$ лето'!ab230-'[2]$ лето'!aa230-'[2]$ лето'!z230-'[2]$ лето'!y230-'[2]$ лето'!x230-'[2]$ лето'!v230-'[2]$ лето'!u230-'[2]$ лето'!t230-'[2]$ лето'!s230-'[2]$ лето'!r230-'[2]$ лето'!p230-'[2]$ лето'!o230-'[2]$ лето'!n230-'[2]$ лето'!m230-'[2]$ лето'!l230+'[2]$ лето'!k230+'[2]$ лето'!q230+'[2]$ лето'!w230+'[2]$ лето'!ac230+'[2]$ лето'!ai230+'[2]$ лето'!ao230</f>
        <v>4</v>
      </c>
      <c r="I230" s="109" t="n">
        <f aca="false">'[2]$ лето'!ay230*1.1</f>
        <v>1324.4</v>
      </c>
      <c r="J230" s="85" t="n">
        <v>2017</v>
      </c>
    </row>
    <row r="231" customFormat="false" ht="15" hidden="false" customHeight="false" outlineLevel="0" collapsed="false">
      <c r="A231" s="123" t="s">
        <v>147</v>
      </c>
      <c r="B231" s="115" t="s">
        <v>568</v>
      </c>
      <c r="C231" s="116" t="s">
        <v>818</v>
      </c>
      <c r="D231" s="116"/>
      <c r="E231" s="116"/>
      <c r="F231" s="116"/>
      <c r="G231" s="128" t="s">
        <v>640</v>
      </c>
      <c r="H231" s="105" t="n">
        <f aca="false">'[2]$ лето'!j231-'[2]$ лето'!au231-'[2]$ лето'!at231-'[2]$ лето'!as231-'[2]$ лето'!ar231-'[2]$ лето'!aq231-'[2]$ лето'!ap231-'[2]$ лето'!an231-'[2]$ лето'!am231-'[2]$ лето'!al231-'[2]$ лето'!ak231-'[2]$ лето'!aj231-'[2]$ лето'!ah231-'[2]$ лето'!ag231-'[2]$ лето'!af231-'[2]$ лето'!ae231-'[2]$ лето'!ad231-'[2]$ лето'!ab231-'[2]$ лето'!aa231-'[2]$ лето'!z231-'[2]$ лето'!y231-'[2]$ лето'!x231-'[2]$ лето'!v231-'[2]$ лето'!u231-'[2]$ лето'!t231-'[2]$ лето'!s231-'[2]$ лето'!r231-'[2]$ лето'!p231-'[2]$ лето'!o231-'[2]$ лето'!n231-'[2]$ лето'!m231-'[2]$ лето'!l231+'[2]$ лето'!k231+'[2]$ лето'!q231+'[2]$ лето'!w231+'[2]$ лето'!ac231+'[2]$ лето'!ai231+'[2]$ лето'!ao231</f>
        <v>4</v>
      </c>
      <c r="I231" s="109" t="n">
        <f aca="false">'[2]$ лето'!ay231*1.1</f>
        <v>1201.2</v>
      </c>
      <c r="J231" s="85" t="n">
        <v>2013</v>
      </c>
    </row>
    <row r="232" customFormat="false" ht="15" hidden="false" customHeight="false" outlineLevel="0" collapsed="false">
      <c r="A232" s="123" t="s">
        <v>147</v>
      </c>
      <c r="B232" s="115" t="s">
        <v>601</v>
      </c>
      <c r="C232" s="107" t="s">
        <v>819</v>
      </c>
      <c r="D232" s="107"/>
      <c r="E232" s="116"/>
      <c r="F232" s="116"/>
      <c r="G232" s="108" t="s">
        <v>820</v>
      </c>
      <c r="H232" s="105" t="n">
        <f aca="false">'[2]$ лето'!j232-'[2]$ лето'!au232-'[2]$ лето'!at232-'[2]$ лето'!as232-'[2]$ лето'!ar232-'[2]$ лето'!aq232-'[2]$ лето'!ap232-'[2]$ лето'!an232-'[2]$ лето'!am232-'[2]$ лето'!al232-'[2]$ лето'!ak232-'[2]$ лето'!aj232-'[2]$ лето'!ah232-'[2]$ лето'!ag232-'[2]$ лето'!af232-'[2]$ лето'!ae232-'[2]$ лето'!ad232-'[2]$ лето'!ab232-'[2]$ лето'!aa232-'[2]$ лето'!z232-'[2]$ лето'!y232-'[2]$ лето'!x232-'[2]$ лето'!v232-'[2]$ лето'!u232-'[2]$ лето'!t232-'[2]$ лето'!s232-'[2]$ лето'!r232-'[2]$ лето'!p232-'[2]$ лето'!o232-'[2]$ лето'!n232-'[2]$ лето'!m232-'[2]$ лето'!l232+'[2]$ лето'!k232+'[2]$ лето'!q232+'[2]$ лето'!w232+'[2]$ лето'!ac232+'[2]$ лето'!ai232+'[2]$ лето'!ao232</f>
        <v>2</v>
      </c>
      <c r="I232" s="109" t="n">
        <f aca="false">'[2]$ лето'!ay232*1.1</f>
        <v>1262.8</v>
      </c>
      <c r="J232" s="85" t="n">
        <v>2015</v>
      </c>
    </row>
    <row r="233" customFormat="false" ht="15" hidden="true" customHeight="false" outlineLevel="0" collapsed="false">
      <c r="A233" s="123" t="s">
        <v>147</v>
      </c>
      <c r="B233" s="115" t="s">
        <v>821</v>
      </c>
      <c r="C233" s="107" t="s">
        <v>706</v>
      </c>
      <c r="D233" s="107"/>
      <c r="E233" s="107"/>
      <c r="F233" s="107"/>
      <c r="G233" s="108"/>
      <c r="H233" s="105" t="n">
        <f aca="false">'[2]$ лето'!j233-'[2]$ лето'!au233-'[2]$ лето'!at233-'[2]$ лето'!as233-'[2]$ лето'!ar233-'[2]$ лето'!aq233-'[2]$ лето'!ap233-'[2]$ лето'!an233-'[2]$ лето'!am233-'[2]$ лето'!al233-'[2]$ лето'!ak233-'[2]$ лето'!aj233-'[2]$ лето'!ah233-'[2]$ лето'!ag233-'[2]$ лето'!af233-'[2]$ лето'!ae233-'[2]$ лето'!ad233-'[2]$ лето'!ab233-'[2]$ лето'!aa233-'[2]$ лето'!z233-'[2]$ лето'!y233-'[2]$ лето'!x233-'[2]$ лето'!v233-'[2]$ лето'!u233-'[2]$ лето'!t233-'[2]$ лето'!s233-'[2]$ лето'!r233-'[2]$ лето'!p233-'[2]$ лето'!o233-'[2]$ лето'!n233-'[2]$ лето'!m233-'[2]$ лето'!l233+'[2]$ лето'!k233+'[2]$ лето'!q233+'[2]$ лето'!w233+'[2]$ лето'!ac233+'[2]$ лето'!ai233+'[2]$ лето'!ao233</f>
        <v>0</v>
      </c>
      <c r="I233" s="109" t="n">
        <f aca="false">'[2]$ лето'!ay233*1.1</f>
        <v>1078</v>
      </c>
    </row>
    <row r="234" customFormat="false" ht="15" hidden="true" customHeight="false" outlineLevel="0" collapsed="false">
      <c r="A234" s="115" t="s">
        <v>147</v>
      </c>
      <c r="B234" s="115" t="s">
        <v>604</v>
      </c>
      <c r="C234" s="107" t="s">
        <v>822</v>
      </c>
      <c r="D234" s="107"/>
      <c r="E234" s="107"/>
      <c r="F234" s="107"/>
      <c r="G234" s="108"/>
      <c r="H234" s="105" t="n">
        <f aca="false">'[2]$ лето'!j234-'[2]$ лето'!au234-'[2]$ лето'!at234-'[2]$ лето'!as234-'[2]$ лето'!ar234-'[2]$ лето'!aq234-'[2]$ лето'!ap234-'[2]$ лето'!an234-'[2]$ лето'!am234-'[2]$ лето'!al234-'[2]$ лето'!ak234-'[2]$ лето'!aj234-'[2]$ лето'!ah234-'[2]$ лето'!ag234-'[2]$ лето'!af234-'[2]$ лето'!ae234-'[2]$ лето'!ad234-'[2]$ лето'!ab234-'[2]$ лето'!aa234-'[2]$ лето'!z234-'[2]$ лето'!y234-'[2]$ лето'!x234-'[2]$ лето'!v234-'[2]$ лето'!u234-'[2]$ лето'!t234-'[2]$ лето'!s234-'[2]$ лето'!r234-'[2]$ лето'!p234-'[2]$ лето'!o234-'[2]$ лето'!n234-'[2]$ лето'!m234-'[2]$ лето'!l234+'[2]$ лето'!k234+'[2]$ лето'!q234+'[2]$ лето'!w234+'[2]$ лето'!ac234+'[2]$ лето'!ai234+'[2]$ лето'!ao234</f>
        <v>0</v>
      </c>
      <c r="I234" s="109" t="n">
        <f aca="false">'[2]$ лето'!ay234*1.1</f>
        <v>1386</v>
      </c>
      <c r="J234" s="85" t="n">
        <v>2017</v>
      </c>
    </row>
    <row r="235" customFormat="false" ht="15" hidden="true" customHeight="false" outlineLevel="0" collapsed="false">
      <c r="A235" s="115" t="s">
        <v>147</v>
      </c>
      <c r="B235" s="115" t="s">
        <v>606</v>
      </c>
      <c r="C235" s="116" t="s">
        <v>804</v>
      </c>
      <c r="D235" s="116"/>
      <c r="E235" s="116"/>
      <c r="F235" s="116"/>
      <c r="G235" s="108"/>
      <c r="H235" s="105" t="n">
        <f aca="false">'[2]$ лето'!j235-'[2]$ лето'!au235-'[2]$ лето'!at235-'[2]$ лето'!as235-'[2]$ лето'!ar235-'[2]$ лето'!aq235-'[2]$ лето'!ap235-'[2]$ лето'!an235-'[2]$ лето'!am235-'[2]$ лето'!al235-'[2]$ лето'!ak235-'[2]$ лето'!aj235-'[2]$ лето'!ah235-'[2]$ лето'!ag235-'[2]$ лето'!af235-'[2]$ лето'!ae235-'[2]$ лето'!ad235-'[2]$ лето'!ab235-'[2]$ лето'!aa235-'[2]$ лето'!z235-'[2]$ лето'!y235-'[2]$ лето'!x235-'[2]$ лето'!v235-'[2]$ лето'!u235-'[2]$ лето'!t235-'[2]$ лето'!s235-'[2]$ лето'!r235-'[2]$ лето'!p235-'[2]$ лето'!o235-'[2]$ лето'!n235-'[2]$ лето'!m235-'[2]$ лето'!l235+'[2]$ лето'!k235+'[2]$ лето'!q235+'[2]$ лето'!w235+'[2]$ лето'!ac235+'[2]$ лето'!ai235+'[2]$ лето'!ao235</f>
        <v>0</v>
      </c>
      <c r="I235" s="109" t="n">
        <f aca="false">'[2]$ лето'!ay235*1.1</f>
        <v>1848</v>
      </c>
    </row>
    <row r="236" customFormat="false" ht="15" hidden="true" customHeight="false" outlineLevel="0" collapsed="false">
      <c r="A236" s="115" t="s">
        <v>147</v>
      </c>
      <c r="B236" s="115" t="s">
        <v>606</v>
      </c>
      <c r="C236" s="116" t="s">
        <v>823</v>
      </c>
      <c r="D236" s="116"/>
      <c r="E236" s="116"/>
      <c r="F236" s="116"/>
      <c r="G236" s="108"/>
      <c r="H236" s="105" t="n">
        <f aca="false">'[2]$ лето'!j236-'[2]$ лето'!au236-'[2]$ лето'!at236-'[2]$ лето'!as236-'[2]$ лето'!ar236-'[2]$ лето'!aq236-'[2]$ лето'!ap236-'[2]$ лето'!an236-'[2]$ лето'!am236-'[2]$ лето'!al236-'[2]$ лето'!ak236-'[2]$ лето'!aj236-'[2]$ лето'!ah236-'[2]$ лето'!ag236-'[2]$ лето'!af236-'[2]$ лето'!ae236-'[2]$ лето'!ad236-'[2]$ лето'!ab236-'[2]$ лето'!aa236-'[2]$ лето'!z236-'[2]$ лето'!y236-'[2]$ лето'!x236-'[2]$ лето'!v236-'[2]$ лето'!u236-'[2]$ лето'!t236-'[2]$ лето'!s236-'[2]$ лето'!r236-'[2]$ лето'!p236-'[2]$ лето'!o236-'[2]$ лето'!n236-'[2]$ лето'!m236-'[2]$ лето'!l236+'[2]$ лето'!k236+'[2]$ лето'!q236+'[2]$ лето'!w236+'[2]$ лето'!ac236+'[2]$ лето'!ai236+'[2]$ лето'!ao236</f>
        <v>0</v>
      </c>
      <c r="I236" s="109" t="n">
        <f aca="false">'[2]$ лето'!ay236*1.1</f>
        <v>1386</v>
      </c>
    </row>
    <row r="237" customFormat="false" ht="15" hidden="false" customHeight="false" outlineLevel="0" collapsed="false">
      <c r="A237" s="115" t="s">
        <v>147</v>
      </c>
      <c r="B237" s="115" t="s">
        <v>666</v>
      </c>
      <c r="C237" s="116" t="s">
        <v>824</v>
      </c>
      <c r="D237" s="116"/>
      <c r="E237" s="116"/>
      <c r="F237" s="116"/>
      <c r="G237" s="108"/>
      <c r="H237" s="105" t="n">
        <f aca="false">'[2]$ лето'!j237-'[2]$ лето'!au237-'[2]$ лето'!at237-'[2]$ лето'!as237-'[2]$ лето'!ar237-'[2]$ лето'!aq237-'[2]$ лето'!ap237-'[2]$ лето'!an237-'[2]$ лето'!am237-'[2]$ лето'!al237-'[2]$ лето'!ak237-'[2]$ лето'!aj237-'[2]$ лето'!ah237-'[2]$ лето'!ag237-'[2]$ лето'!af237-'[2]$ лето'!ae237-'[2]$ лето'!ad237-'[2]$ лето'!ab237-'[2]$ лето'!aa237-'[2]$ лето'!z237-'[2]$ лето'!y237-'[2]$ лето'!x237-'[2]$ лето'!v237-'[2]$ лето'!u237-'[2]$ лето'!t237-'[2]$ лето'!s237-'[2]$ лето'!r237-'[2]$ лето'!p237-'[2]$ лето'!o237-'[2]$ лето'!n237-'[2]$ лето'!m237-'[2]$ лето'!l237+'[2]$ лето'!k237+'[2]$ лето'!q237+'[2]$ лето'!w237+'[2]$ лето'!ac237+'[2]$ лето'!ai237+'[2]$ лето'!ao237</f>
        <v>4</v>
      </c>
      <c r="I237" s="109" t="n">
        <f aca="false">'[2]$ лето'!ay237*1.1</f>
        <v>1386</v>
      </c>
    </row>
    <row r="238" customFormat="false" ht="15" hidden="true" customHeight="false" outlineLevel="0" collapsed="false">
      <c r="A238" s="115" t="s">
        <v>147</v>
      </c>
      <c r="B238" s="115" t="s">
        <v>668</v>
      </c>
      <c r="C238" s="116" t="s">
        <v>796</v>
      </c>
      <c r="D238" s="116"/>
      <c r="E238" s="116"/>
      <c r="F238" s="116"/>
      <c r="G238" s="108" t="s">
        <v>609</v>
      </c>
      <c r="H238" s="105" t="n">
        <f aca="false">'[2]$ лето'!j238-'[2]$ лето'!au238-'[2]$ лето'!at238-'[2]$ лето'!as238-'[2]$ лето'!ar238-'[2]$ лето'!aq238-'[2]$ лето'!ap238-'[2]$ лето'!an238-'[2]$ лето'!am238-'[2]$ лето'!al238-'[2]$ лето'!ak238-'[2]$ лето'!aj238-'[2]$ лето'!ah238-'[2]$ лето'!ag238-'[2]$ лето'!af238-'[2]$ лето'!ae238-'[2]$ лето'!ad238-'[2]$ лето'!ab238-'[2]$ лето'!aa238-'[2]$ лето'!z238-'[2]$ лето'!y238-'[2]$ лето'!x238-'[2]$ лето'!v238-'[2]$ лето'!u238-'[2]$ лето'!t238-'[2]$ лето'!s238-'[2]$ лето'!r238-'[2]$ лето'!p238-'[2]$ лето'!o238-'[2]$ лето'!n238-'[2]$ лето'!m238-'[2]$ лето'!l238+'[2]$ лето'!k238+'[2]$ лето'!q238+'[2]$ лето'!w238+'[2]$ лето'!ac238+'[2]$ лето'!ai238+'[2]$ лето'!ao238</f>
        <v>0</v>
      </c>
      <c r="I238" s="109" t="n">
        <f aca="false">'[2]$ лето'!ay238*1.1</f>
        <v>1108.8</v>
      </c>
    </row>
    <row r="239" customFormat="false" ht="15" hidden="true" customHeight="false" outlineLevel="0" collapsed="false">
      <c r="A239" s="115" t="s">
        <v>147</v>
      </c>
      <c r="B239" s="115" t="s">
        <v>668</v>
      </c>
      <c r="C239" s="116" t="s">
        <v>825</v>
      </c>
      <c r="D239" s="116"/>
      <c r="E239" s="116"/>
      <c r="F239" s="116"/>
      <c r="G239" s="108" t="s">
        <v>609</v>
      </c>
      <c r="H239" s="105" t="n">
        <f aca="false">'[2]$ лето'!j239-'[2]$ лето'!au239-'[2]$ лето'!at239-'[2]$ лето'!as239-'[2]$ лето'!ar239-'[2]$ лето'!aq239-'[2]$ лето'!ap239-'[2]$ лето'!an239-'[2]$ лето'!am239-'[2]$ лето'!al239-'[2]$ лето'!ak239-'[2]$ лето'!aj239-'[2]$ лето'!ah239-'[2]$ лето'!ag239-'[2]$ лето'!af239-'[2]$ лето'!ae239-'[2]$ лето'!ad239-'[2]$ лето'!ab239-'[2]$ лето'!aa239-'[2]$ лето'!z239-'[2]$ лето'!y239-'[2]$ лето'!x239-'[2]$ лето'!v239-'[2]$ лето'!u239-'[2]$ лето'!t239-'[2]$ лето'!s239-'[2]$ лето'!r239-'[2]$ лето'!p239-'[2]$ лето'!o239-'[2]$ лето'!n239-'[2]$ лето'!m239-'[2]$ лето'!l239+'[2]$ лето'!k239+'[2]$ лето'!q239+'[2]$ лето'!w239+'[2]$ лето'!ac239+'[2]$ лето'!ai239+'[2]$ лето'!ao239</f>
        <v>0</v>
      </c>
      <c r="I239" s="109" t="n">
        <f aca="false">'[2]$ лето'!ay239*1.1</f>
        <v>1139.6</v>
      </c>
    </row>
    <row r="240" customFormat="false" ht="15" hidden="false" customHeight="false" outlineLevel="0" collapsed="false">
      <c r="A240" s="115" t="s">
        <v>147</v>
      </c>
      <c r="B240" s="115" t="s">
        <v>574</v>
      </c>
      <c r="C240" s="116" t="s">
        <v>670</v>
      </c>
      <c r="D240" s="116"/>
      <c r="E240" s="116"/>
      <c r="F240" s="116"/>
      <c r="G240" s="108" t="s">
        <v>576</v>
      </c>
      <c r="H240" s="105" t="n">
        <f aca="false">'[2]$ лето'!j240-'[2]$ лето'!au240-'[2]$ лето'!at240-'[2]$ лето'!as240-'[2]$ лето'!ar240-'[2]$ лето'!aq240-'[2]$ лето'!ap240-'[2]$ лето'!an240-'[2]$ лето'!am240-'[2]$ лето'!al240-'[2]$ лето'!ak240-'[2]$ лето'!aj240-'[2]$ лето'!ah240-'[2]$ лето'!ag240-'[2]$ лето'!af240-'[2]$ лето'!ae240-'[2]$ лето'!ad240-'[2]$ лето'!ab240-'[2]$ лето'!aa240-'[2]$ лето'!z240-'[2]$ лето'!y240-'[2]$ лето'!x240-'[2]$ лето'!v240-'[2]$ лето'!u240-'[2]$ лето'!t240-'[2]$ лето'!s240-'[2]$ лето'!r240-'[2]$ лето'!p240-'[2]$ лето'!o240-'[2]$ лето'!n240-'[2]$ лето'!m240-'[2]$ лето'!l240+'[2]$ лето'!k240+'[2]$ лето'!q240+'[2]$ лето'!w240+'[2]$ лето'!ac240+'[2]$ лето'!ai240+'[2]$ лето'!ao240</f>
        <v>8</v>
      </c>
      <c r="I240" s="109" t="n">
        <f aca="false">'[2]$ лето'!ay240*1.1</f>
        <v>1343.32</v>
      </c>
      <c r="J240" s="85" t="n">
        <v>2018</v>
      </c>
    </row>
    <row r="241" customFormat="false" ht="15" hidden="false" customHeight="false" outlineLevel="0" collapsed="false">
      <c r="A241" s="115" t="s">
        <v>147</v>
      </c>
      <c r="B241" s="115" t="s">
        <v>579</v>
      </c>
      <c r="C241" s="116" t="s">
        <v>826</v>
      </c>
      <c r="D241" s="116"/>
      <c r="E241" s="116"/>
      <c r="F241" s="116"/>
      <c r="G241" s="108" t="s">
        <v>520</v>
      </c>
      <c r="H241" s="105" t="n">
        <f aca="false">'[2]$ лето'!j241-'[2]$ лето'!au241-'[2]$ лето'!at241-'[2]$ лето'!as241-'[2]$ лето'!ar241-'[2]$ лето'!aq241-'[2]$ лето'!ap241-'[2]$ лето'!an241-'[2]$ лето'!am241-'[2]$ лето'!al241-'[2]$ лето'!ak241-'[2]$ лето'!aj241-'[2]$ лето'!ah241-'[2]$ лето'!ag241-'[2]$ лето'!af241-'[2]$ лето'!ae241-'[2]$ лето'!ad241-'[2]$ лето'!ab241-'[2]$ лето'!aa241-'[2]$ лето'!z241-'[2]$ лето'!y241-'[2]$ лето'!x241-'[2]$ лето'!v241-'[2]$ лето'!u241-'[2]$ лето'!t241-'[2]$ лето'!s241-'[2]$ лето'!r241-'[2]$ лето'!p241-'[2]$ лето'!o241-'[2]$ лето'!n241-'[2]$ лето'!m241-'[2]$ лето'!l241+'[2]$ лето'!k241+'[2]$ лето'!q241+'[2]$ лето'!w241+'[2]$ лето'!ac241+'[2]$ лето'!ai241+'[2]$ лето'!ao241</f>
        <v>8</v>
      </c>
      <c r="I241" s="109" t="n">
        <f aca="false">'[2]$ лето'!ay241*1.1</f>
        <v>957</v>
      </c>
    </row>
    <row r="242" customFormat="false" ht="15" hidden="true" customHeight="false" outlineLevel="0" collapsed="false">
      <c r="A242" s="115" t="s">
        <v>147</v>
      </c>
      <c r="B242" s="115" t="s">
        <v>583</v>
      </c>
      <c r="C242" s="116" t="s">
        <v>643</v>
      </c>
      <c r="D242" s="116"/>
      <c r="E242" s="116"/>
      <c r="F242" s="116"/>
      <c r="G242" s="108"/>
      <c r="H242" s="105" t="n">
        <f aca="false">'[2]$ лето'!j242-'[2]$ лето'!au242-'[2]$ лето'!at242-'[2]$ лето'!as242-'[2]$ лето'!ar242-'[2]$ лето'!aq242-'[2]$ лето'!ap242-'[2]$ лето'!an242-'[2]$ лето'!am242-'[2]$ лето'!al242-'[2]$ лето'!ak242-'[2]$ лето'!aj242-'[2]$ лето'!ah242-'[2]$ лето'!ag242-'[2]$ лето'!af242-'[2]$ лето'!ae242-'[2]$ лето'!ad242-'[2]$ лето'!ab242-'[2]$ лето'!aa242-'[2]$ лето'!z242-'[2]$ лето'!y242-'[2]$ лето'!x242-'[2]$ лето'!v242-'[2]$ лето'!u242-'[2]$ лето'!t242-'[2]$ лето'!s242-'[2]$ лето'!r242-'[2]$ лето'!p242-'[2]$ лето'!o242-'[2]$ лето'!n242-'[2]$ лето'!m242-'[2]$ лето'!l242+'[2]$ лето'!k242+'[2]$ лето'!q242+'[2]$ лето'!w242+'[2]$ лето'!ac242+'[2]$ лето'!ai242+'[2]$ лето'!ao242</f>
        <v>0</v>
      </c>
      <c r="I242" s="109" t="n">
        <f aca="false">'[2]$ лето'!ay242*1.1</f>
        <v>1293.6</v>
      </c>
    </row>
    <row r="243" customFormat="false" ht="15" hidden="false" customHeight="false" outlineLevel="0" collapsed="false">
      <c r="A243" s="115" t="s">
        <v>147</v>
      </c>
      <c r="B243" s="115" t="s">
        <v>583</v>
      </c>
      <c r="C243" s="116" t="s">
        <v>827</v>
      </c>
      <c r="D243" s="116"/>
      <c r="E243" s="116"/>
      <c r="F243" s="116"/>
      <c r="G243" s="128" t="s">
        <v>640</v>
      </c>
      <c r="H243" s="105" t="n">
        <f aca="false">'[2]$ лето'!j243-'[2]$ лето'!au243-'[2]$ лето'!at243-'[2]$ лето'!as243-'[2]$ лето'!ar243-'[2]$ лето'!aq243-'[2]$ лето'!ap243-'[2]$ лето'!an243-'[2]$ лето'!am243-'[2]$ лето'!al243-'[2]$ лето'!ak243-'[2]$ лето'!aj243-'[2]$ лето'!ah243-'[2]$ лето'!ag243-'[2]$ лето'!af243-'[2]$ лето'!ae243-'[2]$ лето'!ad243-'[2]$ лето'!ab243-'[2]$ лето'!aa243-'[2]$ лето'!z243-'[2]$ лето'!y243-'[2]$ лето'!x243-'[2]$ лето'!v243-'[2]$ лето'!u243-'[2]$ лето'!t243-'[2]$ лето'!s243-'[2]$ лето'!r243-'[2]$ лето'!p243-'[2]$ лето'!o243-'[2]$ лето'!n243-'[2]$ лето'!m243-'[2]$ лето'!l243+'[2]$ лето'!k243+'[2]$ лето'!q243+'[2]$ лето'!w243+'[2]$ лето'!ac243+'[2]$ лето'!ai243+'[2]$ лето'!ao243</f>
        <v>2</v>
      </c>
      <c r="I243" s="109" t="n">
        <f aca="false">'[2]$ лето'!ay243*1.1</f>
        <v>1355.2</v>
      </c>
      <c r="J243" s="85" t="n">
        <v>2018</v>
      </c>
    </row>
    <row r="244" customFormat="false" ht="15" hidden="false" customHeight="false" outlineLevel="0" collapsed="false">
      <c r="A244" s="115" t="s">
        <v>147</v>
      </c>
      <c r="B244" s="115" t="s">
        <v>583</v>
      </c>
      <c r="C244" s="107" t="s">
        <v>828</v>
      </c>
      <c r="D244" s="107"/>
      <c r="E244" s="116"/>
      <c r="F244" s="116"/>
      <c r="G244" s="108" t="s">
        <v>585</v>
      </c>
      <c r="H244" s="105" t="n">
        <f aca="false">'[2]$ лето'!j244-'[2]$ лето'!au244-'[2]$ лето'!at244-'[2]$ лето'!as244-'[2]$ лето'!ar244-'[2]$ лето'!aq244-'[2]$ лето'!ap244-'[2]$ лето'!an244-'[2]$ лето'!am244-'[2]$ лето'!al244-'[2]$ лето'!ak244-'[2]$ лето'!aj244-'[2]$ лето'!ah244-'[2]$ лето'!ag244-'[2]$ лето'!af244-'[2]$ лето'!ae244-'[2]$ лето'!ad244-'[2]$ лето'!ab244-'[2]$ лето'!aa244-'[2]$ лето'!z244-'[2]$ лето'!y244-'[2]$ лето'!x244-'[2]$ лето'!v244-'[2]$ лето'!u244-'[2]$ лето'!t244-'[2]$ лето'!s244-'[2]$ лето'!r244-'[2]$ лето'!p244-'[2]$ лето'!o244-'[2]$ лето'!n244-'[2]$ лето'!m244-'[2]$ лето'!l244+'[2]$ лето'!k244+'[2]$ лето'!q244+'[2]$ лето'!w244+'[2]$ лето'!ac244+'[2]$ лето'!ai244+'[2]$ лето'!ao244</f>
        <v>6</v>
      </c>
      <c r="I244" s="109" t="n">
        <f aca="false">'[2]$ лето'!ay244*1.1</f>
        <v>1293.6</v>
      </c>
      <c r="J244" s="85" t="n">
        <v>2018</v>
      </c>
    </row>
    <row r="245" customFormat="false" ht="15" hidden="false" customHeight="false" outlineLevel="0" collapsed="false">
      <c r="A245" s="115" t="s">
        <v>147</v>
      </c>
      <c r="B245" s="115" t="s">
        <v>613</v>
      </c>
      <c r="C245" s="107" t="s">
        <v>829</v>
      </c>
      <c r="D245" s="107"/>
      <c r="E245" s="116"/>
      <c r="F245" s="116"/>
      <c r="G245" s="108"/>
      <c r="H245" s="105" t="n">
        <f aca="false">'[2]$ лето'!j245-'[2]$ лето'!au245-'[2]$ лето'!at245-'[2]$ лето'!as245-'[2]$ лето'!ar245-'[2]$ лето'!aq245-'[2]$ лето'!ap245-'[2]$ лето'!an245-'[2]$ лето'!am245-'[2]$ лето'!al245-'[2]$ лето'!ak245-'[2]$ лето'!aj245-'[2]$ лето'!ah245-'[2]$ лето'!ag245-'[2]$ лето'!af245-'[2]$ лето'!ae245-'[2]$ лето'!ad245-'[2]$ лето'!ab245-'[2]$ лето'!aa245-'[2]$ лето'!z245-'[2]$ лето'!y245-'[2]$ лето'!x245-'[2]$ лето'!v245-'[2]$ лето'!u245-'[2]$ лето'!t245-'[2]$ лето'!s245-'[2]$ лето'!r245-'[2]$ лето'!p245-'[2]$ лето'!o245-'[2]$ лето'!n245-'[2]$ лето'!m245-'[2]$ лето'!l245+'[2]$ лето'!k245+'[2]$ лето'!q245+'[2]$ лето'!w245+'[2]$ лето'!ac245+'[2]$ лето'!ai245+'[2]$ лето'!ao245</f>
        <v>2</v>
      </c>
      <c r="I245" s="109" t="n">
        <f aca="false">'[2]$ лето'!ay245*1.1</f>
        <v>924</v>
      </c>
    </row>
    <row r="246" customFormat="false" ht="15" hidden="true" customHeight="false" outlineLevel="0" collapsed="false">
      <c r="A246" s="115" t="s">
        <v>147</v>
      </c>
      <c r="B246" s="115" t="s">
        <v>593</v>
      </c>
      <c r="C246" s="107" t="s">
        <v>696</v>
      </c>
      <c r="D246" s="107"/>
      <c r="E246" s="107"/>
      <c r="F246" s="107"/>
      <c r="G246" s="108" t="s">
        <v>595</v>
      </c>
      <c r="H246" s="105" t="n">
        <f aca="false">'[2]$ лето'!j246-'[2]$ лето'!au246-'[2]$ лето'!at246-'[2]$ лето'!as246-'[2]$ лето'!ar246-'[2]$ лето'!aq246-'[2]$ лето'!ap246-'[2]$ лето'!an246-'[2]$ лето'!am246-'[2]$ лето'!al246-'[2]$ лето'!ak246-'[2]$ лето'!aj246-'[2]$ лето'!ah246-'[2]$ лето'!ag246-'[2]$ лето'!af246-'[2]$ лето'!ae246-'[2]$ лето'!ad246-'[2]$ лето'!ab246-'[2]$ лето'!aa246-'[2]$ лето'!z246-'[2]$ лето'!y246-'[2]$ лето'!x246-'[2]$ лето'!v246-'[2]$ лето'!u246-'[2]$ лето'!t246-'[2]$ лето'!s246-'[2]$ лето'!r246-'[2]$ лето'!p246-'[2]$ лето'!o246-'[2]$ лето'!n246-'[2]$ лето'!m246-'[2]$ лето'!l246+'[2]$ лето'!k246+'[2]$ лето'!q246+'[2]$ лето'!w246+'[2]$ лето'!ac246+'[2]$ лето'!ai246+'[2]$ лето'!ao246</f>
        <v>0</v>
      </c>
      <c r="I246" s="109" t="n">
        <f aca="false">'[2]$ лето'!ay246*1.1</f>
        <v>1724.8</v>
      </c>
    </row>
    <row r="247" customFormat="false" ht="15" hidden="true" customHeight="false" outlineLevel="0" collapsed="false">
      <c r="A247" s="115" t="s">
        <v>147</v>
      </c>
      <c r="B247" s="115" t="s">
        <v>593</v>
      </c>
      <c r="C247" s="107" t="s">
        <v>830</v>
      </c>
      <c r="D247" s="107"/>
      <c r="E247" s="107"/>
      <c r="F247" s="107"/>
      <c r="G247" s="108"/>
      <c r="H247" s="105" t="n">
        <f aca="false">'[2]$ лето'!j247-'[2]$ лето'!au247-'[2]$ лето'!at247-'[2]$ лето'!as247-'[2]$ лето'!ar247-'[2]$ лето'!aq247-'[2]$ лето'!ap247-'[2]$ лето'!an247-'[2]$ лето'!am247-'[2]$ лето'!al247-'[2]$ лето'!ak247-'[2]$ лето'!aj247-'[2]$ лето'!ah247-'[2]$ лето'!ag247-'[2]$ лето'!af247-'[2]$ лето'!ae247-'[2]$ лето'!ad247-'[2]$ лето'!ab247-'[2]$ лето'!aa247-'[2]$ лето'!z247-'[2]$ лето'!y247-'[2]$ лето'!x247-'[2]$ лето'!v247-'[2]$ лето'!u247-'[2]$ лето'!t247-'[2]$ лето'!s247-'[2]$ лето'!r247-'[2]$ лето'!p247-'[2]$ лето'!o247-'[2]$ лето'!n247-'[2]$ лето'!m247-'[2]$ лето'!l247+'[2]$ лето'!k247+'[2]$ лето'!q247+'[2]$ лето'!w247+'[2]$ лето'!ac247+'[2]$ лето'!ai247+'[2]$ лето'!ao247</f>
        <v>0</v>
      </c>
      <c r="I247" s="109" t="n">
        <f aca="false">'[2]$ лето'!ay247*1.1</f>
        <v>2032.8</v>
      </c>
    </row>
    <row r="248" customFormat="false" ht="15" hidden="false" customHeight="false" outlineLevel="0" collapsed="false">
      <c r="A248" s="115" t="s">
        <v>147</v>
      </c>
      <c r="B248" s="115" t="s">
        <v>617</v>
      </c>
      <c r="C248" s="107" t="s">
        <v>831</v>
      </c>
      <c r="D248" s="107"/>
      <c r="E248" s="116" t="n">
        <v>88</v>
      </c>
      <c r="F248" s="116" t="s">
        <v>832</v>
      </c>
      <c r="G248" s="108" t="s">
        <v>625</v>
      </c>
      <c r="H248" s="105" t="n">
        <f aca="false">'[2]$ лето'!j248-'[2]$ лето'!au248-'[2]$ лето'!at248-'[2]$ лето'!as248-'[2]$ лето'!ar248-'[2]$ лето'!aq248-'[2]$ лето'!ap248-'[2]$ лето'!an248-'[2]$ лето'!am248-'[2]$ лето'!al248-'[2]$ лето'!ak248-'[2]$ лето'!aj248-'[2]$ лето'!ah248-'[2]$ лето'!ag248-'[2]$ лето'!af248-'[2]$ лето'!ae248-'[2]$ лето'!ad248-'[2]$ лето'!ab248-'[2]$ лето'!aa248-'[2]$ лето'!z248-'[2]$ лето'!y248-'[2]$ лето'!x248-'[2]$ лето'!v248-'[2]$ лето'!u248-'[2]$ лето'!t248-'[2]$ лето'!s248-'[2]$ лето'!r248-'[2]$ лето'!p248-'[2]$ лето'!o248-'[2]$ лето'!n248-'[2]$ лето'!m248-'[2]$ лето'!l248+'[2]$ лето'!k248+'[2]$ лето'!q248+'[2]$ лето'!w248+'[2]$ лето'!ac248+'[2]$ лето'!ai248+'[2]$ лето'!ao248</f>
        <v>2</v>
      </c>
      <c r="I248" s="109" t="n">
        <f aca="false">'[2]$ лето'!ay248*1.1</f>
        <v>1016.4</v>
      </c>
      <c r="J248" s="85" t="n">
        <v>2018</v>
      </c>
    </row>
    <row r="249" customFormat="false" ht="15" hidden="true" customHeight="false" outlineLevel="0" collapsed="false">
      <c r="A249" s="115" t="s">
        <v>147</v>
      </c>
      <c r="B249" s="115" t="s">
        <v>833</v>
      </c>
      <c r="C249" s="116" t="s">
        <v>834</v>
      </c>
      <c r="D249" s="116"/>
      <c r="E249" s="116"/>
      <c r="F249" s="116"/>
      <c r="G249" s="108"/>
      <c r="H249" s="105" t="n">
        <f aca="false">'[2]$ лето'!j249-'[2]$ лето'!au249-'[2]$ лето'!at249-'[2]$ лето'!as249-'[2]$ лето'!ar249-'[2]$ лето'!aq249-'[2]$ лето'!ap249-'[2]$ лето'!an249-'[2]$ лето'!am249-'[2]$ лето'!al249-'[2]$ лето'!ak249-'[2]$ лето'!aj249-'[2]$ лето'!ah249-'[2]$ лето'!ag249-'[2]$ лето'!af249-'[2]$ лето'!ae249-'[2]$ лето'!ad249-'[2]$ лето'!ab249-'[2]$ лето'!aa249-'[2]$ лето'!z249-'[2]$ лето'!y249-'[2]$ лето'!x249-'[2]$ лето'!v249-'[2]$ лето'!u249-'[2]$ лето'!t249-'[2]$ лето'!s249-'[2]$ лето'!r249-'[2]$ лето'!p249-'[2]$ лето'!o249-'[2]$ лето'!n249-'[2]$ лето'!m249-'[2]$ лето'!l249+'[2]$ лето'!k249+'[2]$ лето'!q249+'[2]$ лето'!w249+'[2]$ лето'!ac249+'[2]$ лето'!ai249+'[2]$ лето'!ao249</f>
        <v>0</v>
      </c>
      <c r="I249" s="109" t="n">
        <f aca="false">'[2]$ лето'!ay249*1.1</f>
        <v>985.6</v>
      </c>
      <c r="J249" s="85" t="n">
        <v>2017</v>
      </c>
    </row>
    <row r="250" customFormat="false" ht="15" hidden="true" customHeight="false" outlineLevel="0" collapsed="false">
      <c r="A250" s="115" t="s">
        <v>147</v>
      </c>
      <c r="B250" s="115" t="s">
        <v>621</v>
      </c>
      <c r="C250" s="116" t="s">
        <v>835</v>
      </c>
      <c r="D250" s="116"/>
      <c r="E250" s="116"/>
      <c r="F250" s="116"/>
      <c r="G250" s="108" t="s">
        <v>520</v>
      </c>
      <c r="H250" s="105" t="n">
        <f aca="false">'[2]$ лето'!j250-'[2]$ лето'!au250-'[2]$ лето'!at250-'[2]$ лето'!as250-'[2]$ лето'!ar250-'[2]$ лето'!aq250-'[2]$ лето'!ap250-'[2]$ лето'!an250-'[2]$ лето'!am250-'[2]$ лето'!al250-'[2]$ лето'!ak250-'[2]$ лето'!aj250-'[2]$ лето'!ah250-'[2]$ лето'!ag250-'[2]$ лето'!af250-'[2]$ лето'!ae250-'[2]$ лето'!ad250-'[2]$ лето'!ab250-'[2]$ лето'!aa250-'[2]$ лето'!z250-'[2]$ лето'!y250-'[2]$ лето'!x250-'[2]$ лето'!v250-'[2]$ лето'!u250-'[2]$ лето'!t250-'[2]$ лето'!s250-'[2]$ лето'!r250-'[2]$ лето'!p250-'[2]$ лето'!o250-'[2]$ лето'!n250-'[2]$ лето'!m250-'[2]$ лето'!l250+'[2]$ лето'!k250+'[2]$ лето'!q250+'[2]$ лето'!w250+'[2]$ лето'!ac250+'[2]$ лето'!ai250+'[2]$ лето'!ao250</f>
        <v>0</v>
      </c>
      <c r="I250" s="109" t="n">
        <f aca="false">'[2]$ лето'!ay250*1.1</f>
        <v>985.6</v>
      </c>
    </row>
    <row r="251" customFormat="false" ht="15" hidden="true" customHeight="false" outlineLevel="0" collapsed="false">
      <c r="A251" s="115" t="s">
        <v>147</v>
      </c>
      <c r="B251" s="115" t="s">
        <v>623</v>
      </c>
      <c r="C251" s="116" t="s">
        <v>836</v>
      </c>
      <c r="D251" s="116"/>
      <c r="E251" s="116"/>
      <c r="F251" s="116"/>
      <c r="G251" s="108" t="s">
        <v>837</v>
      </c>
      <c r="H251" s="105" t="n">
        <f aca="false">'[2]$ лето'!j251-'[2]$ лето'!au251-'[2]$ лето'!at251-'[2]$ лето'!as251-'[2]$ лето'!ar251-'[2]$ лето'!aq251-'[2]$ лето'!ap251-'[2]$ лето'!an251-'[2]$ лето'!am251-'[2]$ лето'!al251-'[2]$ лето'!ak251-'[2]$ лето'!aj251-'[2]$ лето'!ah251-'[2]$ лето'!ag251-'[2]$ лето'!af251-'[2]$ лето'!ae251-'[2]$ лето'!ad251-'[2]$ лето'!ab251-'[2]$ лето'!aa251-'[2]$ лето'!z251-'[2]$ лето'!y251-'[2]$ лето'!x251-'[2]$ лето'!v251-'[2]$ лето'!u251-'[2]$ лето'!t251-'[2]$ лето'!s251-'[2]$ лето'!r251-'[2]$ лето'!p251-'[2]$ лето'!o251-'[2]$ лето'!n251-'[2]$ лето'!m251-'[2]$ лето'!l251+'[2]$ лето'!k251+'[2]$ лето'!q251+'[2]$ лето'!w251+'[2]$ лето'!ac251+'[2]$ лето'!ai251+'[2]$ лето'!ao251</f>
        <v>0</v>
      </c>
      <c r="I251" s="109" t="n">
        <f aca="false">'[2]$ лето'!ay251*1.1</f>
        <v>954.8</v>
      </c>
    </row>
    <row r="252" customFormat="false" ht="15" hidden="true" customHeight="false" outlineLevel="0" collapsed="false">
      <c r="A252" s="115" t="s">
        <v>147</v>
      </c>
      <c r="B252" s="115" t="s">
        <v>589</v>
      </c>
      <c r="C252" s="119" t="s">
        <v>838</v>
      </c>
      <c r="D252" s="119"/>
      <c r="E252" s="119"/>
      <c r="F252" s="119"/>
      <c r="G252" s="108"/>
      <c r="H252" s="105" t="n">
        <f aca="false">'[2]$ лето'!j252-'[2]$ лето'!au252-'[2]$ лето'!at252-'[2]$ лето'!as252-'[2]$ лето'!ar252-'[2]$ лето'!aq252-'[2]$ лето'!ap252-'[2]$ лето'!an252-'[2]$ лето'!am252-'[2]$ лето'!al252-'[2]$ лето'!ak252-'[2]$ лето'!aj252-'[2]$ лето'!ah252-'[2]$ лето'!ag252-'[2]$ лето'!af252-'[2]$ лето'!ae252-'[2]$ лето'!ad252-'[2]$ лето'!ab252-'[2]$ лето'!aa252-'[2]$ лето'!z252-'[2]$ лето'!y252-'[2]$ лето'!x252-'[2]$ лето'!v252-'[2]$ лето'!u252-'[2]$ лето'!t252-'[2]$ лето'!s252-'[2]$ лето'!r252-'[2]$ лето'!p252-'[2]$ лето'!o252-'[2]$ лето'!n252-'[2]$ лето'!m252-'[2]$ лето'!l252+'[2]$ лето'!k252+'[2]$ лето'!q252+'[2]$ лето'!w252+'[2]$ лето'!ac252+'[2]$ лето'!ai252+'[2]$ лето'!ao252</f>
        <v>0</v>
      </c>
      <c r="I252" s="109" t="n">
        <f aca="false">'[2]$ лето'!ay252*1.1</f>
        <v>1386</v>
      </c>
    </row>
    <row r="253" customFormat="false" ht="15" hidden="false" customHeight="false" outlineLevel="0" collapsed="false">
      <c r="A253" s="115" t="s">
        <v>147</v>
      </c>
      <c r="B253" s="115" t="s">
        <v>589</v>
      </c>
      <c r="C253" s="119" t="s">
        <v>839</v>
      </c>
      <c r="D253" s="119"/>
      <c r="E253" s="119"/>
      <c r="F253" s="119"/>
      <c r="G253" s="108" t="s">
        <v>626</v>
      </c>
      <c r="H253" s="105" t="n">
        <f aca="false">'[2]$ лето'!j253-'[2]$ лето'!au253-'[2]$ лето'!at253-'[2]$ лето'!as253-'[2]$ лето'!ar253-'[2]$ лето'!aq253-'[2]$ лето'!ap253-'[2]$ лето'!an253-'[2]$ лето'!am253-'[2]$ лето'!al253-'[2]$ лето'!ak253-'[2]$ лето'!aj253-'[2]$ лето'!ah253-'[2]$ лето'!ag253-'[2]$ лето'!af253-'[2]$ лето'!ae253-'[2]$ лето'!ad253-'[2]$ лето'!ab253-'[2]$ лето'!aa253-'[2]$ лето'!z253-'[2]$ лето'!y253-'[2]$ лето'!x253-'[2]$ лето'!v253-'[2]$ лето'!u253-'[2]$ лето'!t253-'[2]$ лето'!s253-'[2]$ лето'!r253-'[2]$ лето'!p253-'[2]$ лето'!o253-'[2]$ лето'!n253-'[2]$ лето'!m253-'[2]$ лето'!l253+'[2]$ лето'!k253+'[2]$ лето'!q253+'[2]$ лето'!w253+'[2]$ лето'!ac253+'[2]$ лето'!ai253+'[2]$ лето'!ao253</f>
        <v>10</v>
      </c>
      <c r="I253" s="109" t="n">
        <f aca="false">'[2]$ лето'!ay253*1.1</f>
        <v>1624.48</v>
      </c>
      <c r="J253" s="85" t="n">
        <v>2017</v>
      </c>
    </row>
    <row r="254" customFormat="false" ht="15" hidden="false" customHeight="false" outlineLevel="0" collapsed="false">
      <c r="A254" s="115" t="s">
        <v>152</v>
      </c>
      <c r="B254" s="115" t="s">
        <v>566</v>
      </c>
      <c r="C254" s="119" t="s">
        <v>840</v>
      </c>
      <c r="D254" s="119"/>
      <c r="E254" s="119"/>
      <c r="F254" s="119"/>
      <c r="G254" s="108" t="s">
        <v>563</v>
      </c>
      <c r="H254" s="105" t="n">
        <f aca="false">'[2]$ лето'!j254-'[2]$ лето'!au254-'[2]$ лето'!at254-'[2]$ лето'!as254-'[2]$ лето'!ar254-'[2]$ лето'!aq254-'[2]$ лето'!ap254-'[2]$ лето'!an254-'[2]$ лето'!am254-'[2]$ лето'!al254-'[2]$ лето'!ak254-'[2]$ лето'!aj254-'[2]$ лето'!ah254-'[2]$ лето'!ag254-'[2]$ лето'!af254-'[2]$ лето'!ae254-'[2]$ лето'!ad254-'[2]$ лето'!ab254-'[2]$ лето'!aa254-'[2]$ лето'!z254-'[2]$ лето'!y254-'[2]$ лето'!x254-'[2]$ лето'!v254-'[2]$ лето'!u254-'[2]$ лето'!t254-'[2]$ лето'!s254-'[2]$ лето'!r254-'[2]$ лето'!p254-'[2]$ лето'!o254-'[2]$ лето'!n254-'[2]$ лето'!m254-'[2]$ лето'!l254+'[2]$ лето'!k254+'[2]$ лето'!q254+'[2]$ лето'!w254+'[2]$ лето'!ac254+'[2]$ лето'!ai254+'[2]$ лето'!ao254</f>
        <v>2</v>
      </c>
      <c r="I254" s="109" t="n">
        <f aca="false">'[2]$ лето'!ay254*1.1</f>
        <v>1047.2</v>
      </c>
    </row>
    <row r="255" customFormat="false" ht="15" hidden="true" customHeight="false" outlineLevel="0" collapsed="false">
      <c r="A255" s="115" t="s">
        <v>152</v>
      </c>
      <c r="B255" s="115" t="s">
        <v>566</v>
      </c>
      <c r="C255" s="119" t="s">
        <v>841</v>
      </c>
      <c r="D255" s="119"/>
      <c r="E255" s="119"/>
      <c r="F255" s="119"/>
      <c r="G255" s="108" t="s">
        <v>563</v>
      </c>
      <c r="H255" s="105" t="n">
        <f aca="false">'[2]$ лето'!j255-'[2]$ лето'!au255-'[2]$ лето'!at255-'[2]$ лето'!as255-'[2]$ лето'!ar255-'[2]$ лето'!aq255-'[2]$ лето'!ap255-'[2]$ лето'!an255-'[2]$ лето'!am255-'[2]$ лето'!al255-'[2]$ лето'!ak255-'[2]$ лето'!aj255-'[2]$ лето'!ah255-'[2]$ лето'!ag255-'[2]$ лето'!af255-'[2]$ лето'!ae255-'[2]$ лето'!ad255-'[2]$ лето'!ab255-'[2]$ лето'!aa255-'[2]$ лето'!z255-'[2]$ лето'!y255-'[2]$ лето'!x255-'[2]$ лето'!v255-'[2]$ лето'!u255-'[2]$ лето'!t255-'[2]$ лето'!s255-'[2]$ лето'!r255-'[2]$ лето'!p255-'[2]$ лето'!o255-'[2]$ лето'!n255-'[2]$ лето'!m255-'[2]$ лето'!l255+'[2]$ лето'!k255+'[2]$ лето'!q255+'[2]$ лето'!w255+'[2]$ лето'!ac255+'[2]$ лето'!ai255+'[2]$ лето'!ao255</f>
        <v>0</v>
      </c>
      <c r="I255" s="109" t="n">
        <f aca="false">'[2]$ лето'!ay255*1.1</f>
        <v>985.6</v>
      </c>
    </row>
    <row r="256" customFormat="false" ht="15" hidden="true" customHeight="false" outlineLevel="0" collapsed="false">
      <c r="A256" s="115" t="s">
        <v>152</v>
      </c>
      <c r="B256" s="115" t="s">
        <v>568</v>
      </c>
      <c r="C256" s="116" t="s">
        <v>842</v>
      </c>
      <c r="D256" s="116"/>
      <c r="E256" s="116"/>
      <c r="F256" s="116"/>
      <c r="G256" s="108" t="s">
        <v>843</v>
      </c>
      <c r="H256" s="105" t="n">
        <f aca="false">'[2]$ лето'!j256-'[2]$ лето'!au256-'[2]$ лето'!at256-'[2]$ лето'!as256-'[2]$ лето'!ar256-'[2]$ лето'!aq256-'[2]$ лето'!ap256-'[2]$ лето'!an256-'[2]$ лето'!am256-'[2]$ лето'!al256-'[2]$ лето'!ak256-'[2]$ лето'!aj256-'[2]$ лето'!ah256-'[2]$ лето'!ag256-'[2]$ лето'!af256-'[2]$ лето'!ae256-'[2]$ лето'!ad256-'[2]$ лето'!ab256-'[2]$ лето'!aa256-'[2]$ лето'!z256-'[2]$ лето'!y256-'[2]$ лето'!x256-'[2]$ лето'!v256-'[2]$ лето'!u256-'[2]$ лето'!t256-'[2]$ лето'!s256-'[2]$ лето'!r256-'[2]$ лето'!p256-'[2]$ лето'!o256-'[2]$ лето'!n256-'[2]$ лето'!m256-'[2]$ лето'!l256+'[2]$ лето'!k256+'[2]$ лето'!q256+'[2]$ лето'!w256+'[2]$ лето'!ac256+'[2]$ лето'!ai256+'[2]$ лето'!ao256</f>
        <v>0</v>
      </c>
      <c r="I256" s="109" t="n">
        <f aca="false">'[2]$ лето'!ay256*1.1</f>
        <v>1201.2</v>
      </c>
      <c r="J256" s="85" t="n">
        <v>2018</v>
      </c>
    </row>
    <row r="257" customFormat="false" ht="15" hidden="true" customHeight="false" outlineLevel="0" collapsed="false">
      <c r="A257" s="115" t="s">
        <v>152</v>
      </c>
      <c r="B257" s="115" t="s">
        <v>844</v>
      </c>
      <c r="C257" s="116" t="s">
        <v>845</v>
      </c>
      <c r="D257" s="116"/>
      <c r="E257" s="116"/>
      <c r="F257" s="116"/>
      <c r="G257" s="108"/>
      <c r="H257" s="105" t="n">
        <f aca="false">'[2]$ лето'!j257-'[2]$ лето'!au257-'[2]$ лето'!at257-'[2]$ лето'!as257-'[2]$ лето'!ar257-'[2]$ лето'!aq257-'[2]$ лето'!ap257-'[2]$ лето'!an257-'[2]$ лето'!am257-'[2]$ лето'!al257-'[2]$ лето'!ak257-'[2]$ лето'!aj257-'[2]$ лето'!ah257-'[2]$ лето'!ag257-'[2]$ лето'!af257-'[2]$ лето'!ae257-'[2]$ лето'!ad257-'[2]$ лето'!ab257-'[2]$ лето'!aa257-'[2]$ лето'!z257-'[2]$ лето'!y257-'[2]$ лето'!x257-'[2]$ лето'!v257-'[2]$ лето'!u257-'[2]$ лето'!t257-'[2]$ лето'!s257-'[2]$ лето'!r257-'[2]$ лето'!p257-'[2]$ лето'!o257-'[2]$ лето'!n257-'[2]$ лето'!m257-'[2]$ лето'!l257+'[2]$ лето'!k257+'[2]$ лето'!q257+'[2]$ лето'!w257+'[2]$ лето'!ac257+'[2]$ лето'!ai257+'[2]$ лето'!ao257</f>
        <v>0</v>
      </c>
      <c r="I257" s="109" t="n">
        <f aca="false">'[2]$ лето'!ay257*1.1</f>
        <v>1108.8</v>
      </c>
    </row>
    <row r="258" customFormat="false" ht="15" hidden="true" customHeight="false" outlineLevel="0" collapsed="false">
      <c r="A258" s="115" t="s">
        <v>152</v>
      </c>
      <c r="B258" s="115" t="s">
        <v>601</v>
      </c>
      <c r="C258" s="107" t="s">
        <v>846</v>
      </c>
      <c r="D258" s="107"/>
      <c r="E258" s="107"/>
      <c r="F258" s="107"/>
      <c r="G258" s="108" t="s">
        <v>847</v>
      </c>
      <c r="H258" s="105" t="n">
        <f aca="false">'[2]$ лето'!j258-'[2]$ лето'!au258-'[2]$ лето'!at258-'[2]$ лето'!as258-'[2]$ лето'!ar258-'[2]$ лето'!aq258-'[2]$ лето'!ap258-'[2]$ лето'!an258-'[2]$ лето'!am258-'[2]$ лето'!al258-'[2]$ лето'!ak258-'[2]$ лето'!aj258-'[2]$ лето'!ah258-'[2]$ лето'!ag258-'[2]$ лето'!af258-'[2]$ лето'!ae258-'[2]$ лето'!ad258-'[2]$ лето'!ab258-'[2]$ лето'!aa258-'[2]$ лето'!z258-'[2]$ лето'!y258-'[2]$ лето'!x258-'[2]$ лето'!v258-'[2]$ лето'!u258-'[2]$ лето'!t258-'[2]$ лето'!s258-'[2]$ лето'!r258-'[2]$ лето'!p258-'[2]$ лето'!o258-'[2]$ лето'!n258-'[2]$ лето'!m258-'[2]$ лето'!l258+'[2]$ лето'!k258+'[2]$ лето'!q258+'[2]$ лето'!w258+'[2]$ лето'!ac258+'[2]$ лето'!ai258+'[2]$ лето'!ao258</f>
        <v>0</v>
      </c>
      <c r="I258" s="109" t="n">
        <f aca="false">'[2]$ лето'!ay258*1.1</f>
        <v>1386</v>
      </c>
      <c r="J258" s="85" t="n">
        <v>2017</v>
      </c>
    </row>
    <row r="259" customFormat="false" ht="15" hidden="true" customHeight="false" outlineLevel="0" collapsed="false">
      <c r="A259" s="115" t="s">
        <v>152</v>
      </c>
      <c r="B259" s="115" t="s">
        <v>601</v>
      </c>
      <c r="C259" s="107" t="s">
        <v>848</v>
      </c>
      <c r="D259" s="107"/>
      <c r="E259" s="107"/>
      <c r="F259" s="107"/>
      <c r="G259" s="108" t="s">
        <v>849</v>
      </c>
      <c r="H259" s="105" t="n">
        <f aca="false">'[2]$ лето'!j259-'[2]$ лето'!au259-'[2]$ лето'!at259-'[2]$ лето'!as259-'[2]$ лето'!ar259-'[2]$ лето'!aq259-'[2]$ лето'!ap259-'[2]$ лето'!an259-'[2]$ лето'!am259-'[2]$ лето'!al259-'[2]$ лето'!ak259-'[2]$ лето'!aj259-'[2]$ лето'!ah259-'[2]$ лето'!ag259-'[2]$ лето'!af259-'[2]$ лето'!ae259-'[2]$ лето'!ad259-'[2]$ лето'!ab259-'[2]$ лето'!aa259-'[2]$ лето'!z259-'[2]$ лето'!y259-'[2]$ лето'!x259-'[2]$ лето'!v259-'[2]$ лето'!u259-'[2]$ лето'!t259-'[2]$ лето'!s259-'[2]$ лето'!r259-'[2]$ лето'!p259-'[2]$ лето'!o259-'[2]$ лето'!n259-'[2]$ лето'!m259-'[2]$ лето'!l259+'[2]$ лето'!k259+'[2]$ лето'!q259+'[2]$ лето'!w259+'[2]$ лето'!ac259+'[2]$ лето'!ai259+'[2]$ лето'!ao259</f>
        <v>0</v>
      </c>
      <c r="I259" s="109" t="n">
        <f aca="false">'[2]$ лето'!ay259*1.1</f>
        <v>1570.8</v>
      </c>
      <c r="J259" s="85" t="n">
        <v>2018</v>
      </c>
    </row>
    <row r="260" customFormat="false" ht="15" hidden="true" customHeight="false" outlineLevel="0" collapsed="false">
      <c r="A260" s="115" t="s">
        <v>152</v>
      </c>
      <c r="B260" s="115" t="s">
        <v>601</v>
      </c>
      <c r="C260" s="107" t="s">
        <v>850</v>
      </c>
      <c r="D260" s="107"/>
      <c r="E260" s="107"/>
      <c r="F260" s="107"/>
      <c r="G260" s="108" t="s">
        <v>663</v>
      </c>
      <c r="H260" s="105" t="n">
        <f aca="false">'[2]$ лето'!j260-'[2]$ лето'!au260-'[2]$ лето'!at260-'[2]$ лето'!as260-'[2]$ лето'!ar260-'[2]$ лето'!aq260-'[2]$ лето'!ap260-'[2]$ лето'!an260-'[2]$ лето'!am260-'[2]$ лето'!al260-'[2]$ лето'!ak260-'[2]$ лето'!aj260-'[2]$ лето'!ah260-'[2]$ лето'!ag260-'[2]$ лето'!af260-'[2]$ лето'!ae260-'[2]$ лето'!ad260-'[2]$ лето'!ab260-'[2]$ лето'!aa260-'[2]$ лето'!z260-'[2]$ лето'!y260-'[2]$ лето'!x260-'[2]$ лето'!v260-'[2]$ лето'!u260-'[2]$ лето'!t260-'[2]$ лето'!s260-'[2]$ лето'!r260-'[2]$ лето'!p260-'[2]$ лето'!o260-'[2]$ лето'!n260-'[2]$ лето'!m260-'[2]$ лето'!l260+'[2]$ лето'!k260+'[2]$ лето'!q260+'[2]$ лето'!w260+'[2]$ лето'!ac260+'[2]$ лето'!ai260+'[2]$ лето'!ao260</f>
        <v>0</v>
      </c>
      <c r="I260" s="109" t="n">
        <f aca="false">'[2]$ лето'!ay260*1.1</f>
        <v>1632.4</v>
      </c>
      <c r="J260" s="85" t="n">
        <v>2018</v>
      </c>
    </row>
    <row r="261" customFormat="false" ht="15" hidden="true" customHeight="false" outlineLevel="0" collapsed="false">
      <c r="A261" s="115" t="s">
        <v>152</v>
      </c>
      <c r="B261" s="115" t="s">
        <v>601</v>
      </c>
      <c r="C261" s="107" t="s">
        <v>851</v>
      </c>
      <c r="D261" s="107"/>
      <c r="E261" s="107"/>
      <c r="F261" s="107"/>
      <c r="G261" s="108"/>
      <c r="H261" s="105" t="n">
        <f aca="false">'[2]$ лето'!j261-'[2]$ лето'!au261-'[2]$ лето'!at261-'[2]$ лето'!as261-'[2]$ лето'!ar261-'[2]$ лето'!aq261-'[2]$ лето'!ap261-'[2]$ лето'!an261-'[2]$ лето'!am261-'[2]$ лето'!al261-'[2]$ лето'!ak261-'[2]$ лето'!aj261-'[2]$ лето'!ah261-'[2]$ лето'!ag261-'[2]$ лето'!af261-'[2]$ лето'!ae261-'[2]$ лето'!ad261-'[2]$ лето'!ab261-'[2]$ лето'!aa261-'[2]$ лето'!z261-'[2]$ лето'!y261-'[2]$ лето'!x261-'[2]$ лето'!v261-'[2]$ лето'!u261-'[2]$ лето'!t261-'[2]$ лето'!s261-'[2]$ лето'!r261-'[2]$ лето'!p261-'[2]$ лето'!o261-'[2]$ лето'!n261-'[2]$ лето'!m261-'[2]$ лето'!l261+'[2]$ лето'!k261+'[2]$ лето'!q261+'[2]$ лето'!w261+'[2]$ лето'!ac261+'[2]$ лето'!ai261+'[2]$ лето'!ao261</f>
        <v>0</v>
      </c>
      <c r="I261" s="109" t="n">
        <f aca="false">'[2]$ лето'!ay261*1.1</f>
        <v>1386</v>
      </c>
    </row>
    <row r="262" customFormat="false" ht="15" hidden="true" customHeight="false" outlineLevel="0" collapsed="false">
      <c r="A262" s="115" t="s">
        <v>152</v>
      </c>
      <c r="B262" s="115" t="s">
        <v>658</v>
      </c>
      <c r="C262" s="107" t="s">
        <v>852</v>
      </c>
      <c r="D262" s="107"/>
      <c r="E262" s="107"/>
      <c r="F262" s="107"/>
      <c r="G262" s="108" t="s">
        <v>640</v>
      </c>
      <c r="H262" s="105" t="n">
        <f aca="false">'[2]$ лето'!j262-'[2]$ лето'!au262-'[2]$ лето'!at262-'[2]$ лето'!as262-'[2]$ лето'!ar262-'[2]$ лето'!aq262-'[2]$ лето'!ap262-'[2]$ лето'!an262-'[2]$ лето'!am262-'[2]$ лето'!al262-'[2]$ лето'!ak262-'[2]$ лето'!aj262-'[2]$ лето'!ah262-'[2]$ лето'!ag262-'[2]$ лето'!af262-'[2]$ лето'!ae262-'[2]$ лето'!ad262-'[2]$ лето'!ab262-'[2]$ лето'!aa262-'[2]$ лето'!z262-'[2]$ лето'!y262-'[2]$ лето'!x262-'[2]$ лето'!v262-'[2]$ лето'!u262-'[2]$ лето'!t262-'[2]$ лето'!s262-'[2]$ лето'!r262-'[2]$ лето'!p262-'[2]$ лето'!o262-'[2]$ лето'!n262-'[2]$ лето'!m262-'[2]$ лето'!l262+'[2]$ лето'!k262+'[2]$ лето'!q262+'[2]$ лето'!w262+'[2]$ лето'!ac262+'[2]$ лето'!ai262+'[2]$ лето'!ao262</f>
        <v>0</v>
      </c>
      <c r="I262" s="109" t="n">
        <f aca="false">'[2]$ лето'!ay262*1.1</f>
        <v>1663.2</v>
      </c>
      <c r="J262" s="85" t="n">
        <v>2018</v>
      </c>
    </row>
    <row r="263" customFormat="false" ht="15" hidden="true" customHeight="false" outlineLevel="0" collapsed="false">
      <c r="A263" s="115" t="s">
        <v>152</v>
      </c>
      <c r="B263" s="115" t="s">
        <v>821</v>
      </c>
      <c r="C263" s="107" t="s">
        <v>853</v>
      </c>
      <c r="D263" s="107"/>
      <c r="E263" s="107"/>
      <c r="F263" s="107"/>
      <c r="G263" s="108"/>
      <c r="H263" s="105" t="n">
        <f aca="false">'[2]$ лето'!j263-'[2]$ лето'!au263-'[2]$ лето'!at263-'[2]$ лето'!as263-'[2]$ лето'!ar263-'[2]$ лето'!aq263-'[2]$ лето'!ap263-'[2]$ лето'!an263-'[2]$ лето'!am263-'[2]$ лето'!al263-'[2]$ лето'!ak263-'[2]$ лето'!aj263-'[2]$ лето'!ah263-'[2]$ лето'!ag263-'[2]$ лето'!af263-'[2]$ лето'!ae263-'[2]$ лето'!ad263-'[2]$ лето'!ab263-'[2]$ лето'!aa263-'[2]$ лето'!z263-'[2]$ лето'!y263-'[2]$ лето'!x263-'[2]$ лето'!v263-'[2]$ лето'!u263-'[2]$ лето'!t263-'[2]$ лето'!s263-'[2]$ лето'!r263-'[2]$ лето'!p263-'[2]$ лето'!o263-'[2]$ лето'!n263-'[2]$ лето'!m263-'[2]$ лето'!l263+'[2]$ лето'!k263+'[2]$ лето'!q263+'[2]$ лето'!w263+'[2]$ лето'!ac263+'[2]$ лето'!ai263+'[2]$ лето'!ao263</f>
        <v>0</v>
      </c>
      <c r="I263" s="109" t="n">
        <f aca="false">'[2]$ лето'!ay263*1.1</f>
        <v>1139.6</v>
      </c>
    </row>
    <row r="264" customFormat="false" ht="15" hidden="true" customHeight="false" outlineLevel="0" collapsed="false">
      <c r="A264" s="115" t="s">
        <v>152</v>
      </c>
      <c r="B264" s="115" t="s">
        <v>821</v>
      </c>
      <c r="C264" s="107" t="s">
        <v>706</v>
      </c>
      <c r="D264" s="107"/>
      <c r="E264" s="107"/>
      <c r="F264" s="107"/>
      <c r="G264" s="108"/>
      <c r="H264" s="105" t="n">
        <f aca="false">'[2]$ лето'!j264-'[2]$ лето'!au264-'[2]$ лето'!at264-'[2]$ лето'!as264-'[2]$ лето'!ar264-'[2]$ лето'!aq264-'[2]$ лето'!ap264-'[2]$ лето'!an264-'[2]$ лето'!am264-'[2]$ лето'!al264-'[2]$ лето'!ak264-'[2]$ лето'!aj264-'[2]$ лето'!ah264-'[2]$ лето'!ag264-'[2]$ лето'!af264-'[2]$ лето'!ae264-'[2]$ лето'!ad264-'[2]$ лето'!ab264-'[2]$ лето'!aa264-'[2]$ лето'!z264-'[2]$ лето'!y264-'[2]$ лето'!x264-'[2]$ лето'!v264-'[2]$ лето'!u264-'[2]$ лето'!t264-'[2]$ лето'!s264-'[2]$ лето'!r264-'[2]$ лето'!p264-'[2]$ лето'!o264-'[2]$ лето'!n264-'[2]$ лето'!m264-'[2]$ лето'!l264+'[2]$ лето'!k264+'[2]$ лето'!q264+'[2]$ лето'!w264+'[2]$ лето'!ac264+'[2]$ лето'!ai264+'[2]$ лето'!ao264</f>
        <v>0</v>
      </c>
      <c r="I264" s="109" t="n">
        <f aca="false">'[2]$ лето'!ay264*1.1</f>
        <v>1386</v>
      </c>
    </row>
    <row r="265" customFormat="false" ht="15" hidden="true" customHeight="false" outlineLevel="0" collapsed="false">
      <c r="A265" s="115" t="s">
        <v>152</v>
      </c>
      <c r="B265" s="115" t="s">
        <v>646</v>
      </c>
      <c r="C265" s="116" t="s">
        <v>634</v>
      </c>
      <c r="D265" s="116"/>
      <c r="E265" s="116"/>
      <c r="F265" s="116"/>
      <c r="G265" s="108"/>
      <c r="H265" s="105" t="n">
        <f aca="false">'[2]$ лето'!j265-'[2]$ лето'!au265-'[2]$ лето'!at265-'[2]$ лето'!as265-'[2]$ лето'!ar265-'[2]$ лето'!aq265-'[2]$ лето'!ap265-'[2]$ лето'!an265-'[2]$ лето'!am265-'[2]$ лето'!al265-'[2]$ лето'!ak265-'[2]$ лето'!aj265-'[2]$ лето'!ah265-'[2]$ лето'!ag265-'[2]$ лето'!af265-'[2]$ лето'!ae265-'[2]$ лето'!ad265-'[2]$ лето'!ab265-'[2]$ лето'!aa265-'[2]$ лето'!z265-'[2]$ лето'!y265-'[2]$ лето'!x265-'[2]$ лето'!v265-'[2]$ лето'!u265-'[2]$ лето'!t265-'[2]$ лето'!s265-'[2]$ лето'!r265-'[2]$ лето'!p265-'[2]$ лето'!o265-'[2]$ лето'!n265-'[2]$ лето'!m265-'[2]$ лето'!l265+'[2]$ лето'!k265+'[2]$ лето'!q265+'[2]$ лето'!w265+'[2]$ лето'!ac265+'[2]$ лето'!ai265+'[2]$ лето'!ao265</f>
        <v>0</v>
      </c>
      <c r="I265" s="109" t="n">
        <f aca="false">'[2]$ лето'!ay265*1.1</f>
        <v>1262.8</v>
      </c>
    </row>
    <row r="266" customFormat="false" ht="15" hidden="true" customHeight="false" outlineLevel="0" collapsed="false">
      <c r="A266" s="115" t="s">
        <v>152</v>
      </c>
      <c r="B266" s="115" t="s">
        <v>707</v>
      </c>
      <c r="C266" s="116" t="s">
        <v>854</v>
      </c>
      <c r="D266" s="116"/>
      <c r="E266" s="116"/>
      <c r="F266" s="116"/>
      <c r="G266" s="108"/>
      <c r="H266" s="105" t="n">
        <f aca="false">'[2]$ лето'!j266-'[2]$ лето'!au266-'[2]$ лето'!at266-'[2]$ лето'!as266-'[2]$ лето'!ar266-'[2]$ лето'!aq266-'[2]$ лето'!ap266-'[2]$ лето'!an266-'[2]$ лето'!am266-'[2]$ лето'!al266-'[2]$ лето'!ak266-'[2]$ лето'!aj266-'[2]$ лето'!ah266-'[2]$ лето'!ag266-'[2]$ лето'!af266-'[2]$ лето'!ae266-'[2]$ лето'!ad266-'[2]$ лето'!ab266-'[2]$ лето'!aa266-'[2]$ лето'!z266-'[2]$ лето'!y266-'[2]$ лето'!x266-'[2]$ лето'!v266-'[2]$ лето'!u266-'[2]$ лето'!t266-'[2]$ лето'!s266-'[2]$ лето'!r266-'[2]$ лето'!p266-'[2]$ лето'!o266-'[2]$ лето'!n266-'[2]$ лето'!m266-'[2]$ лето'!l266+'[2]$ лето'!k266+'[2]$ лето'!q266+'[2]$ лето'!w266+'[2]$ лето'!ac266+'[2]$ лето'!ai266+'[2]$ лето'!ao266</f>
        <v>0</v>
      </c>
      <c r="I266" s="109" t="n">
        <f aca="false">'[2]$ лето'!ay266*1.1</f>
        <v>1047.2</v>
      </c>
    </row>
    <row r="267" customFormat="false" ht="15" hidden="true" customHeight="false" outlineLevel="0" collapsed="false">
      <c r="A267" s="115" t="s">
        <v>152</v>
      </c>
      <c r="B267" s="115" t="s">
        <v>553</v>
      </c>
      <c r="C267" s="116" t="s">
        <v>855</v>
      </c>
      <c r="D267" s="116"/>
      <c r="E267" s="116"/>
      <c r="F267" s="116"/>
      <c r="G267" s="108"/>
      <c r="H267" s="105" t="n">
        <f aca="false">'[2]$ лето'!j267-'[2]$ лето'!au267-'[2]$ лето'!at267-'[2]$ лето'!as267-'[2]$ лето'!ar267-'[2]$ лето'!aq267-'[2]$ лето'!ap267-'[2]$ лето'!an267-'[2]$ лето'!am267-'[2]$ лето'!al267-'[2]$ лето'!ak267-'[2]$ лето'!aj267-'[2]$ лето'!ah267-'[2]$ лето'!ag267-'[2]$ лето'!af267-'[2]$ лето'!ae267-'[2]$ лето'!ad267-'[2]$ лето'!ab267-'[2]$ лето'!aa267-'[2]$ лето'!z267-'[2]$ лето'!y267-'[2]$ лето'!x267-'[2]$ лето'!v267-'[2]$ лето'!u267-'[2]$ лето'!t267-'[2]$ лето'!s267-'[2]$ лето'!r267-'[2]$ лето'!p267-'[2]$ лето'!o267-'[2]$ лето'!n267-'[2]$ лето'!m267-'[2]$ лето'!l267+'[2]$ лето'!k267+'[2]$ лето'!q267+'[2]$ лето'!w267+'[2]$ лето'!ac267+'[2]$ лето'!ai267+'[2]$ лето'!ao267</f>
        <v>0</v>
      </c>
      <c r="I267" s="109" t="n">
        <f aca="false">'[2]$ лето'!ay267*1.1</f>
        <v>1170.4</v>
      </c>
    </row>
    <row r="268" customFormat="false" ht="15" hidden="false" customHeight="false" outlineLevel="0" collapsed="false">
      <c r="A268" s="115" t="s">
        <v>152</v>
      </c>
      <c r="B268" s="115" t="s">
        <v>604</v>
      </c>
      <c r="C268" s="116" t="s">
        <v>711</v>
      </c>
      <c r="D268" s="116"/>
      <c r="E268" s="116"/>
      <c r="F268" s="116"/>
      <c r="G268" s="108" t="s">
        <v>847</v>
      </c>
      <c r="H268" s="105" t="n">
        <f aca="false">'[2]$ лето'!j268-'[2]$ лето'!au268-'[2]$ лето'!at268-'[2]$ лето'!as268-'[2]$ лето'!ar268-'[2]$ лето'!aq268-'[2]$ лето'!ap268-'[2]$ лето'!an268-'[2]$ лето'!am268-'[2]$ лето'!al268-'[2]$ лето'!ak268-'[2]$ лето'!aj268-'[2]$ лето'!ah268-'[2]$ лето'!ag268-'[2]$ лето'!af268-'[2]$ лето'!ae268-'[2]$ лето'!ad268-'[2]$ лето'!ab268-'[2]$ лето'!aa268-'[2]$ лето'!z268-'[2]$ лето'!y268-'[2]$ лето'!x268-'[2]$ лето'!v268-'[2]$ лето'!u268-'[2]$ лето'!t268-'[2]$ лето'!s268-'[2]$ лето'!r268-'[2]$ лето'!p268-'[2]$ лето'!o268-'[2]$ лето'!n268-'[2]$ лето'!m268-'[2]$ лето'!l268+'[2]$ лето'!k268+'[2]$ лето'!q268+'[2]$ лето'!w268+'[2]$ лето'!ac268+'[2]$ лето'!ai268+'[2]$ лето'!ao268</f>
        <v>6</v>
      </c>
      <c r="I268" s="109" t="n">
        <f aca="false">'[2]$ лето'!ay268*1.1</f>
        <v>1078</v>
      </c>
      <c r="J268" s="85" t="n">
        <v>2013</v>
      </c>
    </row>
    <row r="269" customFormat="false" ht="15" hidden="true" customHeight="false" outlineLevel="0" collapsed="false">
      <c r="A269" s="115" t="s">
        <v>152</v>
      </c>
      <c r="B269" s="115" t="s">
        <v>606</v>
      </c>
      <c r="C269" s="116" t="s">
        <v>856</v>
      </c>
      <c r="D269" s="116"/>
      <c r="E269" s="116"/>
      <c r="F269" s="116"/>
      <c r="G269" s="108" t="s">
        <v>857</v>
      </c>
      <c r="H269" s="105" t="n">
        <f aca="false">'[2]$ лето'!j269-'[2]$ лето'!au269-'[2]$ лето'!at269-'[2]$ лето'!as269-'[2]$ лето'!ar269-'[2]$ лето'!aq269-'[2]$ лето'!ap269-'[2]$ лето'!an269-'[2]$ лето'!am269-'[2]$ лето'!al269-'[2]$ лето'!ak269-'[2]$ лето'!aj269-'[2]$ лето'!ah269-'[2]$ лето'!ag269-'[2]$ лето'!af269-'[2]$ лето'!ae269-'[2]$ лето'!ad269-'[2]$ лето'!ab269-'[2]$ лето'!aa269-'[2]$ лето'!z269-'[2]$ лето'!y269-'[2]$ лето'!x269-'[2]$ лето'!v269-'[2]$ лето'!u269-'[2]$ лето'!t269-'[2]$ лето'!s269-'[2]$ лето'!r269-'[2]$ лето'!p269-'[2]$ лето'!o269-'[2]$ лето'!n269-'[2]$ лето'!m269-'[2]$ лето'!l269+'[2]$ лето'!k269+'[2]$ лето'!q269+'[2]$ лето'!w269+'[2]$ лето'!ac269+'[2]$ лето'!ai269+'[2]$ лето'!ao269</f>
        <v>0</v>
      </c>
      <c r="I269" s="109" t="n">
        <f aca="false">'[2]$ лето'!ay269*1.1</f>
        <v>1509.2</v>
      </c>
      <c r="J269" s="85" t="n">
        <v>2018</v>
      </c>
    </row>
    <row r="270" customFormat="false" ht="15" hidden="true" customHeight="false" outlineLevel="0" collapsed="false">
      <c r="A270" s="115" t="s">
        <v>152</v>
      </c>
      <c r="B270" s="119" t="s">
        <v>666</v>
      </c>
      <c r="C270" s="116" t="s">
        <v>858</v>
      </c>
      <c r="D270" s="116"/>
      <c r="E270" s="116"/>
      <c r="F270" s="116"/>
      <c r="G270" s="108" t="s">
        <v>631</v>
      </c>
      <c r="H270" s="105" t="n">
        <f aca="false">'[2]$ лето'!j270-'[2]$ лето'!au270-'[2]$ лето'!at270-'[2]$ лето'!as270-'[2]$ лето'!ar270-'[2]$ лето'!aq270-'[2]$ лето'!ap270-'[2]$ лето'!an270-'[2]$ лето'!am270-'[2]$ лето'!al270-'[2]$ лето'!ak270-'[2]$ лето'!aj270-'[2]$ лето'!ah270-'[2]$ лето'!ag270-'[2]$ лето'!af270-'[2]$ лето'!ae270-'[2]$ лето'!ad270-'[2]$ лето'!ab270-'[2]$ лето'!aa270-'[2]$ лето'!z270-'[2]$ лето'!y270-'[2]$ лето'!x270-'[2]$ лето'!v270-'[2]$ лето'!u270-'[2]$ лето'!t270-'[2]$ лето'!s270-'[2]$ лето'!r270-'[2]$ лето'!p270-'[2]$ лето'!o270-'[2]$ лето'!n270-'[2]$ лето'!m270-'[2]$ лето'!l270+'[2]$ лето'!k270+'[2]$ лето'!q270+'[2]$ лето'!w270+'[2]$ лето'!ac270+'[2]$ лето'!ai270+'[2]$ лето'!ao270</f>
        <v>0</v>
      </c>
      <c r="I270" s="109" t="n">
        <f aca="false">'[2]$ лето'!ay270*1.1</f>
        <v>1262.8</v>
      </c>
      <c r="J270" s="85" t="n">
        <v>2017</v>
      </c>
    </row>
    <row r="271" customFormat="false" ht="15" hidden="true" customHeight="false" outlineLevel="0" collapsed="false">
      <c r="A271" s="115" t="s">
        <v>152</v>
      </c>
      <c r="B271" s="115" t="s">
        <v>574</v>
      </c>
      <c r="C271" s="116" t="s">
        <v>859</v>
      </c>
      <c r="D271" s="116"/>
      <c r="E271" s="116"/>
      <c r="F271" s="116"/>
      <c r="G271" s="108" t="s">
        <v>576</v>
      </c>
      <c r="H271" s="105" t="n">
        <f aca="false">'[2]$ лето'!j271-'[2]$ лето'!au271-'[2]$ лето'!at271-'[2]$ лето'!as271-'[2]$ лето'!ar271-'[2]$ лето'!aq271-'[2]$ лето'!ap271-'[2]$ лето'!an271-'[2]$ лето'!am271-'[2]$ лето'!al271-'[2]$ лето'!ak271-'[2]$ лето'!aj271-'[2]$ лето'!ah271-'[2]$ лето'!ag271-'[2]$ лето'!af271-'[2]$ лето'!ae271-'[2]$ лето'!ad271-'[2]$ лето'!ab271-'[2]$ лето'!aa271-'[2]$ лето'!z271-'[2]$ лето'!y271-'[2]$ лето'!x271-'[2]$ лето'!v271-'[2]$ лето'!u271-'[2]$ лето'!t271-'[2]$ лето'!s271-'[2]$ лето'!r271-'[2]$ лето'!p271-'[2]$ лето'!o271-'[2]$ лето'!n271-'[2]$ лето'!m271-'[2]$ лето'!l271+'[2]$ лето'!k271+'[2]$ лето'!q271+'[2]$ лето'!w271+'[2]$ лето'!ac271+'[2]$ лето'!ai271+'[2]$ лето'!ao271</f>
        <v>0</v>
      </c>
      <c r="I271" s="109" t="n">
        <f aca="false">'[2]$ лето'!ay271*1.1</f>
        <v>1201.2</v>
      </c>
      <c r="J271" s="85" t="n">
        <v>2017</v>
      </c>
    </row>
    <row r="272" customFormat="false" ht="15" hidden="false" customHeight="false" outlineLevel="0" collapsed="false">
      <c r="A272" s="115" t="s">
        <v>152</v>
      </c>
      <c r="B272" s="115" t="s">
        <v>574</v>
      </c>
      <c r="C272" s="116" t="s">
        <v>860</v>
      </c>
      <c r="D272" s="116"/>
      <c r="E272" s="116"/>
      <c r="F272" s="116"/>
      <c r="G272" s="108" t="s">
        <v>576</v>
      </c>
      <c r="H272" s="105" t="n">
        <f aca="false">'[2]$ лето'!j272-'[2]$ лето'!au272-'[2]$ лето'!at272-'[2]$ лето'!as272-'[2]$ лето'!ar272-'[2]$ лето'!aq272-'[2]$ лето'!ap272-'[2]$ лето'!an272-'[2]$ лето'!am272-'[2]$ лето'!al272-'[2]$ лето'!ak272-'[2]$ лето'!aj272-'[2]$ лето'!ah272-'[2]$ лето'!ag272-'[2]$ лето'!af272-'[2]$ лето'!ae272-'[2]$ лето'!ad272-'[2]$ лето'!ab272-'[2]$ лето'!aa272-'[2]$ лето'!z272-'[2]$ лето'!y272-'[2]$ лето'!x272-'[2]$ лето'!v272-'[2]$ лето'!u272-'[2]$ лето'!t272-'[2]$ лето'!s272-'[2]$ лето'!r272-'[2]$ лето'!p272-'[2]$ лето'!o272-'[2]$ лето'!n272-'[2]$ лето'!m272-'[2]$ лето'!l272+'[2]$ лето'!k272+'[2]$ лето'!q272+'[2]$ лето'!w272+'[2]$ лето'!ac272+'[2]$ лето'!ai272+'[2]$ лето'!ao272</f>
        <v>4</v>
      </c>
      <c r="I272" s="109" t="n">
        <f aca="false">'[2]$ лето'!ay272*1.1</f>
        <v>1249.6</v>
      </c>
      <c r="J272" s="85" t="n">
        <v>2017</v>
      </c>
    </row>
    <row r="273" customFormat="false" ht="15" hidden="false" customHeight="false" outlineLevel="0" collapsed="false">
      <c r="A273" s="115" t="s">
        <v>152</v>
      </c>
      <c r="B273" s="115" t="s">
        <v>577</v>
      </c>
      <c r="C273" s="116" t="s">
        <v>861</v>
      </c>
      <c r="D273" s="116"/>
      <c r="E273" s="116"/>
      <c r="F273" s="116"/>
      <c r="G273" s="108" t="s">
        <v>563</v>
      </c>
      <c r="H273" s="105" t="n">
        <f aca="false">'[2]$ лето'!j273-'[2]$ лето'!au273-'[2]$ лето'!at273-'[2]$ лето'!as273-'[2]$ лето'!ar273-'[2]$ лето'!aq273-'[2]$ лето'!ap273-'[2]$ лето'!an273-'[2]$ лето'!am273-'[2]$ лето'!al273-'[2]$ лето'!ak273-'[2]$ лето'!aj273-'[2]$ лето'!ah273-'[2]$ лето'!ag273-'[2]$ лето'!af273-'[2]$ лето'!ae273-'[2]$ лето'!ad273-'[2]$ лето'!ab273-'[2]$ лето'!aa273-'[2]$ лето'!z273-'[2]$ лето'!y273-'[2]$ лето'!x273-'[2]$ лето'!v273-'[2]$ лето'!u273-'[2]$ лето'!t273-'[2]$ лето'!s273-'[2]$ лето'!r273-'[2]$ лето'!p273-'[2]$ лето'!o273-'[2]$ лето'!n273-'[2]$ лето'!m273-'[2]$ лето'!l273+'[2]$ лето'!k273+'[2]$ лето'!q273+'[2]$ лето'!w273+'[2]$ лето'!ac273+'[2]$ лето'!ai273+'[2]$ лето'!ao273</f>
        <v>4</v>
      </c>
      <c r="I273" s="109" t="n">
        <f aca="false">'[2]$ лето'!ay273*1.1</f>
        <v>1170.4</v>
      </c>
      <c r="J273" s="85" t="n">
        <v>2018</v>
      </c>
    </row>
    <row r="274" customFormat="false" ht="15" hidden="false" customHeight="false" outlineLevel="0" collapsed="false">
      <c r="A274" s="115" t="s">
        <v>152</v>
      </c>
      <c r="B274" s="115" t="s">
        <v>579</v>
      </c>
      <c r="C274" s="116" t="s">
        <v>862</v>
      </c>
      <c r="D274" s="116"/>
      <c r="E274" s="116"/>
      <c r="F274" s="116"/>
      <c r="G274" s="108" t="s">
        <v>520</v>
      </c>
      <c r="H274" s="105" t="n">
        <f aca="false">'[2]$ лето'!j274-'[2]$ лето'!au274-'[2]$ лето'!at274-'[2]$ лето'!as274-'[2]$ лето'!ar274-'[2]$ лето'!aq274-'[2]$ лето'!ap274-'[2]$ лето'!an274-'[2]$ лето'!am274-'[2]$ лето'!al274-'[2]$ лето'!ak274-'[2]$ лето'!aj274-'[2]$ лето'!ah274-'[2]$ лето'!ag274-'[2]$ лето'!af274-'[2]$ лето'!ae274-'[2]$ лето'!ad274-'[2]$ лето'!ab274-'[2]$ лето'!aa274-'[2]$ лето'!z274-'[2]$ лето'!y274-'[2]$ лето'!x274-'[2]$ лето'!v274-'[2]$ лето'!u274-'[2]$ лето'!t274-'[2]$ лето'!s274-'[2]$ лето'!r274-'[2]$ лето'!p274-'[2]$ лето'!o274-'[2]$ лето'!n274-'[2]$ лето'!m274-'[2]$ лето'!l274+'[2]$ лето'!k274+'[2]$ лето'!q274+'[2]$ лето'!w274+'[2]$ лето'!ac274+'[2]$ лето'!ai274+'[2]$ лето'!ao274</f>
        <v>8</v>
      </c>
      <c r="I274" s="109" t="n">
        <f aca="false">'[2]$ лето'!ay274*1.1</f>
        <v>1001</v>
      </c>
    </row>
    <row r="275" customFormat="false" ht="15" hidden="false" customHeight="false" outlineLevel="0" collapsed="false">
      <c r="A275" s="115" t="s">
        <v>152</v>
      </c>
      <c r="B275" s="115" t="s">
        <v>583</v>
      </c>
      <c r="C275" s="116" t="s">
        <v>783</v>
      </c>
      <c r="D275" s="116"/>
      <c r="E275" s="116"/>
      <c r="F275" s="116"/>
      <c r="G275" s="108" t="s">
        <v>640</v>
      </c>
      <c r="H275" s="105" t="n">
        <f aca="false">'[2]$ лето'!j275-'[2]$ лето'!au275-'[2]$ лето'!at275-'[2]$ лето'!as275-'[2]$ лето'!ar275-'[2]$ лето'!aq275-'[2]$ лето'!ap275-'[2]$ лето'!an275-'[2]$ лето'!am275-'[2]$ лето'!al275-'[2]$ лето'!ak275-'[2]$ лето'!aj275-'[2]$ лето'!ah275-'[2]$ лето'!ag275-'[2]$ лето'!af275-'[2]$ лето'!ae275-'[2]$ лето'!ad275-'[2]$ лето'!ab275-'[2]$ лето'!aa275-'[2]$ лето'!z275-'[2]$ лето'!y275-'[2]$ лето'!x275-'[2]$ лето'!v275-'[2]$ лето'!u275-'[2]$ лето'!t275-'[2]$ лето'!s275-'[2]$ лето'!r275-'[2]$ лето'!p275-'[2]$ лето'!o275-'[2]$ лето'!n275-'[2]$ лето'!m275-'[2]$ лето'!l275+'[2]$ лето'!k275+'[2]$ лето'!q275+'[2]$ лето'!w275+'[2]$ лето'!ac275+'[2]$ лето'!ai275+'[2]$ лето'!ao275</f>
        <v>18</v>
      </c>
      <c r="I275" s="109" t="n">
        <f aca="false">'[2]$ лето'!ay275*1.1</f>
        <v>1170.4</v>
      </c>
      <c r="J275" s="85" t="n">
        <v>2018</v>
      </c>
    </row>
    <row r="276" customFormat="false" ht="15" hidden="false" customHeight="false" outlineLevel="0" collapsed="false">
      <c r="A276" s="115" t="s">
        <v>152</v>
      </c>
      <c r="B276" s="115" t="s">
        <v>583</v>
      </c>
      <c r="C276" s="116" t="s">
        <v>863</v>
      </c>
      <c r="D276" s="116"/>
      <c r="E276" s="116"/>
      <c r="F276" s="116"/>
      <c r="G276" s="108" t="s">
        <v>864</v>
      </c>
      <c r="H276" s="105" t="n">
        <f aca="false">'[2]$ лето'!j276-'[2]$ лето'!au276-'[2]$ лето'!at276-'[2]$ лето'!as276-'[2]$ лето'!ar276-'[2]$ лето'!aq276-'[2]$ лето'!ap276-'[2]$ лето'!an276-'[2]$ лето'!am276-'[2]$ лето'!al276-'[2]$ лето'!ak276-'[2]$ лето'!aj276-'[2]$ лето'!ah276-'[2]$ лето'!ag276-'[2]$ лето'!af276-'[2]$ лето'!ae276-'[2]$ лето'!ad276-'[2]$ лето'!ab276-'[2]$ лето'!aa276-'[2]$ лето'!z276-'[2]$ лето'!y276-'[2]$ лето'!x276-'[2]$ лето'!v276-'[2]$ лето'!u276-'[2]$ лето'!t276-'[2]$ лето'!s276-'[2]$ лето'!r276-'[2]$ лето'!p276-'[2]$ лето'!o276-'[2]$ лето'!n276-'[2]$ лето'!m276-'[2]$ лето'!l276+'[2]$ лето'!k276+'[2]$ лето'!q276+'[2]$ лето'!w276+'[2]$ лето'!ac276+'[2]$ лето'!ai276+'[2]$ лето'!ao276</f>
        <v>28</v>
      </c>
      <c r="I276" s="109" t="n">
        <f aca="false">'[2]$ лето'!ay276*1.1</f>
        <v>1139.6</v>
      </c>
      <c r="J276" s="85" t="n">
        <v>2017</v>
      </c>
    </row>
    <row r="277" customFormat="false" ht="15" hidden="true" customHeight="false" outlineLevel="0" collapsed="false">
      <c r="A277" s="115" t="s">
        <v>152</v>
      </c>
      <c r="B277" s="115" t="s">
        <v>583</v>
      </c>
      <c r="C277" s="116" t="s">
        <v>865</v>
      </c>
      <c r="D277" s="116"/>
      <c r="E277" s="116"/>
      <c r="F277" s="116"/>
      <c r="G277" s="108" t="s">
        <v>866</v>
      </c>
      <c r="H277" s="105" t="n">
        <f aca="false">'[2]$ лето'!j277-'[2]$ лето'!au277-'[2]$ лето'!at277-'[2]$ лето'!as277-'[2]$ лето'!ar277-'[2]$ лето'!aq277-'[2]$ лето'!ap277-'[2]$ лето'!an277-'[2]$ лето'!am277-'[2]$ лето'!al277-'[2]$ лето'!ak277-'[2]$ лето'!aj277-'[2]$ лето'!ah277-'[2]$ лето'!ag277-'[2]$ лето'!af277-'[2]$ лето'!ae277-'[2]$ лето'!ad277-'[2]$ лето'!ab277-'[2]$ лето'!aa277-'[2]$ лето'!z277-'[2]$ лето'!y277-'[2]$ лето'!x277-'[2]$ лето'!v277-'[2]$ лето'!u277-'[2]$ лето'!t277-'[2]$ лето'!s277-'[2]$ лето'!r277-'[2]$ лето'!p277-'[2]$ лето'!o277-'[2]$ лето'!n277-'[2]$ лето'!m277-'[2]$ лето'!l277+'[2]$ лето'!k277+'[2]$ лето'!q277+'[2]$ лето'!w277+'[2]$ лето'!ac277+'[2]$ лето'!ai277+'[2]$ лето'!ao277</f>
        <v>0</v>
      </c>
      <c r="I277" s="109" t="n">
        <f aca="false">'[2]$ лето'!ay277*1.1</f>
        <v>1232</v>
      </c>
      <c r="J277" s="85" t="n">
        <v>2018</v>
      </c>
    </row>
    <row r="278" customFormat="false" ht="15" hidden="true" customHeight="false" outlineLevel="0" collapsed="false">
      <c r="A278" s="115" t="s">
        <v>152</v>
      </c>
      <c r="B278" s="115" t="s">
        <v>593</v>
      </c>
      <c r="C278" s="116" t="s">
        <v>867</v>
      </c>
      <c r="D278" s="116"/>
      <c r="E278" s="116"/>
      <c r="F278" s="116"/>
      <c r="G278" s="108" t="s">
        <v>868</v>
      </c>
      <c r="H278" s="105" t="n">
        <f aca="false">'[2]$ лето'!j278-'[2]$ лето'!au278-'[2]$ лето'!at278-'[2]$ лето'!as278-'[2]$ лето'!ar278-'[2]$ лето'!aq278-'[2]$ лето'!ap278-'[2]$ лето'!an278-'[2]$ лето'!am278-'[2]$ лето'!al278-'[2]$ лето'!ak278-'[2]$ лето'!aj278-'[2]$ лето'!ah278-'[2]$ лето'!ag278-'[2]$ лето'!af278-'[2]$ лето'!ae278-'[2]$ лето'!ad278-'[2]$ лето'!ab278-'[2]$ лето'!aa278-'[2]$ лето'!z278-'[2]$ лето'!y278-'[2]$ лето'!x278-'[2]$ лето'!v278-'[2]$ лето'!u278-'[2]$ лето'!t278-'[2]$ лето'!s278-'[2]$ лето'!r278-'[2]$ лето'!p278-'[2]$ лето'!o278-'[2]$ лето'!n278-'[2]$ лето'!m278-'[2]$ лето'!l278+'[2]$ лето'!k278+'[2]$ лето'!q278+'[2]$ лето'!w278+'[2]$ лето'!ac278+'[2]$ лето'!ai278+'[2]$ лето'!ao278</f>
        <v>0</v>
      </c>
      <c r="I278" s="109" t="n">
        <f aca="false">'[2]$ лето'!ay278*1.1</f>
        <v>1878.8</v>
      </c>
      <c r="J278" s="85" t="n">
        <v>2018</v>
      </c>
    </row>
    <row r="279" customFormat="false" ht="15" hidden="false" customHeight="false" outlineLevel="0" collapsed="false">
      <c r="A279" s="115" t="s">
        <v>152</v>
      </c>
      <c r="B279" s="115" t="s">
        <v>586</v>
      </c>
      <c r="C279" s="116" t="s">
        <v>869</v>
      </c>
      <c r="D279" s="116"/>
      <c r="E279" s="116"/>
      <c r="F279" s="116"/>
      <c r="G279" s="108" t="s">
        <v>520</v>
      </c>
      <c r="H279" s="105" t="n">
        <f aca="false">'[2]$ лето'!j279-'[2]$ лето'!au279-'[2]$ лето'!at279-'[2]$ лето'!as279-'[2]$ лето'!ar279-'[2]$ лето'!aq279-'[2]$ лето'!ap279-'[2]$ лето'!an279-'[2]$ лето'!am279-'[2]$ лето'!al279-'[2]$ лето'!ak279-'[2]$ лето'!aj279-'[2]$ лето'!ah279-'[2]$ лето'!ag279-'[2]$ лето'!af279-'[2]$ лето'!ae279-'[2]$ лето'!ad279-'[2]$ лето'!ab279-'[2]$ лето'!aa279-'[2]$ лето'!z279-'[2]$ лето'!y279-'[2]$ лето'!x279-'[2]$ лето'!v279-'[2]$ лето'!u279-'[2]$ лето'!t279-'[2]$ лето'!s279-'[2]$ лето'!r279-'[2]$ лето'!p279-'[2]$ лето'!o279-'[2]$ лето'!n279-'[2]$ лето'!m279-'[2]$ лето'!l279+'[2]$ лето'!k279+'[2]$ лето'!q279+'[2]$ лето'!w279+'[2]$ лето'!ac279+'[2]$ лето'!ai279+'[2]$ лето'!ao279</f>
        <v>8</v>
      </c>
      <c r="I279" s="109" t="n">
        <f aca="false">'[2]$ лето'!ay279*1.1</f>
        <v>985.6</v>
      </c>
    </row>
    <row r="280" customFormat="false" ht="15" hidden="true" customHeight="false" outlineLevel="0" collapsed="false">
      <c r="A280" s="115" t="s">
        <v>152</v>
      </c>
      <c r="B280" s="115" t="s">
        <v>615</v>
      </c>
      <c r="C280" s="116" t="s">
        <v>870</v>
      </c>
      <c r="D280" s="116"/>
      <c r="E280" s="116"/>
      <c r="F280" s="116"/>
      <c r="G280" s="108"/>
      <c r="H280" s="105" t="n">
        <f aca="false">'[2]$ лето'!j280-'[2]$ лето'!au280-'[2]$ лето'!at280-'[2]$ лето'!as280-'[2]$ лето'!ar280-'[2]$ лето'!aq280-'[2]$ лето'!ap280-'[2]$ лето'!an280-'[2]$ лето'!am280-'[2]$ лето'!al280-'[2]$ лето'!ak280-'[2]$ лето'!aj280-'[2]$ лето'!ah280-'[2]$ лето'!ag280-'[2]$ лето'!af280-'[2]$ лето'!ae280-'[2]$ лето'!ad280-'[2]$ лето'!ab280-'[2]$ лето'!aa280-'[2]$ лето'!z280-'[2]$ лето'!y280-'[2]$ лето'!x280-'[2]$ лето'!v280-'[2]$ лето'!u280-'[2]$ лето'!t280-'[2]$ лето'!s280-'[2]$ лето'!r280-'[2]$ лето'!p280-'[2]$ лето'!o280-'[2]$ лето'!n280-'[2]$ лето'!m280-'[2]$ лето'!l280+'[2]$ лето'!k280+'[2]$ лето'!q280+'[2]$ лето'!w280+'[2]$ лето'!ac280+'[2]$ лето'!ai280+'[2]$ лето'!ao280</f>
        <v>0</v>
      </c>
      <c r="I280" s="109" t="n">
        <f aca="false">'[2]$ лето'!ay280*1.1</f>
        <v>1262.8</v>
      </c>
      <c r="J280" s="85" t="n">
        <v>2018</v>
      </c>
    </row>
    <row r="281" customFormat="false" ht="15" hidden="false" customHeight="false" outlineLevel="0" collapsed="false">
      <c r="A281" s="115" t="s">
        <v>152</v>
      </c>
      <c r="B281" s="115" t="s">
        <v>762</v>
      </c>
      <c r="C281" s="116" t="s">
        <v>871</v>
      </c>
      <c r="D281" s="116"/>
      <c r="E281" s="116"/>
      <c r="F281" s="116"/>
      <c r="G281" s="108"/>
      <c r="H281" s="105" t="n">
        <f aca="false">'[2]$ лето'!j281-'[2]$ лето'!au281-'[2]$ лето'!at281-'[2]$ лето'!as281-'[2]$ лето'!ar281-'[2]$ лето'!aq281-'[2]$ лето'!ap281-'[2]$ лето'!an281-'[2]$ лето'!am281-'[2]$ лето'!al281-'[2]$ лето'!ak281-'[2]$ лето'!aj281-'[2]$ лето'!ah281-'[2]$ лето'!ag281-'[2]$ лето'!af281-'[2]$ лето'!ae281-'[2]$ лето'!ad281-'[2]$ лето'!ab281-'[2]$ лето'!aa281-'[2]$ лето'!z281-'[2]$ лето'!y281-'[2]$ лето'!x281-'[2]$ лето'!v281-'[2]$ лето'!u281-'[2]$ лето'!t281-'[2]$ лето'!s281-'[2]$ лето'!r281-'[2]$ лето'!p281-'[2]$ лето'!o281-'[2]$ лето'!n281-'[2]$ лето'!m281-'[2]$ лето'!l281+'[2]$ лето'!k281+'[2]$ лето'!q281+'[2]$ лето'!w281+'[2]$ лето'!ac281+'[2]$ лето'!ai281+'[2]$ лето'!ao281</f>
        <v>8</v>
      </c>
      <c r="I281" s="109" t="n">
        <f aca="false">'[2]$ лето'!ay281*1.1</f>
        <v>1108.8</v>
      </c>
    </row>
    <row r="282" customFormat="false" ht="15" hidden="true" customHeight="false" outlineLevel="0" collapsed="false">
      <c r="A282" s="115" t="s">
        <v>152</v>
      </c>
      <c r="B282" s="115" t="s">
        <v>617</v>
      </c>
      <c r="C282" s="116" t="s">
        <v>872</v>
      </c>
      <c r="D282" s="116"/>
      <c r="E282" s="116"/>
      <c r="F282" s="116"/>
      <c r="G282" s="108" t="s">
        <v>873</v>
      </c>
      <c r="H282" s="105" t="n">
        <f aca="false">'[2]$ лето'!j282-'[2]$ лето'!au282-'[2]$ лето'!at282-'[2]$ лето'!as282-'[2]$ лето'!ar282-'[2]$ лето'!aq282-'[2]$ лето'!ap282-'[2]$ лето'!an282-'[2]$ лето'!am282-'[2]$ лето'!al282-'[2]$ лето'!ak282-'[2]$ лето'!aj282-'[2]$ лето'!ah282-'[2]$ лето'!ag282-'[2]$ лето'!af282-'[2]$ лето'!ae282-'[2]$ лето'!ad282-'[2]$ лето'!ab282-'[2]$ лето'!aa282-'[2]$ лето'!z282-'[2]$ лето'!y282-'[2]$ лето'!x282-'[2]$ лето'!v282-'[2]$ лето'!u282-'[2]$ лето'!t282-'[2]$ лето'!s282-'[2]$ лето'!r282-'[2]$ лето'!p282-'[2]$ лето'!o282-'[2]$ лето'!n282-'[2]$ лето'!m282-'[2]$ лето'!l282+'[2]$ лето'!k282+'[2]$ лето'!q282+'[2]$ лето'!w282+'[2]$ лето'!ac282+'[2]$ лето'!ai282+'[2]$ лето'!ao282</f>
        <v>0</v>
      </c>
      <c r="I282" s="109" t="n">
        <f aca="false">'[2]$ лето'!ay282*1.1</f>
        <v>1016.4</v>
      </c>
      <c r="J282" s="85" t="n">
        <v>2018</v>
      </c>
    </row>
    <row r="283" customFormat="false" ht="15" hidden="false" customHeight="false" outlineLevel="0" collapsed="false">
      <c r="A283" s="115" t="s">
        <v>152</v>
      </c>
      <c r="B283" s="115" t="s">
        <v>815</v>
      </c>
      <c r="C283" s="116" t="s">
        <v>874</v>
      </c>
      <c r="D283" s="116"/>
      <c r="E283" s="116"/>
      <c r="F283" s="116"/>
      <c r="G283" s="108" t="s">
        <v>520</v>
      </c>
      <c r="H283" s="105" t="n">
        <f aca="false">'[2]$ лето'!j283-'[2]$ лето'!au283-'[2]$ лето'!at283-'[2]$ лето'!as283-'[2]$ лето'!ar283-'[2]$ лето'!aq283-'[2]$ лето'!ap283-'[2]$ лето'!an283-'[2]$ лето'!am283-'[2]$ лето'!al283-'[2]$ лето'!ak283-'[2]$ лето'!aj283-'[2]$ лето'!ah283-'[2]$ лето'!ag283-'[2]$ лето'!af283-'[2]$ лето'!ae283-'[2]$ лето'!ad283-'[2]$ лето'!ab283-'[2]$ лето'!aa283-'[2]$ лето'!z283-'[2]$ лето'!y283-'[2]$ лето'!x283-'[2]$ лето'!v283-'[2]$ лето'!u283-'[2]$ лето'!t283-'[2]$ лето'!s283-'[2]$ лето'!r283-'[2]$ лето'!p283-'[2]$ лето'!o283-'[2]$ лето'!n283-'[2]$ лето'!m283-'[2]$ лето'!l283+'[2]$ лето'!k283+'[2]$ лето'!q283+'[2]$ лето'!w283+'[2]$ лето'!ac283+'[2]$ лето'!ai283+'[2]$ лето'!ao283</f>
        <v>12</v>
      </c>
      <c r="I283" s="109" t="n">
        <f aca="false">'[2]$ лето'!ay283*1.1</f>
        <v>924</v>
      </c>
    </row>
    <row r="284" customFormat="false" ht="15" hidden="true" customHeight="false" outlineLevel="0" collapsed="false">
      <c r="A284" s="115" t="s">
        <v>152</v>
      </c>
      <c r="B284" s="115" t="s">
        <v>589</v>
      </c>
      <c r="C284" s="107" t="s">
        <v>875</v>
      </c>
      <c r="D284" s="107"/>
      <c r="E284" s="107"/>
      <c r="F284" s="107"/>
      <c r="G284" s="108" t="s">
        <v>876</v>
      </c>
      <c r="H284" s="105" t="n">
        <f aca="false">'[2]$ лето'!j284-'[2]$ лето'!au284-'[2]$ лето'!at284-'[2]$ лето'!as284-'[2]$ лето'!ar284-'[2]$ лето'!aq284-'[2]$ лето'!ap284-'[2]$ лето'!an284-'[2]$ лето'!am284-'[2]$ лето'!al284-'[2]$ лето'!ak284-'[2]$ лето'!aj284-'[2]$ лето'!ah284-'[2]$ лето'!ag284-'[2]$ лето'!af284-'[2]$ лето'!ae284-'[2]$ лето'!ad284-'[2]$ лето'!ab284-'[2]$ лето'!aa284-'[2]$ лето'!z284-'[2]$ лето'!y284-'[2]$ лето'!x284-'[2]$ лето'!v284-'[2]$ лето'!u284-'[2]$ лето'!t284-'[2]$ лето'!s284-'[2]$ лето'!r284-'[2]$ лето'!p284-'[2]$ лето'!o284-'[2]$ лето'!n284-'[2]$ лето'!m284-'[2]$ лето'!l284+'[2]$ лето'!k284+'[2]$ лето'!q284+'[2]$ лето'!w284+'[2]$ лето'!ac284+'[2]$ лето'!ai284+'[2]$ лето'!ao284</f>
        <v>0</v>
      </c>
      <c r="I284" s="109" t="n">
        <f aca="false">'[2]$ лето'!ay284*1.1</f>
        <v>1386</v>
      </c>
      <c r="J284" s="85" t="n">
        <v>2018</v>
      </c>
    </row>
    <row r="285" customFormat="false" ht="15" hidden="false" customHeight="false" outlineLevel="0" collapsed="false">
      <c r="A285" s="129" t="s">
        <v>152</v>
      </c>
      <c r="B285" s="129" t="s">
        <v>589</v>
      </c>
      <c r="C285" s="130" t="s">
        <v>877</v>
      </c>
      <c r="D285" s="130"/>
      <c r="E285" s="131"/>
      <c r="F285" s="131"/>
      <c r="G285" s="132" t="s">
        <v>626</v>
      </c>
      <c r="H285" s="105" t="n">
        <f aca="false">'[2]$ лето'!j285-'[2]$ лето'!au285-'[2]$ лето'!at285-'[2]$ лето'!as285-'[2]$ лето'!ar285-'[2]$ лето'!aq285-'[2]$ лето'!ap285-'[2]$ лето'!an285-'[2]$ лето'!am285-'[2]$ лето'!al285-'[2]$ лето'!ak285-'[2]$ лето'!aj285-'[2]$ лето'!ah285-'[2]$ лето'!ag285-'[2]$ лето'!af285-'[2]$ лето'!ae285-'[2]$ лето'!ad285-'[2]$ лето'!ab285-'[2]$ лето'!aa285-'[2]$ лето'!z285-'[2]$ лето'!y285-'[2]$ лето'!x285-'[2]$ лето'!v285-'[2]$ лето'!u285-'[2]$ лето'!t285-'[2]$ лето'!s285-'[2]$ лето'!r285-'[2]$ лето'!p285-'[2]$ лето'!o285-'[2]$ лето'!n285-'[2]$ лето'!m285-'[2]$ лето'!l285+'[2]$ лето'!k285+'[2]$ лето'!q285+'[2]$ лето'!w285+'[2]$ лето'!ac285+'[2]$ лето'!ai285+'[2]$ лето'!ao285</f>
        <v>2</v>
      </c>
      <c r="I285" s="133" t="n">
        <f aca="false">'[2]$ лето'!ay285*1.1</f>
        <v>1499.52</v>
      </c>
      <c r="J285" s="85" t="n">
        <v>2018</v>
      </c>
    </row>
    <row r="286" customFormat="false" ht="15" hidden="true" customHeight="false" outlineLevel="0" collapsed="false">
      <c r="A286" s="115" t="s">
        <v>152</v>
      </c>
      <c r="B286" s="115" t="s">
        <v>564</v>
      </c>
      <c r="C286" s="107" t="s">
        <v>788</v>
      </c>
      <c r="D286" s="107"/>
      <c r="E286" s="107"/>
      <c r="F286" s="107"/>
      <c r="G286" s="108" t="s">
        <v>520</v>
      </c>
      <c r="H286" s="105" t="n">
        <f aca="false">'[2]$ лето'!j286-'[2]$ лето'!au286-'[2]$ лето'!at286-'[2]$ лето'!as286-'[2]$ лето'!ar286-'[2]$ лето'!aq286-'[2]$ лето'!ap286-'[2]$ лето'!an286-'[2]$ лето'!am286-'[2]$ лето'!al286-'[2]$ лето'!ak286-'[2]$ лето'!aj286-'[2]$ лето'!ah286-'[2]$ лето'!ag286-'[2]$ лето'!af286-'[2]$ лето'!ae286-'[2]$ лето'!ad286-'[2]$ лето'!ab286-'[2]$ лето'!aa286-'[2]$ лето'!z286-'[2]$ лето'!y286-'[2]$ лето'!x286-'[2]$ лето'!v286-'[2]$ лето'!u286-'[2]$ лето'!t286-'[2]$ лето'!s286-'[2]$ лето'!r286-'[2]$ лето'!p286-'[2]$ лето'!o286-'[2]$ лето'!n286-'[2]$ лето'!m286-'[2]$ лето'!l286+'[2]$ лето'!k286+'[2]$ лето'!q286+'[2]$ лето'!w286+'[2]$ лето'!ac286+'[2]$ лето'!ai286+'[2]$ лето'!ao286</f>
        <v>0</v>
      </c>
      <c r="I286" s="109" t="n">
        <f aca="false">'[2]$ лето'!ay286*1.1</f>
        <v>985.6</v>
      </c>
    </row>
    <row r="287" customFormat="false" ht="15" hidden="false" customHeight="false" outlineLevel="0" collapsed="false">
      <c r="A287" s="115" t="s">
        <v>152</v>
      </c>
      <c r="B287" s="115" t="s">
        <v>683</v>
      </c>
      <c r="C287" s="116" t="s">
        <v>878</v>
      </c>
      <c r="D287" s="116"/>
      <c r="E287" s="116"/>
      <c r="F287" s="116"/>
      <c r="G287" s="108" t="s">
        <v>631</v>
      </c>
      <c r="H287" s="105" t="n">
        <f aca="false">'[2]$ лето'!j287-'[2]$ лето'!au287-'[2]$ лето'!at287-'[2]$ лето'!as287-'[2]$ лето'!ar287-'[2]$ лето'!aq287-'[2]$ лето'!ap287-'[2]$ лето'!an287-'[2]$ лето'!am287-'[2]$ лето'!al287-'[2]$ лето'!ak287-'[2]$ лето'!aj287-'[2]$ лето'!ah287-'[2]$ лето'!ag287-'[2]$ лето'!af287-'[2]$ лето'!ae287-'[2]$ лето'!ad287-'[2]$ лето'!ab287-'[2]$ лето'!aa287-'[2]$ лето'!z287-'[2]$ лето'!y287-'[2]$ лето'!x287-'[2]$ лето'!v287-'[2]$ лето'!u287-'[2]$ лето'!t287-'[2]$ лето'!s287-'[2]$ лето'!r287-'[2]$ лето'!p287-'[2]$ лето'!o287-'[2]$ лето'!n287-'[2]$ лето'!m287-'[2]$ лето'!l287+'[2]$ лето'!k287+'[2]$ лето'!q287+'[2]$ лето'!w287+'[2]$ лето'!ac287+'[2]$ лето'!ai287+'[2]$ лето'!ao287</f>
        <v>8</v>
      </c>
      <c r="I287" s="109" t="n">
        <f aca="false">'[2]$ лето'!ay287*1.1</f>
        <v>1324.4</v>
      </c>
      <c r="J287" s="85" t="n">
        <v>2018</v>
      </c>
    </row>
    <row r="288" customFormat="false" ht="15" hidden="true" customHeight="false" outlineLevel="0" collapsed="false">
      <c r="A288" s="115" t="s">
        <v>879</v>
      </c>
      <c r="B288" s="115" t="s">
        <v>568</v>
      </c>
      <c r="C288" s="116" t="s">
        <v>880</v>
      </c>
      <c r="D288" s="116"/>
      <c r="E288" s="116"/>
      <c r="F288" s="116"/>
      <c r="G288" s="108" t="s">
        <v>868</v>
      </c>
      <c r="H288" s="105" t="n">
        <f aca="false">'[2]$ лето'!j288-'[2]$ лето'!au288-'[2]$ лето'!at288-'[2]$ лето'!as288-'[2]$ лето'!ar288-'[2]$ лето'!aq288-'[2]$ лето'!ap288-'[2]$ лето'!an288-'[2]$ лето'!am288-'[2]$ лето'!al288-'[2]$ лето'!ak288-'[2]$ лето'!aj288-'[2]$ лето'!ah288-'[2]$ лето'!ag288-'[2]$ лето'!af288-'[2]$ лето'!ae288-'[2]$ лето'!ad288-'[2]$ лето'!ab288-'[2]$ лето'!aa288-'[2]$ лето'!z288-'[2]$ лето'!y288-'[2]$ лето'!x288-'[2]$ лето'!v288-'[2]$ лето'!u288-'[2]$ лето'!t288-'[2]$ лето'!s288-'[2]$ лето'!r288-'[2]$ лето'!p288-'[2]$ лето'!o288-'[2]$ лето'!n288-'[2]$ лето'!m288-'[2]$ лето'!l288+'[2]$ лето'!k288+'[2]$ лето'!q288+'[2]$ лето'!w288+'[2]$ лето'!ac288+'[2]$ лето'!ai288+'[2]$ лето'!ao288</f>
        <v>0</v>
      </c>
      <c r="I288" s="109" t="n">
        <f aca="false">'[2]$ лето'!ay288*1.1</f>
        <v>1016.4</v>
      </c>
      <c r="J288" s="85" t="n">
        <v>2016</v>
      </c>
    </row>
    <row r="289" customFormat="false" ht="15" hidden="true" customHeight="false" outlineLevel="0" collapsed="false">
      <c r="A289" s="115" t="s">
        <v>879</v>
      </c>
      <c r="B289" s="115" t="s">
        <v>658</v>
      </c>
      <c r="C289" s="116" t="s">
        <v>881</v>
      </c>
      <c r="D289" s="116"/>
      <c r="E289" s="116"/>
      <c r="F289" s="116"/>
      <c r="G289" s="108"/>
      <c r="H289" s="105" t="n">
        <f aca="false">'[2]$ лето'!j289-'[2]$ лето'!au289-'[2]$ лето'!at289-'[2]$ лето'!as289-'[2]$ лето'!ar289-'[2]$ лето'!aq289-'[2]$ лето'!ap289-'[2]$ лето'!an289-'[2]$ лето'!am289-'[2]$ лето'!al289-'[2]$ лето'!ak289-'[2]$ лето'!aj289-'[2]$ лето'!ah289-'[2]$ лето'!ag289-'[2]$ лето'!af289-'[2]$ лето'!ae289-'[2]$ лето'!ad289-'[2]$ лето'!ab289-'[2]$ лето'!aa289-'[2]$ лето'!z289-'[2]$ лето'!y289-'[2]$ лето'!x289-'[2]$ лето'!v289-'[2]$ лето'!u289-'[2]$ лето'!t289-'[2]$ лето'!s289-'[2]$ лето'!r289-'[2]$ лето'!p289-'[2]$ лето'!o289-'[2]$ лето'!n289-'[2]$ лето'!m289-'[2]$ лето'!l289+'[2]$ лето'!k289+'[2]$ лето'!q289+'[2]$ лето'!w289+'[2]$ лето'!ac289+'[2]$ лето'!ai289+'[2]$ лето'!ao289</f>
        <v>0</v>
      </c>
      <c r="I289" s="109" t="n">
        <f aca="false">'[2]$ лето'!ay289*1.1</f>
        <v>1078</v>
      </c>
    </row>
    <row r="290" customFormat="false" ht="15" hidden="false" customHeight="false" outlineLevel="0" collapsed="false">
      <c r="A290" s="107" t="s">
        <v>879</v>
      </c>
      <c r="B290" s="107" t="s">
        <v>553</v>
      </c>
      <c r="C290" s="116" t="s">
        <v>740</v>
      </c>
      <c r="D290" s="116"/>
      <c r="E290" s="116"/>
      <c r="F290" s="116"/>
      <c r="G290" s="108"/>
      <c r="H290" s="105" t="n">
        <f aca="false">'[2]$ лето'!j290-'[2]$ лето'!au290-'[2]$ лето'!at290-'[2]$ лето'!as290-'[2]$ лето'!ar290-'[2]$ лето'!aq290-'[2]$ лето'!ap290-'[2]$ лето'!an290-'[2]$ лето'!am290-'[2]$ лето'!al290-'[2]$ лето'!ak290-'[2]$ лето'!aj290-'[2]$ лето'!ah290-'[2]$ лето'!ag290-'[2]$ лето'!af290-'[2]$ лето'!ae290-'[2]$ лето'!ad290-'[2]$ лето'!ab290-'[2]$ лето'!aa290-'[2]$ лето'!z290-'[2]$ лето'!y290-'[2]$ лето'!x290-'[2]$ лето'!v290-'[2]$ лето'!u290-'[2]$ лето'!t290-'[2]$ лето'!s290-'[2]$ лето'!r290-'[2]$ лето'!p290-'[2]$ лето'!o290-'[2]$ лето'!n290-'[2]$ лето'!m290-'[2]$ лето'!l290+'[2]$ лето'!k290+'[2]$ лето'!q290+'[2]$ лето'!w290+'[2]$ лето'!ac290+'[2]$ лето'!ai290+'[2]$ лето'!ao290</f>
        <v>1</v>
      </c>
      <c r="I290" s="109" t="n">
        <f aca="false">'[2]$ лето'!ay290*1.1</f>
        <v>462</v>
      </c>
    </row>
    <row r="291" customFormat="false" ht="15" hidden="true" customHeight="false" outlineLevel="0" collapsed="false">
      <c r="A291" s="107" t="s">
        <v>879</v>
      </c>
      <c r="B291" s="107" t="s">
        <v>606</v>
      </c>
      <c r="C291" s="116" t="s">
        <v>882</v>
      </c>
      <c r="D291" s="116"/>
      <c r="E291" s="116"/>
      <c r="F291" s="116"/>
      <c r="G291" s="108"/>
      <c r="H291" s="105" t="n">
        <f aca="false">'[2]$ лето'!j291-'[2]$ лето'!au291-'[2]$ лето'!at291-'[2]$ лето'!as291-'[2]$ лето'!ar291-'[2]$ лето'!aq291-'[2]$ лето'!ap291-'[2]$ лето'!an291-'[2]$ лето'!am291-'[2]$ лето'!al291-'[2]$ лето'!ak291-'[2]$ лето'!aj291-'[2]$ лето'!ah291-'[2]$ лето'!ag291-'[2]$ лето'!af291-'[2]$ лето'!ae291-'[2]$ лето'!ad291-'[2]$ лето'!ab291-'[2]$ лето'!aa291-'[2]$ лето'!z291-'[2]$ лето'!y291-'[2]$ лето'!x291-'[2]$ лето'!v291-'[2]$ лето'!u291-'[2]$ лето'!t291-'[2]$ лето'!s291-'[2]$ лето'!r291-'[2]$ лето'!p291-'[2]$ лето'!o291-'[2]$ лето'!n291-'[2]$ лето'!m291-'[2]$ лето'!l291+'[2]$ лето'!k291+'[2]$ лето'!q291+'[2]$ лето'!w291+'[2]$ лето'!ac291+'[2]$ лето'!ai291+'[2]$ лето'!ao291</f>
        <v>0</v>
      </c>
      <c r="I291" s="109" t="n">
        <f aca="false">'[2]$ лето'!ay291*1.1</f>
        <v>935</v>
      </c>
    </row>
    <row r="292" customFormat="false" ht="15" hidden="true" customHeight="false" outlineLevel="0" collapsed="false">
      <c r="A292" s="107" t="s">
        <v>879</v>
      </c>
      <c r="B292" s="107" t="s">
        <v>883</v>
      </c>
      <c r="C292" s="116" t="s">
        <v>884</v>
      </c>
      <c r="D292" s="116"/>
      <c r="E292" s="116"/>
      <c r="F292" s="116"/>
      <c r="G292" s="108"/>
      <c r="H292" s="105" t="n">
        <f aca="false">'[2]$ лето'!j292-'[2]$ лето'!au292-'[2]$ лето'!at292-'[2]$ лето'!as292-'[2]$ лето'!ar292-'[2]$ лето'!aq292-'[2]$ лето'!ap292-'[2]$ лето'!an292-'[2]$ лето'!am292-'[2]$ лето'!al292-'[2]$ лето'!ak292-'[2]$ лето'!aj292-'[2]$ лето'!ah292-'[2]$ лето'!ag292-'[2]$ лето'!af292-'[2]$ лето'!ae292-'[2]$ лето'!ad292-'[2]$ лето'!ab292-'[2]$ лето'!aa292-'[2]$ лето'!z292-'[2]$ лето'!y292-'[2]$ лето'!x292-'[2]$ лето'!v292-'[2]$ лето'!u292-'[2]$ лето'!t292-'[2]$ лето'!s292-'[2]$ лето'!r292-'[2]$ лето'!p292-'[2]$ лето'!o292-'[2]$ лето'!n292-'[2]$ лето'!m292-'[2]$ лето'!l292+'[2]$ лето'!k292+'[2]$ лето'!q292+'[2]$ лето'!w292+'[2]$ лето'!ac292+'[2]$ лето'!ai292+'[2]$ лето'!ao292</f>
        <v>0</v>
      </c>
      <c r="I292" s="109" t="n">
        <f aca="false">'[2]$ лето'!ay292*1.1</f>
        <v>985.6</v>
      </c>
    </row>
    <row r="293" customFormat="false" ht="15" hidden="false" customHeight="false" outlineLevel="0" collapsed="false">
      <c r="A293" s="107" t="s">
        <v>879</v>
      </c>
      <c r="B293" s="107" t="s">
        <v>583</v>
      </c>
      <c r="C293" s="107" t="s">
        <v>885</v>
      </c>
      <c r="D293" s="107"/>
      <c r="E293" s="116"/>
      <c r="F293" s="116"/>
      <c r="G293" s="108" t="s">
        <v>843</v>
      </c>
      <c r="H293" s="105" t="n">
        <f aca="false">'[2]$ лето'!j293-'[2]$ лето'!au293-'[2]$ лето'!at293-'[2]$ лето'!as293-'[2]$ лето'!ar293-'[2]$ лето'!aq293-'[2]$ лето'!ap293-'[2]$ лето'!an293-'[2]$ лето'!am293-'[2]$ лето'!al293-'[2]$ лето'!ak293-'[2]$ лето'!aj293-'[2]$ лето'!ah293-'[2]$ лето'!ag293-'[2]$ лето'!af293-'[2]$ лето'!ae293-'[2]$ лето'!ad293-'[2]$ лето'!ab293-'[2]$ лето'!aa293-'[2]$ лето'!z293-'[2]$ лето'!y293-'[2]$ лето'!x293-'[2]$ лето'!v293-'[2]$ лето'!u293-'[2]$ лето'!t293-'[2]$ лето'!s293-'[2]$ лето'!r293-'[2]$ лето'!p293-'[2]$ лето'!o293-'[2]$ лето'!n293-'[2]$ лето'!m293-'[2]$ лето'!l293+'[2]$ лето'!k293+'[2]$ лето'!q293+'[2]$ лето'!w293+'[2]$ лето'!ac293+'[2]$ лето'!ai293+'[2]$ лето'!ao293</f>
        <v>4</v>
      </c>
      <c r="I293" s="109" t="n">
        <f aca="false">'[2]$ лето'!ay293*1.1</f>
        <v>1201.2</v>
      </c>
      <c r="J293" s="85" t="n">
        <v>2018</v>
      </c>
    </row>
    <row r="294" customFormat="false" ht="15" hidden="true" customHeight="false" outlineLevel="0" collapsed="false">
      <c r="A294" s="107" t="s">
        <v>879</v>
      </c>
      <c r="B294" s="107" t="s">
        <v>593</v>
      </c>
      <c r="C294" s="107" t="s">
        <v>886</v>
      </c>
      <c r="D294" s="107"/>
      <c r="E294" s="107"/>
      <c r="F294" s="107"/>
      <c r="G294" s="108"/>
      <c r="H294" s="105" t="n">
        <f aca="false">'[2]$ лето'!j294-'[2]$ лето'!au294-'[2]$ лето'!at294-'[2]$ лето'!as294-'[2]$ лето'!ar294-'[2]$ лето'!aq294-'[2]$ лето'!ap294-'[2]$ лето'!an294-'[2]$ лето'!am294-'[2]$ лето'!al294-'[2]$ лето'!ak294-'[2]$ лето'!aj294-'[2]$ лето'!ah294-'[2]$ лето'!ag294-'[2]$ лето'!af294-'[2]$ лето'!ae294-'[2]$ лето'!ad294-'[2]$ лето'!ab294-'[2]$ лето'!aa294-'[2]$ лето'!z294-'[2]$ лето'!y294-'[2]$ лето'!x294-'[2]$ лето'!v294-'[2]$ лето'!u294-'[2]$ лето'!t294-'[2]$ лето'!s294-'[2]$ лето'!r294-'[2]$ лето'!p294-'[2]$ лето'!o294-'[2]$ лето'!n294-'[2]$ лето'!m294-'[2]$ лето'!l294+'[2]$ лето'!k294+'[2]$ лето'!q294+'[2]$ лето'!w294+'[2]$ лето'!ac294+'[2]$ лето'!ai294+'[2]$ лето'!ao294</f>
        <v>0</v>
      </c>
      <c r="I294" s="109" t="n">
        <f aca="false">'[2]$ лето'!ay294*1.1</f>
        <v>1724.8</v>
      </c>
    </row>
    <row r="295" customFormat="false" ht="15" hidden="true" customHeight="false" outlineLevel="0" collapsed="false">
      <c r="A295" s="115" t="s">
        <v>879</v>
      </c>
      <c r="B295" s="115" t="s">
        <v>762</v>
      </c>
      <c r="C295" s="107" t="s">
        <v>887</v>
      </c>
      <c r="D295" s="107"/>
      <c r="E295" s="107"/>
      <c r="F295" s="107"/>
      <c r="G295" s="108" t="s">
        <v>888</v>
      </c>
      <c r="H295" s="105" t="n">
        <f aca="false">'[2]$ лето'!j295-'[2]$ лето'!au295-'[2]$ лето'!at295-'[2]$ лето'!as295-'[2]$ лето'!ar295-'[2]$ лето'!aq295-'[2]$ лето'!ap295-'[2]$ лето'!an295-'[2]$ лето'!am295-'[2]$ лето'!al295-'[2]$ лето'!ak295-'[2]$ лето'!aj295-'[2]$ лето'!ah295-'[2]$ лето'!ag295-'[2]$ лето'!af295-'[2]$ лето'!ae295-'[2]$ лето'!ad295-'[2]$ лето'!ab295-'[2]$ лето'!aa295-'[2]$ лето'!z295-'[2]$ лето'!y295-'[2]$ лето'!x295-'[2]$ лето'!v295-'[2]$ лето'!u295-'[2]$ лето'!t295-'[2]$ лето'!s295-'[2]$ лето'!r295-'[2]$ лето'!p295-'[2]$ лето'!o295-'[2]$ лето'!n295-'[2]$ лето'!m295-'[2]$ лето'!l295+'[2]$ лето'!k295+'[2]$ лето'!q295+'[2]$ лето'!w295+'[2]$ лето'!ac295+'[2]$ лето'!ai295+'[2]$ лето'!ao295</f>
        <v>0</v>
      </c>
      <c r="I295" s="109" t="n">
        <f aca="false">'[2]$ лето'!ay295*1.1</f>
        <v>1170.4</v>
      </c>
      <c r="J295" s="85" t="n">
        <v>2018</v>
      </c>
    </row>
    <row r="296" customFormat="false" ht="15" hidden="true" customHeight="false" outlineLevel="0" collapsed="false">
      <c r="A296" s="107" t="s">
        <v>879</v>
      </c>
      <c r="B296" s="107" t="s">
        <v>683</v>
      </c>
      <c r="C296" s="107" t="s">
        <v>889</v>
      </c>
      <c r="D296" s="107"/>
      <c r="E296" s="107"/>
      <c r="F296" s="107"/>
      <c r="G296" s="108" t="s">
        <v>843</v>
      </c>
      <c r="H296" s="105" t="n">
        <f aca="false">'[2]$ лето'!j296-'[2]$ лето'!au296-'[2]$ лето'!at296-'[2]$ лето'!as296-'[2]$ лето'!ar296-'[2]$ лето'!aq296-'[2]$ лето'!ap296-'[2]$ лето'!an296-'[2]$ лето'!am296-'[2]$ лето'!al296-'[2]$ лето'!ak296-'[2]$ лето'!aj296-'[2]$ лето'!ah296-'[2]$ лето'!ag296-'[2]$ лето'!af296-'[2]$ лето'!ae296-'[2]$ лето'!ad296-'[2]$ лето'!ab296-'[2]$ лето'!aa296-'[2]$ лето'!z296-'[2]$ лето'!y296-'[2]$ лето'!x296-'[2]$ лето'!v296-'[2]$ лето'!u296-'[2]$ лето'!t296-'[2]$ лето'!s296-'[2]$ лето'!r296-'[2]$ лето'!p296-'[2]$ лето'!o296-'[2]$ лето'!n296-'[2]$ лето'!m296-'[2]$ лето'!l296+'[2]$ лето'!k296+'[2]$ лето'!q296+'[2]$ лето'!w296+'[2]$ лето'!ac296+'[2]$ лето'!ai296+'[2]$ лето'!ao296</f>
        <v>0</v>
      </c>
      <c r="I296" s="109" t="n">
        <f aca="false">'[2]$ лето'!ay296*1.1</f>
        <v>1386</v>
      </c>
      <c r="J296" s="85" t="n">
        <v>2017</v>
      </c>
    </row>
    <row r="297" customFormat="false" ht="15" hidden="true" customHeight="false" outlineLevel="0" collapsed="false">
      <c r="A297" s="115" t="s">
        <v>159</v>
      </c>
      <c r="B297" s="107" t="s">
        <v>568</v>
      </c>
      <c r="C297" s="116" t="s">
        <v>890</v>
      </c>
      <c r="D297" s="116"/>
      <c r="E297" s="116"/>
      <c r="F297" s="116"/>
      <c r="G297" s="108"/>
      <c r="H297" s="105" t="n">
        <f aca="false">'[2]$ лето'!j297-'[2]$ лето'!au297-'[2]$ лето'!at297-'[2]$ лето'!as297-'[2]$ лето'!ar297-'[2]$ лето'!aq297-'[2]$ лето'!ap297-'[2]$ лето'!an297-'[2]$ лето'!am297-'[2]$ лето'!al297-'[2]$ лето'!ak297-'[2]$ лето'!aj297-'[2]$ лето'!ah297-'[2]$ лето'!ag297-'[2]$ лето'!af297-'[2]$ лето'!ae297-'[2]$ лето'!ad297-'[2]$ лето'!ab297-'[2]$ лето'!aa297-'[2]$ лето'!z297-'[2]$ лето'!y297-'[2]$ лето'!x297-'[2]$ лето'!v297-'[2]$ лето'!u297-'[2]$ лето'!t297-'[2]$ лето'!s297-'[2]$ лето'!r297-'[2]$ лето'!p297-'[2]$ лето'!o297-'[2]$ лето'!n297-'[2]$ лето'!m297-'[2]$ лето'!l297+'[2]$ лето'!k297+'[2]$ лето'!q297+'[2]$ лето'!w297+'[2]$ лето'!ac297+'[2]$ лето'!ai297+'[2]$ лето'!ao297</f>
        <v>0</v>
      </c>
      <c r="I297" s="109" t="n">
        <f aca="false">'[2]$ лето'!ay297*1.1</f>
        <v>1386</v>
      </c>
    </row>
    <row r="298" customFormat="false" ht="15" hidden="false" customHeight="false" outlineLevel="0" collapsed="false">
      <c r="A298" s="115" t="s">
        <v>159</v>
      </c>
      <c r="B298" s="115" t="s">
        <v>821</v>
      </c>
      <c r="C298" s="126" t="s">
        <v>706</v>
      </c>
      <c r="D298" s="126"/>
      <c r="E298" s="126"/>
      <c r="F298" s="126"/>
      <c r="G298" s="108" t="s">
        <v>663</v>
      </c>
      <c r="H298" s="105" t="n">
        <f aca="false">'[2]$ лето'!j298-'[2]$ лето'!au298-'[2]$ лето'!at298-'[2]$ лето'!as298-'[2]$ лето'!ar298-'[2]$ лето'!aq298-'[2]$ лето'!ap298-'[2]$ лето'!an298-'[2]$ лето'!am298-'[2]$ лето'!al298-'[2]$ лето'!ak298-'[2]$ лето'!aj298-'[2]$ лето'!ah298-'[2]$ лето'!ag298-'[2]$ лето'!af298-'[2]$ лето'!ae298-'[2]$ лето'!ad298-'[2]$ лето'!ab298-'[2]$ лето'!aa298-'[2]$ лето'!z298-'[2]$ лето'!y298-'[2]$ лето'!x298-'[2]$ лето'!v298-'[2]$ лето'!u298-'[2]$ лето'!t298-'[2]$ лето'!s298-'[2]$ лето'!r298-'[2]$ лето'!p298-'[2]$ лето'!o298-'[2]$ лето'!n298-'[2]$ лето'!m298-'[2]$ лето'!l298+'[2]$ лето'!k298+'[2]$ лето'!q298+'[2]$ лето'!w298+'[2]$ лето'!ac298+'[2]$ лето'!ai298+'[2]$ лето'!ao298</f>
        <v>2</v>
      </c>
      <c r="I298" s="109" t="n">
        <f aca="false">'[2]$ лето'!ay298*1.1</f>
        <v>1078</v>
      </c>
      <c r="J298" s="85" t="n">
        <v>2014</v>
      </c>
    </row>
    <row r="299" customFormat="false" ht="15" hidden="true" customHeight="false" outlineLevel="0" collapsed="false">
      <c r="A299" s="115" t="s">
        <v>159</v>
      </c>
      <c r="B299" s="115" t="s">
        <v>606</v>
      </c>
      <c r="C299" s="126" t="s">
        <v>891</v>
      </c>
      <c r="D299" s="126"/>
      <c r="E299" s="126"/>
      <c r="F299" s="126"/>
      <c r="G299" s="108"/>
      <c r="H299" s="105" t="n">
        <f aca="false">'[2]$ лето'!j299-'[2]$ лето'!au299-'[2]$ лето'!at299-'[2]$ лето'!as299-'[2]$ лето'!ar299-'[2]$ лето'!aq299-'[2]$ лето'!ap299-'[2]$ лето'!an299-'[2]$ лето'!am299-'[2]$ лето'!al299-'[2]$ лето'!ak299-'[2]$ лето'!aj299-'[2]$ лето'!ah299-'[2]$ лето'!ag299-'[2]$ лето'!af299-'[2]$ лето'!ae299-'[2]$ лето'!ad299-'[2]$ лето'!ab299-'[2]$ лето'!aa299-'[2]$ лето'!z299-'[2]$ лето'!y299-'[2]$ лето'!x299-'[2]$ лето'!v299-'[2]$ лето'!u299-'[2]$ лето'!t299-'[2]$ лето'!s299-'[2]$ лето'!r299-'[2]$ лето'!p299-'[2]$ лето'!o299-'[2]$ лето'!n299-'[2]$ лето'!m299-'[2]$ лето'!l299+'[2]$ лето'!k299+'[2]$ лето'!q299+'[2]$ лето'!w299+'[2]$ лето'!ac299+'[2]$ лето'!ai299+'[2]$ лето'!ao299</f>
        <v>0</v>
      </c>
      <c r="I299" s="109" t="n">
        <f aca="false">'[2]$ лето'!ay299*1.1</f>
        <v>1447.6</v>
      </c>
    </row>
    <row r="300" customFormat="false" ht="15" hidden="true" customHeight="false" outlineLevel="0" collapsed="false">
      <c r="A300" s="115" t="s">
        <v>159</v>
      </c>
      <c r="B300" s="115" t="s">
        <v>606</v>
      </c>
      <c r="C300" s="126" t="s">
        <v>892</v>
      </c>
      <c r="D300" s="126"/>
      <c r="E300" s="126"/>
      <c r="F300" s="126"/>
      <c r="G300" s="108"/>
      <c r="H300" s="105" t="n">
        <f aca="false">'[2]$ лето'!j300-'[2]$ лето'!au300-'[2]$ лето'!at300-'[2]$ лето'!as300-'[2]$ лето'!ar300-'[2]$ лето'!aq300-'[2]$ лето'!ap300-'[2]$ лето'!an300-'[2]$ лето'!am300-'[2]$ лето'!al300-'[2]$ лето'!ak300-'[2]$ лето'!aj300-'[2]$ лето'!ah300-'[2]$ лето'!ag300-'[2]$ лето'!af300-'[2]$ лето'!ae300-'[2]$ лето'!ad300-'[2]$ лето'!ab300-'[2]$ лето'!aa300-'[2]$ лето'!z300-'[2]$ лето'!y300-'[2]$ лето'!x300-'[2]$ лето'!v300-'[2]$ лето'!u300-'[2]$ лето'!t300-'[2]$ лето'!s300-'[2]$ лето'!r300-'[2]$ лето'!p300-'[2]$ лето'!o300-'[2]$ лето'!n300-'[2]$ лето'!m300-'[2]$ лето'!l300+'[2]$ лето'!k300+'[2]$ лето'!q300+'[2]$ лето'!w300+'[2]$ лето'!ac300+'[2]$ лето'!ai300+'[2]$ лето'!ao300</f>
        <v>0</v>
      </c>
      <c r="I300" s="109" t="n">
        <f aca="false">'[2]$ лето'!ay300*1.1</f>
        <v>1478.4</v>
      </c>
    </row>
    <row r="301" customFormat="false" ht="15" hidden="true" customHeight="false" outlineLevel="0" collapsed="false">
      <c r="A301" s="115" t="s">
        <v>159</v>
      </c>
      <c r="B301" s="115" t="s">
        <v>666</v>
      </c>
      <c r="C301" s="126" t="s">
        <v>893</v>
      </c>
      <c r="D301" s="126"/>
      <c r="E301" s="126"/>
      <c r="F301" s="126"/>
      <c r="G301" s="108"/>
      <c r="H301" s="105" t="n">
        <f aca="false">'[2]$ лето'!j301-'[2]$ лето'!au301-'[2]$ лето'!at301-'[2]$ лето'!as301-'[2]$ лето'!ar301-'[2]$ лето'!aq301-'[2]$ лето'!ap301-'[2]$ лето'!an301-'[2]$ лето'!am301-'[2]$ лето'!al301-'[2]$ лето'!ak301-'[2]$ лето'!aj301-'[2]$ лето'!ah301-'[2]$ лето'!ag301-'[2]$ лето'!af301-'[2]$ лето'!ae301-'[2]$ лето'!ad301-'[2]$ лето'!ab301-'[2]$ лето'!aa301-'[2]$ лето'!z301-'[2]$ лето'!y301-'[2]$ лето'!x301-'[2]$ лето'!v301-'[2]$ лето'!u301-'[2]$ лето'!t301-'[2]$ лето'!s301-'[2]$ лето'!r301-'[2]$ лето'!p301-'[2]$ лето'!o301-'[2]$ лето'!n301-'[2]$ лето'!m301-'[2]$ лето'!l301+'[2]$ лето'!k301+'[2]$ лето'!q301+'[2]$ лето'!w301+'[2]$ лето'!ac301+'[2]$ лето'!ai301+'[2]$ лето'!ao301</f>
        <v>0</v>
      </c>
      <c r="I301" s="109" t="n">
        <f aca="false">'[2]$ лето'!ay301*1.1</f>
        <v>2125.2</v>
      </c>
      <c r="J301" s="85" t="n">
        <v>2017</v>
      </c>
    </row>
    <row r="302" customFormat="false" ht="15" hidden="true" customHeight="false" outlineLevel="0" collapsed="false">
      <c r="A302" s="115" t="s">
        <v>159</v>
      </c>
      <c r="B302" s="115" t="s">
        <v>668</v>
      </c>
      <c r="C302" s="116" t="s">
        <v>894</v>
      </c>
      <c r="D302" s="116"/>
      <c r="E302" s="116"/>
      <c r="F302" s="116"/>
      <c r="G302" s="108" t="s">
        <v>609</v>
      </c>
      <c r="H302" s="105" t="n">
        <f aca="false">'[2]$ лето'!j302-'[2]$ лето'!au302-'[2]$ лето'!at302-'[2]$ лето'!as302-'[2]$ лето'!ar302-'[2]$ лето'!aq302-'[2]$ лето'!ap302-'[2]$ лето'!an302-'[2]$ лето'!am302-'[2]$ лето'!al302-'[2]$ лето'!ak302-'[2]$ лето'!aj302-'[2]$ лето'!ah302-'[2]$ лето'!ag302-'[2]$ лето'!af302-'[2]$ лето'!ae302-'[2]$ лето'!ad302-'[2]$ лето'!ab302-'[2]$ лето'!aa302-'[2]$ лето'!z302-'[2]$ лето'!y302-'[2]$ лето'!x302-'[2]$ лето'!v302-'[2]$ лето'!u302-'[2]$ лето'!t302-'[2]$ лето'!s302-'[2]$ лето'!r302-'[2]$ лето'!p302-'[2]$ лето'!o302-'[2]$ лето'!n302-'[2]$ лето'!m302-'[2]$ лето'!l302+'[2]$ лето'!k302+'[2]$ лето'!q302+'[2]$ лето'!w302+'[2]$ лето'!ac302+'[2]$ лето'!ai302+'[2]$ лето'!ao302</f>
        <v>0</v>
      </c>
      <c r="I302" s="109" t="n">
        <f aca="false">'[2]$ лето'!ay302*1.1</f>
        <v>1355.2</v>
      </c>
    </row>
    <row r="303" customFormat="false" ht="15" hidden="true" customHeight="false" outlineLevel="0" collapsed="false">
      <c r="A303" s="115" t="s">
        <v>159</v>
      </c>
      <c r="B303" s="115" t="s">
        <v>574</v>
      </c>
      <c r="C303" s="116" t="s">
        <v>895</v>
      </c>
      <c r="D303" s="116"/>
      <c r="E303" s="116"/>
      <c r="F303" s="116"/>
      <c r="G303" s="108" t="s">
        <v>576</v>
      </c>
      <c r="H303" s="105" t="n">
        <f aca="false">'[2]$ лето'!j303-'[2]$ лето'!au303-'[2]$ лето'!at303-'[2]$ лето'!as303-'[2]$ лето'!ar303-'[2]$ лето'!aq303-'[2]$ лето'!ap303-'[2]$ лето'!an303-'[2]$ лето'!am303-'[2]$ лето'!al303-'[2]$ лето'!ak303-'[2]$ лето'!aj303-'[2]$ лето'!ah303-'[2]$ лето'!ag303-'[2]$ лето'!af303-'[2]$ лето'!ae303-'[2]$ лето'!ad303-'[2]$ лето'!ab303-'[2]$ лето'!aa303-'[2]$ лето'!z303-'[2]$ лето'!y303-'[2]$ лето'!x303-'[2]$ лето'!v303-'[2]$ лето'!u303-'[2]$ лето'!t303-'[2]$ лето'!s303-'[2]$ лето'!r303-'[2]$ лето'!p303-'[2]$ лето'!o303-'[2]$ лето'!n303-'[2]$ лето'!m303-'[2]$ лето'!l303+'[2]$ лето'!k303+'[2]$ лето'!q303+'[2]$ лето'!w303+'[2]$ лето'!ac303+'[2]$ лето'!ai303+'[2]$ лето'!ao303</f>
        <v>0</v>
      </c>
      <c r="I303" s="109" t="n">
        <f aca="false">'[2]$ лето'!ay303*1.1</f>
        <v>0</v>
      </c>
    </row>
    <row r="304" customFormat="false" ht="15" hidden="false" customHeight="false" outlineLevel="0" collapsed="false">
      <c r="A304" s="115" t="s">
        <v>159</v>
      </c>
      <c r="B304" s="115" t="s">
        <v>577</v>
      </c>
      <c r="C304" s="116" t="s">
        <v>896</v>
      </c>
      <c r="D304" s="116"/>
      <c r="E304" s="116"/>
      <c r="F304" s="116"/>
      <c r="G304" s="108" t="s">
        <v>563</v>
      </c>
      <c r="H304" s="105" t="n">
        <f aca="false">'[2]$ лето'!j304-'[2]$ лето'!au304-'[2]$ лето'!at304-'[2]$ лето'!as304-'[2]$ лето'!ar304-'[2]$ лето'!aq304-'[2]$ лето'!ap304-'[2]$ лето'!an304-'[2]$ лето'!am304-'[2]$ лето'!al304-'[2]$ лето'!ak304-'[2]$ лето'!aj304-'[2]$ лето'!ah304-'[2]$ лето'!ag304-'[2]$ лето'!af304-'[2]$ лето'!ae304-'[2]$ лето'!ad304-'[2]$ лето'!ab304-'[2]$ лето'!aa304-'[2]$ лето'!z304-'[2]$ лето'!y304-'[2]$ лето'!x304-'[2]$ лето'!v304-'[2]$ лето'!u304-'[2]$ лето'!t304-'[2]$ лето'!s304-'[2]$ лето'!r304-'[2]$ лето'!p304-'[2]$ лето'!o304-'[2]$ лето'!n304-'[2]$ лето'!m304-'[2]$ лето'!l304+'[2]$ лето'!k304+'[2]$ лето'!q304+'[2]$ лето'!w304+'[2]$ лето'!ac304+'[2]$ лето'!ai304+'[2]$ лето'!ao304</f>
        <v>8</v>
      </c>
      <c r="I304" s="109" t="n">
        <f aca="false">'[2]$ лето'!ay304*1.1</f>
        <v>1293.6</v>
      </c>
      <c r="J304" s="85" t="n">
        <v>2018</v>
      </c>
    </row>
    <row r="305" customFormat="false" ht="15" hidden="true" customHeight="false" outlineLevel="0" collapsed="false">
      <c r="A305" s="115" t="s">
        <v>159</v>
      </c>
      <c r="B305" s="115" t="s">
        <v>583</v>
      </c>
      <c r="C305" s="116" t="s">
        <v>897</v>
      </c>
      <c r="D305" s="116"/>
      <c r="E305" s="116"/>
      <c r="F305" s="116"/>
      <c r="G305" s="108" t="s">
        <v>864</v>
      </c>
      <c r="H305" s="105" t="n">
        <f aca="false">'[2]$ лето'!j305-'[2]$ лето'!au305-'[2]$ лето'!at305-'[2]$ лето'!as305-'[2]$ лето'!ar305-'[2]$ лето'!aq305-'[2]$ лето'!ap305-'[2]$ лето'!an305-'[2]$ лето'!am305-'[2]$ лето'!al305-'[2]$ лето'!ak305-'[2]$ лето'!aj305-'[2]$ лето'!ah305-'[2]$ лето'!ag305-'[2]$ лето'!af305-'[2]$ лето'!ae305-'[2]$ лето'!ad305-'[2]$ лето'!ab305-'[2]$ лето'!aa305-'[2]$ лето'!z305-'[2]$ лето'!y305-'[2]$ лето'!x305-'[2]$ лето'!v305-'[2]$ лето'!u305-'[2]$ лето'!t305-'[2]$ лето'!s305-'[2]$ лето'!r305-'[2]$ лето'!p305-'[2]$ лето'!o305-'[2]$ лето'!n305-'[2]$ лето'!m305-'[2]$ лето'!l305+'[2]$ лето'!k305+'[2]$ лето'!q305+'[2]$ лето'!w305+'[2]$ лето'!ac305+'[2]$ лето'!ai305+'[2]$ лето'!ao305</f>
        <v>0</v>
      </c>
      <c r="I305" s="109" t="n">
        <f aca="false">'[2]$ лето'!ay305*1.1</f>
        <v>1447.6</v>
      </c>
      <c r="J305" s="85" t="n">
        <v>2018</v>
      </c>
    </row>
    <row r="306" customFormat="false" ht="15" hidden="true" customHeight="false" outlineLevel="0" collapsed="false">
      <c r="A306" s="115" t="s">
        <v>159</v>
      </c>
      <c r="B306" s="115" t="s">
        <v>593</v>
      </c>
      <c r="C306" s="116" t="s">
        <v>799</v>
      </c>
      <c r="D306" s="116"/>
      <c r="E306" s="116"/>
      <c r="F306" s="116"/>
      <c r="G306" s="108"/>
      <c r="H306" s="105" t="n">
        <f aca="false">'[2]$ лето'!j306-'[2]$ лето'!au306-'[2]$ лето'!at306-'[2]$ лето'!as306-'[2]$ лето'!ar306-'[2]$ лето'!aq306-'[2]$ лето'!ap306-'[2]$ лето'!an306-'[2]$ лето'!am306-'[2]$ лето'!al306-'[2]$ лето'!ak306-'[2]$ лето'!aj306-'[2]$ лето'!ah306-'[2]$ лето'!ag306-'[2]$ лето'!af306-'[2]$ лето'!ae306-'[2]$ лето'!ad306-'[2]$ лето'!ab306-'[2]$ лето'!aa306-'[2]$ лето'!z306-'[2]$ лето'!y306-'[2]$ лето'!x306-'[2]$ лето'!v306-'[2]$ лето'!u306-'[2]$ лето'!t306-'[2]$ лето'!s306-'[2]$ лето'!r306-'[2]$ лето'!p306-'[2]$ лето'!o306-'[2]$ лето'!n306-'[2]$ лето'!m306-'[2]$ лето'!l306+'[2]$ лето'!k306+'[2]$ лето'!q306+'[2]$ лето'!w306+'[2]$ лето'!ac306+'[2]$ лето'!ai306+'[2]$ лето'!ao306</f>
        <v>0</v>
      </c>
      <c r="I306" s="109" t="n">
        <f aca="false">'[2]$ лето'!ay306*1.1</f>
        <v>2310</v>
      </c>
    </row>
    <row r="307" customFormat="false" ht="15" hidden="true" customHeight="false" outlineLevel="0" collapsed="false">
      <c r="A307" s="115" t="s">
        <v>159</v>
      </c>
      <c r="B307" s="115" t="s">
        <v>586</v>
      </c>
      <c r="C307" s="107" t="s">
        <v>898</v>
      </c>
      <c r="D307" s="107"/>
      <c r="E307" s="107"/>
      <c r="F307" s="107"/>
      <c r="G307" s="108" t="s">
        <v>520</v>
      </c>
      <c r="H307" s="105" t="n">
        <f aca="false">'[2]$ лето'!j307-'[2]$ лето'!au307-'[2]$ лето'!at307-'[2]$ лето'!as307-'[2]$ лето'!ar307-'[2]$ лето'!aq307-'[2]$ лето'!ap307-'[2]$ лето'!an307-'[2]$ лето'!am307-'[2]$ лето'!al307-'[2]$ лето'!ak307-'[2]$ лето'!aj307-'[2]$ лето'!ah307-'[2]$ лето'!ag307-'[2]$ лето'!af307-'[2]$ лето'!ae307-'[2]$ лето'!ad307-'[2]$ лето'!ab307-'[2]$ лето'!aa307-'[2]$ лето'!z307-'[2]$ лето'!y307-'[2]$ лето'!x307-'[2]$ лето'!v307-'[2]$ лето'!u307-'[2]$ лето'!t307-'[2]$ лето'!s307-'[2]$ лето'!r307-'[2]$ лето'!p307-'[2]$ лето'!o307-'[2]$ лето'!n307-'[2]$ лето'!m307-'[2]$ лето'!l307+'[2]$ лето'!k307+'[2]$ лето'!q307+'[2]$ лето'!w307+'[2]$ лето'!ac307+'[2]$ лето'!ai307+'[2]$ лето'!ao307</f>
        <v>0</v>
      </c>
      <c r="I307" s="109" t="n">
        <f aca="false">'[2]$ лето'!ay307*1.1</f>
        <v>1078</v>
      </c>
    </row>
    <row r="308" customFormat="false" ht="15" hidden="true" customHeight="false" outlineLevel="0" collapsed="false">
      <c r="A308" s="115" t="s">
        <v>159</v>
      </c>
      <c r="B308" s="115" t="s">
        <v>586</v>
      </c>
      <c r="C308" s="107" t="s">
        <v>899</v>
      </c>
      <c r="D308" s="107"/>
      <c r="E308" s="107"/>
      <c r="F308" s="107"/>
      <c r="G308" s="108" t="s">
        <v>520</v>
      </c>
      <c r="H308" s="105" t="n">
        <f aca="false">'[2]$ лето'!j308-'[2]$ лето'!au308-'[2]$ лето'!at308-'[2]$ лето'!as308-'[2]$ лето'!ar308-'[2]$ лето'!aq308-'[2]$ лето'!ap308-'[2]$ лето'!an308-'[2]$ лето'!am308-'[2]$ лето'!al308-'[2]$ лето'!ak308-'[2]$ лето'!aj308-'[2]$ лето'!ah308-'[2]$ лето'!ag308-'[2]$ лето'!af308-'[2]$ лето'!ae308-'[2]$ лето'!ad308-'[2]$ лето'!ab308-'[2]$ лето'!aa308-'[2]$ лето'!z308-'[2]$ лето'!y308-'[2]$ лето'!x308-'[2]$ лето'!v308-'[2]$ лето'!u308-'[2]$ лето'!t308-'[2]$ лето'!s308-'[2]$ лето'!r308-'[2]$ лето'!p308-'[2]$ лето'!o308-'[2]$ лето'!n308-'[2]$ лето'!m308-'[2]$ лето'!l308+'[2]$ лето'!k308+'[2]$ лето'!q308+'[2]$ лето'!w308+'[2]$ лето'!ac308+'[2]$ лето'!ai308+'[2]$ лето'!ao308</f>
        <v>0</v>
      </c>
      <c r="I308" s="109" t="n">
        <f aca="false">'[2]$ лето'!ay308*1.1</f>
        <v>1078</v>
      </c>
      <c r="J308" s="85" t="n">
        <v>2017</v>
      </c>
    </row>
    <row r="309" customFormat="false" ht="15" hidden="true" customHeight="false" outlineLevel="0" collapsed="false">
      <c r="A309" s="115" t="s">
        <v>159</v>
      </c>
      <c r="B309" s="115" t="s">
        <v>762</v>
      </c>
      <c r="C309" s="107" t="s">
        <v>900</v>
      </c>
      <c r="D309" s="107"/>
      <c r="E309" s="107"/>
      <c r="F309" s="107"/>
      <c r="G309" s="108"/>
      <c r="H309" s="105" t="n">
        <f aca="false">'[2]$ лето'!j309-'[2]$ лето'!au309-'[2]$ лето'!at309-'[2]$ лето'!as309-'[2]$ лето'!ar309-'[2]$ лето'!aq309-'[2]$ лето'!ap309-'[2]$ лето'!an309-'[2]$ лето'!am309-'[2]$ лето'!al309-'[2]$ лето'!ak309-'[2]$ лето'!aj309-'[2]$ лето'!ah309-'[2]$ лето'!ag309-'[2]$ лето'!af309-'[2]$ лето'!ae309-'[2]$ лето'!ad309-'[2]$ лето'!ab309-'[2]$ лето'!aa309-'[2]$ лето'!z309-'[2]$ лето'!y309-'[2]$ лето'!x309-'[2]$ лето'!v309-'[2]$ лето'!u309-'[2]$ лето'!t309-'[2]$ лето'!s309-'[2]$ лето'!r309-'[2]$ лето'!p309-'[2]$ лето'!o309-'[2]$ лето'!n309-'[2]$ лето'!m309-'[2]$ лето'!l309+'[2]$ лето'!k309+'[2]$ лето'!q309+'[2]$ лето'!w309+'[2]$ лето'!ac309+'[2]$ лето'!ai309+'[2]$ лето'!ao309</f>
        <v>0</v>
      </c>
      <c r="I309" s="109" t="n">
        <f aca="false">'[2]$ лето'!ay309*1.1</f>
        <v>1293.6</v>
      </c>
      <c r="J309" s="85" t="n">
        <v>2018</v>
      </c>
    </row>
    <row r="310" customFormat="false" ht="15" hidden="true" customHeight="false" outlineLevel="0" collapsed="false">
      <c r="A310" s="115" t="s">
        <v>159</v>
      </c>
      <c r="B310" s="115" t="s">
        <v>677</v>
      </c>
      <c r="C310" s="107" t="s">
        <v>901</v>
      </c>
      <c r="D310" s="107"/>
      <c r="E310" s="107"/>
      <c r="F310" s="107"/>
      <c r="G310" s="108"/>
      <c r="H310" s="105" t="n">
        <f aca="false">'[2]$ лето'!j310-'[2]$ лето'!au310-'[2]$ лето'!at310-'[2]$ лето'!as310-'[2]$ лето'!ar310-'[2]$ лето'!aq310-'[2]$ лето'!ap310-'[2]$ лето'!an310-'[2]$ лето'!am310-'[2]$ лето'!al310-'[2]$ лето'!ak310-'[2]$ лето'!aj310-'[2]$ лето'!ah310-'[2]$ лето'!ag310-'[2]$ лето'!af310-'[2]$ лето'!ae310-'[2]$ лето'!ad310-'[2]$ лето'!ab310-'[2]$ лето'!aa310-'[2]$ лето'!z310-'[2]$ лето'!y310-'[2]$ лето'!x310-'[2]$ лето'!v310-'[2]$ лето'!u310-'[2]$ лето'!t310-'[2]$ лето'!s310-'[2]$ лето'!r310-'[2]$ лето'!p310-'[2]$ лето'!o310-'[2]$ лето'!n310-'[2]$ лето'!m310-'[2]$ лето'!l310+'[2]$ лето'!k310+'[2]$ лето'!q310+'[2]$ лето'!w310+'[2]$ лето'!ac310+'[2]$ лето'!ai310+'[2]$ лето'!ao310</f>
        <v>0</v>
      </c>
      <c r="I310" s="109" t="n">
        <f aca="false">'[2]$ лето'!ay310*1.1</f>
        <v>1078</v>
      </c>
    </row>
    <row r="311" customFormat="false" ht="15" hidden="false" customHeight="false" outlineLevel="0" collapsed="false">
      <c r="A311" s="115" t="s">
        <v>159</v>
      </c>
      <c r="B311" s="115" t="s">
        <v>623</v>
      </c>
      <c r="C311" s="116" t="s">
        <v>902</v>
      </c>
      <c r="D311" s="116"/>
      <c r="E311" s="116"/>
      <c r="F311" s="116"/>
      <c r="G311" s="108"/>
      <c r="H311" s="105" t="n">
        <f aca="false">'[2]$ лето'!j311-'[2]$ лето'!au311-'[2]$ лето'!at311-'[2]$ лето'!as311-'[2]$ лето'!ar311-'[2]$ лето'!aq311-'[2]$ лето'!ap311-'[2]$ лето'!an311-'[2]$ лето'!am311-'[2]$ лето'!al311-'[2]$ лето'!ak311-'[2]$ лето'!aj311-'[2]$ лето'!ah311-'[2]$ лето'!ag311-'[2]$ лето'!af311-'[2]$ лето'!ae311-'[2]$ лето'!ad311-'[2]$ лето'!ab311-'[2]$ лето'!aa311-'[2]$ лето'!z311-'[2]$ лето'!y311-'[2]$ лето'!x311-'[2]$ лето'!v311-'[2]$ лето'!u311-'[2]$ лето'!t311-'[2]$ лето'!s311-'[2]$ лето'!r311-'[2]$ лето'!p311-'[2]$ лето'!o311-'[2]$ лето'!n311-'[2]$ лето'!m311-'[2]$ лето'!l311+'[2]$ лето'!k311+'[2]$ лето'!q311+'[2]$ лето'!w311+'[2]$ лето'!ac311+'[2]$ лето'!ai311+'[2]$ лето'!ao311</f>
        <v>6</v>
      </c>
      <c r="I311" s="109" t="n">
        <f aca="false">'[2]$ лето'!ay311*1.1</f>
        <v>1139.6</v>
      </c>
      <c r="J311" s="85" t="n">
        <v>2018</v>
      </c>
    </row>
    <row r="312" customFormat="false" ht="15" hidden="true" customHeight="false" outlineLevel="0" collapsed="false">
      <c r="A312" s="115" t="s">
        <v>159</v>
      </c>
      <c r="B312" s="115" t="s">
        <v>564</v>
      </c>
      <c r="C312" s="116" t="s">
        <v>903</v>
      </c>
      <c r="D312" s="116"/>
      <c r="E312" s="116"/>
      <c r="F312" s="116"/>
      <c r="G312" s="108" t="s">
        <v>520</v>
      </c>
      <c r="H312" s="105" t="n">
        <f aca="false">'[2]$ лето'!j312-'[2]$ лето'!au312-'[2]$ лето'!at312-'[2]$ лето'!as312-'[2]$ лето'!ar312-'[2]$ лето'!aq312-'[2]$ лето'!ap312-'[2]$ лето'!an312-'[2]$ лето'!am312-'[2]$ лето'!al312-'[2]$ лето'!ak312-'[2]$ лето'!aj312-'[2]$ лето'!ah312-'[2]$ лето'!ag312-'[2]$ лето'!af312-'[2]$ лето'!ae312-'[2]$ лето'!ad312-'[2]$ лето'!ab312-'[2]$ лето'!aa312-'[2]$ лето'!z312-'[2]$ лето'!y312-'[2]$ лето'!x312-'[2]$ лето'!v312-'[2]$ лето'!u312-'[2]$ лето'!t312-'[2]$ лето'!s312-'[2]$ лето'!r312-'[2]$ лето'!p312-'[2]$ лето'!o312-'[2]$ лето'!n312-'[2]$ лето'!m312-'[2]$ лето'!l312+'[2]$ лето'!k312+'[2]$ лето'!q312+'[2]$ лето'!w312+'[2]$ лето'!ac312+'[2]$ лето'!ai312+'[2]$ лето'!ao312</f>
        <v>0</v>
      </c>
      <c r="I312" s="109" t="n">
        <f aca="false">'[2]$ лето'!ay312*1.1</f>
        <v>1078</v>
      </c>
    </row>
    <row r="313" customFormat="false" ht="15" hidden="true" customHeight="false" outlineLevel="0" collapsed="false">
      <c r="A313" s="115" t="s">
        <v>163</v>
      </c>
      <c r="B313" s="115" t="s">
        <v>566</v>
      </c>
      <c r="C313" s="107" t="s">
        <v>840</v>
      </c>
      <c r="D313" s="107"/>
      <c r="E313" s="107"/>
      <c r="F313" s="107"/>
      <c r="G313" s="108" t="s">
        <v>563</v>
      </c>
      <c r="H313" s="105" t="n">
        <f aca="false">'[2]$ лето'!j313-'[2]$ лето'!au313-'[2]$ лето'!at313-'[2]$ лето'!as313-'[2]$ лето'!ar313-'[2]$ лето'!aq313-'[2]$ лето'!ap313-'[2]$ лето'!an313-'[2]$ лето'!am313-'[2]$ лето'!al313-'[2]$ лето'!ak313-'[2]$ лето'!aj313-'[2]$ лето'!ah313-'[2]$ лето'!ag313-'[2]$ лето'!af313-'[2]$ лето'!ae313-'[2]$ лето'!ad313-'[2]$ лето'!ab313-'[2]$ лето'!aa313-'[2]$ лето'!z313-'[2]$ лето'!y313-'[2]$ лето'!x313-'[2]$ лето'!v313-'[2]$ лето'!u313-'[2]$ лето'!t313-'[2]$ лето'!s313-'[2]$ лето'!r313-'[2]$ лето'!p313-'[2]$ лето'!o313-'[2]$ лето'!n313-'[2]$ лето'!m313-'[2]$ лето'!l313+'[2]$ лето'!k313+'[2]$ лето'!q313+'[2]$ лето'!w313+'[2]$ лето'!ac313+'[2]$ лето'!ai313+'[2]$ лето'!ao313</f>
        <v>0</v>
      </c>
      <c r="I313" s="109" t="n">
        <f aca="false">'[2]$ лето'!ay313*1.1</f>
        <v>1078</v>
      </c>
    </row>
    <row r="314" customFormat="false" ht="15" hidden="false" customHeight="false" outlineLevel="0" collapsed="false">
      <c r="A314" s="115" t="s">
        <v>163</v>
      </c>
      <c r="B314" s="115" t="s">
        <v>568</v>
      </c>
      <c r="C314" s="119" t="s">
        <v>904</v>
      </c>
      <c r="D314" s="119"/>
      <c r="E314" s="119"/>
      <c r="F314" s="119"/>
      <c r="G314" s="108"/>
      <c r="H314" s="105" t="n">
        <f aca="false">'[2]$ лето'!j314-'[2]$ лето'!au314-'[2]$ лето'!at314-'[2]$ лето'!as314-'[2]$ лето'!ar314-'[2]$ лето'!aq314-'[2]$ лето'!ap314-'[2]$ лето'!an314-'[2]$ лето'!am314-'[2]$ лето'!al314-'[2]$ лето'!ak314-'[2]$ лето'!aj314-'[2]$ лето'!ah314-'[2]$ лето'!ag314-'[2]$ лето'!af314-'[2]$ лето'!ae314-'[2]$ лето'!ad314-'[2]$ лето'!ab314-'[2]$ лето'!aa314-'[2]$ лето'!z314-'[2]$ лето'!y314-'[2]$ лето'!x314-'[2]$ лето'!v314-'[2]$ лето'!u314-'[2]$ лето'!t314-'[2]$ лето'!s314-'[2]$ лето'!r314-'[2]$ лето'!p314-'[2]$ лето'!o314-'[2]$ лето'!n314-'[2]$ лето'!m314-'[2]$ лето'!l314+'[2]$ лето'!k314+'[2]$ лето'!q314+'[2]$ лето'!w314+'[2]$ лето'!ac314+'[2]$ лето'!ai314+'[2]$ лето'!ao314</f>
        <v>1</v>
      </c>
      <c r="I314" s="109" t="n">
        <f aca="false">'[2]$ лето'!ay314*1.1</f>
        <v>462</v>
      </c>
    </row>
    <row r="315" customFormat="false" ht="15" hidden="false" customHeight="false" outlineLevel="0" collapsed="false">
      <c r="A315" s="115" t="s">
        <v>163</v>
      </c>
      <c r="B315" s="115" t="s">
        <v>568</v>
      </c>
      <c r="C315" s="116" t="s">
        <v>905</v>
      </c>
      <c r="D315" s="116"/>
      <c r="E315" s="116"/>
      <c r="F315" s="116"/>
      <c r="G315" s="108" t="s">
        <v>585</v>
      </c>
      <c r="H315" s="105" t="n">
        <f aca="false">'[2]$ лето'!j315-'[2]$ лето'!au315-'[2]$ лето'!at315-'[2]$ лето'!as315-'[2]$ лето'!ar315-'[2]$ лето'!aq315-'[2]$ лето'!ap315-'[2]$ лето'!an315-'[2]$ лето'!am315-'[2]$ лето'!al315-'[2]$ лето'!ak315-'[2]$ лето'!aj315-'[2]$ лето'!ah315-'[2]$ лето'!ag315-'[2]$ лето'!af315-'[2]$ лето'!ae315-'[2]$ лето'!ad315-'[2]$ лето'!ab315-'[2]$ лето'!aa315-'[2]$ лето'!z315-'[2]$ лето'!y315-'[2]$ лето'!x315-'[2]$ лето'!v315-'[2]$ лето'!u315-'[2]$ лето'!t315-'[2]$ лето'!s315-'[2]$ лето'!r315-'[2]$ лето'!p315-'[2]$ лето'!o315-'[2]$ лето'!n315-'[2]$ лето'!m315-'[2]$ лето'!l315+'[2]$ лето'!k315+'[2]$ лето'!q315+'[2]$ лето'!w315+'[2]$ лето'!ac315+'[2]$ лето'!ai315+'[2]$ лето'!ao315</f>
        <v>4</v>
      </c>
      <c r="I315" s="109" t="n">
        <f aca="false">'[2]$ лето'!ay315*1.1</f>
        <v>1386</v>
      </c>
      <c r="J315" s="85" t="n">
        <v>2017</v>
      </c>
    </row>
    <row r="316" customFormat="false" ht="15" hidden="true" customHeight="false" outlineLevel="0" collapsed="false">
      <c r="A316" s="115" t="s">
        <v>163</v>
      </c>
      <c r="B316" s="115" t="s">
        <v>601</v>
      </c>
      <c r="C316" s="116" t="s">
        <v>906</v>
      </c>
      <c r="D316" s="116"/>
      <c r="E316" s="116"/>
      <c r="F316" s="116"/>
      <c r="G316" s="108"/>
      <c r="H316" s="105" t="n">
        <f aca="false">'[2]$ лето'!j316-'[2]$ лето'!au316-'[2]$ лето'!at316-'[2]$ лето'!as316-'[2]$ лето'!ar316-'[2]$ лето'!aq316-'[2]$ лето'!ap316-'[2]$ лето'!an316-'[2]$ лето'!am316-'[2]$ лето'!al316-'[2]$ лето'!ak316-'[2]$ лето'!aj316-'[2]$ лето'!ah316-'[2]$ лето'!ag316-'[2]$ лето'!af316-'[2]$ лето'!ae316-'[2]$ лето'!ad316-'[2]$ лето'!ab316-'[2]$ лето'!aa316-'[2]$ лето'!z316-'[2]$ лето'!y316-'[2]$ лето'!x316-'[2]$ лето'!v316-'[2]$ лето'!u316-'[2]$ лето'!t316-'[2]$ лето'!s316-'[2]$ лето'!r316-'[2]$ лето'!p316-'[2]$ лето'!o316-'[2]$ лето'!n316-'[2]$ лето'!m316-'[2]$ лето'!l316+'[2]$ лето'!k316+'[2]$ лето'!q316+'[2]$ лето'!w316+'[2]$ лето'!ac316+'[2]$ лето'!ai316+'[2]$ лето'!ao316</f>
        <v>0</v>
      </c>
      <c r="I316" s="109" t="n">
        <f aca="false">'[2]$ лето'!ay316*1.1</f>
        <v>1463</v>
      </c>
      <c r="J316" s="85" t="n">
        <v>2017</v>
      </c>
    </row>
    <row r="317" customFormat="false" ht="15" hidden="true" customHeight="false" outlineLevel="0" collapsed="false">
      <c r="A317" s="115" t="s">
        <v>163</v>
      </c>
      <c r="B317" s="115" t="s">
        <v>601</v>
      </c>
      <c r="C317" s="107" t="s">
        <v>907</v>
      </c>
      <c r="D317" s="107"/>
      <c r="E317" s="107"/>
      <c r="F317" s="107"/>
      <c r="G317" s="108" t="s">
        <v>876</v>
      </c>
      <c r="H317" s="105" t="n">
        <f aca="false">'[2]$ лето'!j317-'[2]$ лето'!au317-'[2]$ лето'!at317-'[2]$ лето'!as317-'[2]$ лето'!ar317-'[2]$ лето'!aq317-'[2]$ лето'!ap317-'[2]$ лето'!an317-'[2]$ лето'!am317-'[2]$ лето'!al317-'[2]$ лето'!ak317-'[2]$ лето'!aj317-'[2]$ лето'!ah317-'[2]$ лето'!ag317-'[2]$ лето'!af317-'[2]$ лето'!ae317-'[2]$ лето'!ad317-'[2]$ лето'!ab317-'[2]$ лето'!aa317-'[2]$ лето'!z317-'[2]$ лето'!y317-'[2]$ лето'!x317-'[2]$ лето'!v317-'[2]$ лето'!u317-'[2]$ лето'!t317-'[2]$ лето'!s317-'[2]$ лето'!r317-'[2]$ лето'!p317-'[2]$ лето'!o317-'[2]$ лето'!n317-'[2]$ лето'!m317-'[2]$ лето'!l317+'[2]$ лето'!k317+'[2]$ лето'!q317+'[2]$ лето'!w317+'[2]$ лето'!ac317+'[2]$ лето'!ai317+'[2]$ лето'!ao317</f>
        <v>0</v>
      </c>
      <c r="I317" s="109" t="n">
        <f aca="false">'[2]$ лето'!ay317*1.1</f>
        <v>1738</v>
      </c>
      <c r="J317" s="85" t="n">
        <v>2018</v>
      </c>
    </row>
    <row r="318" customFormat="false" ht="15" hidden="false" customHeight="false" outlineLevel="0" collapsed="false">
      <c r="A318" s="115" t="s">
        <v>163</v>
      </c>
      <c r="B318" s="115" t="s">
        <v>658</v>
      </c>
      <c r="C318" s="116" t="s">
        <v>908</v>
      </c>
      <c r="D318" s="116"/>
      <c r="E318" s="116"/>
      <c r="F318" s="116"/>
      <c r="G318" s="108" t="s">
        <v>640</v>
      </c>
      <c r="H318" s="105" t="n">
        <f aca="false">'[2]$ лето'!j318-'[2]$ лето'!au318-'[2]$ лето'!at318-'[2]$ лето'!as318-'[2]$ лето'!ar318-'[2]$ лето'!aq318-'[2]$ лето'!ap318-'[2]$ лето'!an318-'[2]$ лето'!am318-'[2]$ лето'!al318-'[2]$ лето'!ak318-'[2]$ лето'!aj318-'[2]$ лето'!ah318-'[2]$ лето'!ag318-'[2]$ лето'!af318-'[2]$ лето'!ae318-'[2]$ лето'!ad318-'[2]$ лето'!ab318-'[2]$ лето'!aa318-'[2]$ лето'!z318-'[2]$ лето'!y318-'[2]$ лето'!x318-'[2]$ лето'!v318-'[2]$ лето'!u318-'[2]$ лето'!t318-'[2]$ лето'!s318-'[2]$ лето'!r318-'[2]$ лето'!p318-'[2]$ лето'!o318-'[2]$ лето'!n318-'[2]$ лето'!m318-'[2]$ лето'!l318+'[2]$ лето'!k318+'[2]$ лето'!q318+'[2]$ лето'!w318+'[2]$ лето'!ac318+'[2]$ лето'!ai318+'[2]$ лето'!ao318</f>
        <v>6</v>
      </c>
      <c r="I318" s="109" t="n">
        <f aca="false">'[2]$ лето'!ay318*1.1</f>
        <v>1940.4</v>
      </c>
      <c r="J318" s="85" t="n">
        <v>2018</v>
      </c>
    </row>
    <row r="319" customFormat="false" ht="15" hidden="true" customHeight="false" outlineLevel="0" collapsed="false">
      <c r="A319" s="115" t="s">
        <v>163</v>
      </c>
      <c r="B319" s="115" t="s">
        <v>821</v>
      </c>
      <c r="C319" s="116" t="s">
        <v>909</v>
      </c>
      <c r="D319" s="116"/>
      <c r="E319" s="116"/>
      <c r="F319" s="116"/>
      <c r="G319" s="108"/>
      <c r="H319" s="105" t="n">
        <f aca="false">'[2]$ лето'!j319-'[2]$ лето'!au319-'[2]$ лето'!at319-'[2]$ лето'!as319-'[2]$ лето'!ar319-'[2]$ лето'!aq319-'[2]$ лето'!ap319-'[2]$ лето'!an319-'[2]$ лето'!am319-'[2]$ лето'!al319-'[2]$ лето'!ak319-'[2]$ лето'!aj319-'[2]$ лето'!ah319-'[2]$ лето'!ag319-'[2]$ лето'!af319-'[2]$ лето'!ae319-'[2]$ лето'!ad319-'[2]$ лето'!ab319-'[2]$ лето'!aa319-'[2]$ лето'!z319-'[2]$ лето'!y319-'[2]$ лето'!x319-'[2]$ лето'!v319-'[2]$ лето'!u319-'[2]$ лето'!t319-'[2]$ лето'!s319-'[2]$ лето'!r319-'[2]$ лето'!p319-'[2]$ лето'!o319-'[2]$ лето'!n319-'[2]$ лето'!m319-'[2]$ лето'!l319+'[2]$ лето'!k319+'[2]$ лето'!q319+'[2]$ лето'!w319+'[2]$ лето'!ac319+'[2]$ лето'!ai319+'[2]$ лето'!ao319</f>
        <v>0</v>
      </c>
      <c r="I319" s="109" t="n">
        <f aca="false">'[2]$ лето'!ay319*1.1</f>
        <v>1447.6</v>
      </c>
    </row>
    <row r="320" customFormat="false" ht="15" hidden="true" customHeight="false" outlineLevel="0" collapsed="false">
      <c r="A320" s="115" t="s">
        <v>163</v>
      </c>
      <c r="B320" s="115" t="s">
        <v>646</v>
      </c>
      <c r="C320" s="116"/>
      <c r="D320" s="116"/>
      <c r="E320" s="116"/>
      <c r="F320" s="116"/>
      <c r="G320" s="108"/>
      <c r="H320" s="105" t="n">
        <f aca="false">'[2]$ лето'!j320-'[2]$ лето'!au320-'[2]$ лето'!at320-'[2]$ лето'!as320-'[2]$ лето'!ar320-'[2]$ лето'!aq320-'[2]$ лето'!ap320-'[2]$ лето'!an320-'[2]$ лето'!am320-'[2]$ лето'!al320-'[2]$ лето'!ak320-'[2]$ лето'!aj320-'[2]$ лето'!ah320-'[2]$ лето'!ag320-'[2]$ лето'!af320-'[2]$ лето'!ae320-'[2]$ лето'!ad320-'[2]$ лето'!ab320-'[2]$ лето'!aa320-'[2]$ лето'!z320-'[2]$ лето'!y320-'[2]$ лето'!x320-'[2]$ лето'!v320-'[2]$ лето'!u320-'[2]$ лето'!t320-'[2]$ лето'!s320-'[2]$ лето'!r320-'[2]$ лето'!p320-'[2]$ лето'!o320-'[2]$ лето'!n320-'[2]$ лето'!m320-'[2]$ лето'!l320+'[2]$ лето'!k320+'[2]$ лето'!q320+'[2]$ лето'!w320+'[2]$ лето'!ac320+'[2]$ лето'!ai320+'[2]$ лето'!ao320</f>
        <v>0</v>
      </c>
      <c r="I320" s="109" t="n">
        <f aca="false">'[2]$ лето'!ay320*1.1</f>
        <v>1047.2</v>
      </c>
    </row>
    <row r="321" customFormat="false" ht="15" hidden="true" customHeight="false" outlineLevel="0" collapsed="false">
      <c r="A321" s="115" t="s">
        <v>163</v>
      </c>
      <c r="B321" s="115" t="s">
        <v>553</v>
      </c>
      <c r="C321" s="107" t="s">
        <v>710</v>
      </c>
      <c r="D321" s="107"/>
      <c r="E321" s="107"/>
      <c r="F321" s="107"/>
      <c r="G321" s="108"/>
      <c r="H321" s="105" t="n">
        <f aca="false">'[2]$ лето'!j321-'[2]$ лето'!au321-'[2]$ лето'!at321-'[2]$ лето'!as321-'[2]$ лето'!ar321-'[2]$ лето'!aq321-'[2]$ лето'!ap321-'[2]$ лето'!an321-'[2]$ лето'!am321-'[2]$ лето'!al321-'[2]$ лето'!ak321-'[2]$ лето'!aj321-'[2]$ лето'!ah321-'[2]$ лето'!ag321-'[2]$ лето'!af321-'[2]$ лето'!ae321-'[2]$ лето'!ad321-'[2]$ лето'!ab321-'[2]$ лето'!aa321-'[2]$ лето'!z321-'[2]$ лето'!y321-'[2]$ лето'!x321-'[2]$ лето'!v321-'[2]$ лето'!u321-'[2]$ лето'!t321-'[2]$ лето'!s321-'[2]$ лето'!r321-'[2]$ лето'!p321-'[2]$ лето'!o321-'[2]$ лето'!n321-'[2]$ лето'!m321-'[2]$ лето'!l321+'[2]$ лето'!k321+'[2]$ лето'!q321+'[2]$ лето'!w321+'[2]$ лето'!ac321+'[2]$ лето'!ai321+'[2]$ лето'!ao321</f>
        <v>0</v>
      </c>
      <c r="I321" s="109" t="n">
        <f aca="false">'[2]$ лето'!ay321*1.1</f>
        <v>1786.4</v>
      </c>
    </row>
    <row r="322" customFormat="false" ht="15" hidden="true" customHeight="false" outlineLevel="0" collapsed="false">
      <c r="A322" s="115" t="s">
        <v>163</v>
      </c>
      <c r="B322" s="115" t="s">
        <v>557</v>
      </c>
      <c r="C322" s="107"/>
      <c r="D322" s="107"/>
      <c r="E322" s="107"/>
      <c r="F322" s="107"/>
      <c r="G322" s="108"/>
      <c r="H322" s="105" t="n">
        <f aca="false">'[2]$ лето'!j322-'[2]$ лето'!au322-'[2]$ лето'!at322-'[2]$ лето'!as322-'[2]$ лето'!ar322-'[2]$ лето'!aq322-'[2]$ лето'!ap322-'[2]$ лето'!an322-'[2]$ лето'!am322-'[2]$ лето'!al322-'[2]$ лето'!ak322-'[2]$ лето'!aj322-'[2]$ лето'!ah322-'[2]$ лето'!ag322-'[2]$ лето'!af322-'[2]$ лето'!ae322-'[2]$ лето'!ad322-'[2]$ лето'!ab322-'[2]$ лето'!aa322-'[2]$ лето'!z322-'[2]$ лето'!y322-'[2]$ лето'!x322-'[2]$ лето'!v322-'[2]$ лето'!u322-'[2]$ лето'!t322-'[2]$ лето'!s322-'[2]$ лето'!r322-'[2]$ лето'!p322-'[2]$ лето'!o322-'[2]$ лето'!n322-'[2]$ лето'!m322-'[2]$ лето'!l322+'[2]$ лето'!k322+'[2]$ лето'!q322+'[2]$ лето'!w322+'[2]$ лето'!ac322+'[2]$ лето'!ai322+'[2]$ лето'!ao322</f>
        <v>0</v>
      </c>
      <c r="I322" s="109" t="n">
        <f aca="false">'[2]$ лето'!ay322*1.1</f>
        <v>1232</v>
      </c>
    </row>
    <row r="323" customFormat="false" ht="15" hidden="false" customHeight="false" outlineLevel="0" collapsed="false">
      <c r="A323" s="115" t="s">
        <v>163</v>
      </c>
      <c r="B323" s="115" t="s">
        <v>741</v>
      </c>
      <c r="C323" s="107" t="s">
        <v>910</v>
      </c>
      <c r="D323" s="107"/>
      <c r="E323" s="116"/>
      <c r="F323" s="116"/>
      <c r="G323" s="108" t="s">
        <v>911</v>
      </c>
      <c r="H323" s="105" t="n">
        <f aca="false">'[2]$ лето'!j323-'[2]$ лето'!au323-'[2]$ лето'!at323-'[2]$ лето'!as323-'[2]$ лето'!ar323-'[2]$ лето'!aq323-'[2]$ лето'!ap323-'[2]$ лето'!an323-'[2]$ лето'!am323-'[2]$ лето'!al323-'[2]$ лето'!ak323-'[2]$ лето'!aj323-'[2]$ лето'!ah323-'[2]$ лето'!ag323-'[2]$ лето'!af323-'[2]$ лето'!ae323-'[2]$ лето'!ad323-'[2]$ лето'!ab323-'[2]$ лето'!aa323-'[2]$ лето'!z323-'[2]$ лето'!y323-'[2]$ лето'!x323-'[2]$ лето'!v323-'[2]$ лето'!u323-'[2]$ лето'!t323-'[2]$ лето'!s323-'[2]$ лето'!r323-'[2]$ лето'!p323-'[2]$ лето'!o323-'[2]$ лето'!n323-'[2]$ лето'!m323-'[2]$ лето'!l323+'[2]$ лето'!k323+'[2]$ лето'!q323+'[2]$ лето'!w323+'[2]$ лето'!ac323+'[2]$ лето'!ai323+'[2]$ лето'!ao323</f>
        <v>4</v>
      </c>
      <c r="I323" s="109" t="n">
        <f aca="false">'[2]$ лето'!ay323*1.1</f>
        <v>1509.2</v>
      </c>
      <c r="J323" s="85" t="n">
        <v>2017</v>
      </c>
    </row>
    <row r="324" customFormat="false" ht="15" hidden="true" customHeight="false" outlineLevel="0" collapsed="false">
      <c r="A324" s="115" t="s">
        <v>163</v>
      </c>
      <c r="B324" s="115" t="s">
        <v>604</v>
      </c>
      <c r="C324" s="116" t="s">
        <v>822</v>
      </c>
      <c r="D324" s="116"/>
      <c r="E324" s="116"/>
      <c r="F324" s="116"/>
      <c r="G324" s="108"/>
      <c r="H324" s="105" t="n">
        <f aca="false">'[2]$ лето'!j324-'[2]$ лето'!au324-'[2]$ лето'!at324-'[2]$ лето'!as324-'[2]$ лето'!ar324-'[2]$ лето'!aq324-'[2]$ лето'!ap324-'[2]$ лето'!an324-'[2]$ лето'!am324-'[2]$ лето'!al324-'[2]$ лето'!ak324-'[2]$ лето'!aj324-'[2]$ лето'!ah324-'[2]$ лето'!ag324-'[2]$ лето'!af324-'[2]$ лето'!ae324-'[2]$ лето'!ad324-'[2]$ лето'!ab324-'[2]$ лето'!aa324-'[2]$ лето'!z324-'[2]$ лето'!y324-'[2]$ лето'!x324-'[2]$ лето'!v324-'[2]$ лето'!u324-'[2]$ лето'!t324-'[2]$ лето'!s324-'[2]$ лето'!r324-'[2]$ лето'!p324-'[2]$ лето'!o324-'[2]$ лето'!n324-'[2]$ лето'!m324-'[2]$ лето'!l324+'[2]$ лето'!k324+'[2]$ лето'!q324+'[2]$ лето'!w324+'[2]$ лето'!ac324+'[2]$ лето'!ai324+'[2]$ лето'!ao324</f>
        <v>0</v>
      </c>
      <c r="I324" s="109" t="n">
        <f aca="false">'[2]$ лето'!ay324*1.1</f>
        <v>1632.4</v>
      </c>
      <c r="J324" s="85" t="n">
        <v>2017</v>
      </c>
    </row>
    <row r="325" customFormat="false" ht="15" hidden="false" customHeight="false" outlineLevel="0" collapsed="false">
      <c r="A325" s="115" t="s">
        <v>163</v>
      </c>
      <c r="B325" s="115" t="s">
        <v>606</v>
      </c>
      <c r="C325" s="116" t="s">
        <v>912</v>
      </c>
      <c r="D325" s="116"/>
      <c r="E325" s="116"/>
      <c r="F325" s="116"/>
      <c r="G325" s="108" t="s">
        <v>849</v>
      </c>
      <c r="H325" s="105" t="n">
        <f aca="false">'[2]$ лето'!j325-'[2]$ лето'!au325-'[2]$ лето'!at325-'[2]$ лето'!as325-'[2]$ лето'!ar325-'[2]$ лето'!aq325-'[2]$ лето'!ap325-'[2]$ лето'!an325-'[2]$ лето'!am325-'[2]$ лето'!al325-'[2]$ лето'!ak325-'[2]$ лето'!aj325-'[2]$ лето'!ah325-'[2]$ лето'!ag325-'[2]$ лето'!af325-'[2]$ лето'!ae325-'[2]$ лето'!ad325-'[2]$ лето'!ab325-'[2]$ лето'!aa325-'[2]$ лето'!z325-'[2]$ лето'!y325-'[2]$ лето'!x325-'[2]$ лето'!v325-'[2]$ лето'!u325-'[2]$ лето'!t325-'[2]$ лето'!s325-'[2]$ лето'!r325-'[2]$ лето'!p325-'[2]$ лето'!o325-'[2]$ лето'!n325-'[2]$ лето'!m325-'[2]$ лето'!l325+'[2]$ лето'!k325+'[2]$ лето'!q325+'[2]$ лето'!w325+'[2]$ лето'!ac325+'[2]$ лето'!ai325+'[2]$ лето'!ao325</f>
        <v>2</v>
      </c>
      <c r="I325" s="109" t="n">
        <f aca="false">'[2]$ лето'!ay325*1.1</f>
        <v>1478.4</v>
      </c>
      <c r="J325" s="85" t="n">
        <v>2018</v>
      </c>
    </row>
    <row r="326" customFormat="false" ht="15" hidden="true" customHeight="false" outlineLevel="0" collapsed="false">
      <c r="A326" s="115" t="s">
        <v>163</v>
      </c>
      <c r="B326" s="115" t="s">
        <v>606</v>
      </c>
      <c r="C326" s="116" t="s">
        <v>913</v>
      </c>
      <c r="D326" s="116"/>
      <c r="E326" s="116"/>
      <c r="F326" s="116"/>
      <c r="G326" s="108"/>
      <c r="H326" s="105" t="n">
        <f aca="false">'[2]$ лето'!j326-'[2]$ лето'!au326-'[2]$ лето'!at326-'[2]$ лето'!as326-'[2]$ лето'!ar326-'[2]$ лето'!aq326-'[2]$ лето'!ap326-'[2]$ лето'!an326-'[2]$ лето'!am326-'[2]$ лето'!al326-'[2]$ лето'!ak326-'[2]$ лето'!aj326-'[2]$ лето'!ah326-'[2]$ лето'!ag326-'[2]$ лето'!af326-'[2]$ лето'!ae326-'[2]$ лето'!ad326-'[2]$ лето'!ab326-'[2]$ лето'!aa326-'[2]$ лето'!z326-'[2]$ лето'!y326-'[2]$ лето'!x326-'[2]$ лето'!v326-'[2]$ лето'!u326-'[2]$ лето'!t326-'[2]$ лето'!s326-'[2]$ лето'!r326-'[2]$ лето'!p326-'[2]$ лето'!o326-'[2]$ лето'!n326-'[2]$ лето'!m326-'[2]$ лето'!l326+'[2]$ лето'!k326+'[2]$ лето'!q326+'[2]$ лето'!w326+'[2]$ лето'!ac326+'[2]$ лето'!ai326+'[2]$ лето'!ao326</f>
        <v>0</v>
      </c>
      <c r="I326" s="109" t="n">
        <f aca="false">'[2]$ лето'!ay326*1.1</f>
        <v>1509.2</v>
      </c>
      <c r="J326" s="85" t="n">
        <v>2017</v>
      </c>
    </row>
    <row r="327" customFormat="false" ht="15" hidden="false" customHeight="false" outlineLevel="0" collapsed="false">
      <c r="A327" s="115" t="s">
        <v>163</v>
      </c>
      <c r="B327" s="115" t="s">
        <v>666</v>
      </c>
      <c r="C327" s="116" t="s">
        <v>914</v>
      </c>
      <c r="D327" s="116"/>
      <c r="E327" s="116"/>
      <c r="F327" s="116"/>
      <c r="G327" s="108" t="s">
        <v>631</v>
      </c>
      <c r="H327" s="105" t="n">
        <f aca="false">'[2]$ лето'!j327-'[2]$ лето'!au327-'[2]$ лето'!at327-'[2]$ лето'!as327-'[2]$ лето'!ar327-'[2]$ лето'!aq327-'[2]$ лето'!ap327-'[2]$ лето'!an327-'[2]$ лето'!am327-'[2]$ лето'!al327-'[2]$ лето'!ak327-'[2]$ лето'!aj327-'[2]$ лето'!ah327-'[2]$ лето'!ag327-'[2]$ лето'!af327-'[2]$ лето'!ae327-'[2]$ лето'!ad327-'[2]$ лето'!ab327-'[2]$ лето'!aa327-'[2]$ лето'!z327-'[2]$ лето'!y327-'[2]$ лето'!x327-'[2]$ лето'!v327-'[2]$ лето'!u327-'[2]$ лето'!t327-'[2]$ лето'!s327-'[2]$ лето'!r327-'[2]$ лето'!p327-'[2]$ лето'!o327-'[2]$ лето'!n327-'[2]$ лето'!m327-'[2]$ лето'!l327+'[2]$ лето'!k327+'[2]$ лето'!q327+'[2]$ лето'!w327+'[2]$ лето'!ac327+'[2]$ лето'!ai327+'[2]$ лето'!ao327</f>
        <v>2</v>
      </c>
      <c r="I327" s="109" t="n">
        <f aca="false">'[2]$ лето'!ay327*1.1</f>
        <v>1540</v>
      </c>
      <c r="J327" s="85" t="n">
        <v>2017</v>
      </c>
    </row>
    <row r="328" customFormat="false" ht="15" hidden="true" customHeight="false" outlineLevel="0" collapsed="false">
      <c r="A328" s="115" t="s">
        <v>163</v>
      </c>
      <c r="B328" s="115" t="s">
        <v>668</v>
      </c>
      <c r="C328" s="116" t="s">
        <v>915</v>
      </c>
      <c r="D328" s="116"/>
      <c r="E328" s="116"/>
      <c r="F328" s="116"/>
      <c r="G328" s="108" t="s">
        <v>609</v>
      </c>
      <c r="H328" s="105" t="n">
        <f aca="false">'[2]$ лето'!j328-'[2]$ лето'!au328-'[2]$ лето'!at328-'[2]$ лето'!as328-'[2]$ лето'!ar328-'[2]$ лето'!aq328-'[2]$ лето'!ap328-'[2]$ лето'!an328-'[2]$ лето'!am328-'[2]$ лето'!al328-'[2]$ лето'!ak328-'[2]$ лето'!aj328-'[2]$ лето'!ah328-'[2]$ лето'!ag328-'[2]$ лето'!af328-'[2]$ лето'!ae328-'[2]$ лето'!ad328-'[2]$ лето'!ab328-'[2]$ лето'!aa328-'[2]$ лето'!z328-'[2]$ лето'!y328-'[2]$ лето'!x328-'[2]$ лето'!v328-'[2]$ лето'!u328-'[2]$ лето'!t328-'[2]$ лето'!s328-'[2]$ лето'!r328-'[2]$ лето'!p328-'[2]$ лето'!o328-'[2]$ лето'!n328-'[2]$ лето'!m328-'[2]$ лето'!l328+'[2]$ лето'!k328+'[2]$ лето'!q328+'[2]$ лето'!w328+'[2]$ лето'!ac328+'[2]$ лето'!ai328+'[2]$ лето'!ao328</f>
        <v>0</v>
      </c>
      <c r="I328" s="109" t="n">
        <f aca="false">'[2]$ лето'!ay328*1.1</f>
        <v>1016.4</v>
      </c>
    </row>
    <row r="329" customFormat="false" ht="15" hidden="false" customHeight="false" outlineLevel="0" collapsed="false">
      <c r="A329" s="123" t="s">
        <v>163</v>
      </c>
      <c r="B329" s="115" t="s">
        <v>577</v>
      </c>
      <c r="C329" s="116" t="s">
        <v>916</v>
      </c>
      <c r="D329" s="116"/>
      <c r="E329" s="116"/>
      <c r="F329" s="116"/>
      <c r="G329" s="108" t="s">
        <v>563</v>
      </c>
      <c r="H329" s="105" t="n">
        <f aca="false">'[2]$ лето'!j329-'[2]$ лето'!au329-'[2]$ лето'!at329-'[2]$ лето'!as329-'[2]$ лето'!ar329-'[2]$ лето'!aq329-'[2]$ лето'!ap329-'[2]$ лето'!an329-'[2]$ лето'!am329-'[2]$ лето'!al329-'[2]$ лето'!ak329-'[2]$ лето'!aj329-'[2]$ лето'!ah329-'[2]$ лето'!ag329-'[2]$ лето'!af329-'[2]$ лето'!ae329-'[2]$ лето'!ad329-'[2]$ лето'!ab329-'[2]$ лето'!aa329-'[2]$ лето'!z329-'[2]$ лето'!y329-'[2]$ лето'!x329-'[2]$ лето'!v329-'[2]$ лето'!u329-'[2]$ лето'!t329-'[2]$ лето'!s329-'[2]$ лето'!r329-'[2]$ лето'!p329-'[2]$ лето'!o329-'[2]$ лето'!n329-'[2]$ лето'!m329-'[2]$ лето'!l329+'[2]$ лето'!k329+'[2]$ лето'!q329+'[2]$ лето'!w329+'[2]$ лето'!ac329+'[2]$ лето'!ai329+'[2]$ лето'!ao329</f>
        <v>6</v>
      </c>
      <c r="I329" s="109" t="n">
        <f aca="false">'[2]$ лето'!ay329*1.1</f>
        <v>1324.4</v>
      </c>
    </row>
    <row r="330" customFormat="false" ht="15" hidden="false" customHeight="false" outlineLevel="0" collapsed="false">
      <c r="A330" s="115" t="s">
        <v>163</v>
      </c>
      <c r="B330" s="123" t="s">
        <v>574</v>
      </c>
      <c r="C330" s="107" t="s">
        <v>917</v>
      </c>
      <c r="D330" s="107"/>
      <c r="E330" s="116"/>
      <c r="F330" s="116"/>
      <c r="G330" s="108" t="s">
        <v>576</v>
      </c>
      <c r="H330" s="105" t="n">
        <f aca="false">'[2]$ лето'!j330-'[2]$ лето'!au330-'[2]$ лето'!at330-'[2]$ лето'!as330-'[2]$ лето'!ar330-'[2]$ лето'!aq330-'[2]$ лето'!ap330-'[2]$ лето'!an330-'[2]$ лето'!am330-'[2]$ лето'!al330-'[2]$ лето'!ak330-'[2]$ лето'!aj330-'[2]$ лето'!ah330-'[2]$ лето'!ag330-'[2]$ лето'!af330-'[2]$ лето'!ae330-'[2]$ лето'!ad330-'[2]$ лето'!ab330-'[2]$ лето'!aa330-'[2]$ лето'!z330-'[2]$ лето'!y330-'[2]$ лето'!x330-'[2]$ лето'!v330-'[2]$ лето'!u330-'[2]$ лето'!t330-'[2]$ лето'!s330-'[2]$ лето'!r330-'[2]$ лето'!p330-'[2]$ лето'!o330-'[2]$ лето'!n330-'[2]$ лето'!m330-'[2]$ лето'!l330+'[2]$ лето'!k330+'[2]$ лето'!q330+'[2]$ лето'!w330+'[2]$ лето'!ac330+'[2]$ лето'!ai330+'[2]$ лето'!ao330</f>
        <v>8</v>
      </c>
      <c r="I330" s="109" t="n">
        <f aca="false">'[2]$ лето'!ay330*1.1</f>
        <v>1343.32</v>
      </c>
      <c r="J330" s="85" t="n">
        <v>2018</v>
      </c>
    </row>
    <row r="331" customFormat="false" ht="15" hidden="false" customHeight="false" outlineLevel="0" collapsed="false">
      <c r="A331" s="115" t="s">
        <v>163</v>
      </c>
      <c r="B331" s="123" t="s">
        <v>574</v>
      </c>
      <c r="C331" s="107" t="s">
        <v>860</v>
      </c>
      <c r="D331" s="107"/>
      <c r="E331" s="116"/>
      <c r="F331" s="116"/>
      <c r="G331" s="108" t="s">
        <v>576</v>
      </c>
      <c r="H331" s="105" t="n">
        <f aca="false">'[2]$ лето'!j331-'[2]$ лето'!au331-'[2]$ лето'!at331-'[2]$ лето'!as331-'[2]$ лето'!ar331-'[2]$ лето'!aq331-'[2]$ лето'!ap331-'[2]$ лето'!an331-'[2]$ лето'!am331-'[2]$ лето'!al331-'[2]$ лето'!ak331-'[2]$ лето'!aj331-'[2]$ лето'!ah331-'[2]$ лето'!ag331-'[2]$ лето'!af331-'[2]$ лето'!ae331-'[2]$ лето'!ad331-'[2]$ лето'!ab331-'[2]$ лето'!aa331-'[2]$ лето'!z331-'[2]$ лето'!y331-'[2]$ лето'!x331-'[2]$ лето'!v331-'[2]$ лето'!u331-'[2]$ лето'!t331-'[2]$ лето'!s331-'[2]$ лето'!r331-'[2]$ лето'!p331-'[2]$ лето'!o331-'[2]$ лето'!n331-'[2]$ лето'!m331-'[2]$ лето'!l331+'[2]$ лето'!k331+'[2]$ лето'!q331+'[2]$ лето'!w331+'[2]$ лето'!ac331+'[2]$ лето'!ai331+'[2]$ лето'!ao331</f>
        <v>8</v>
      </c>
      <c r="I331" s="109" t="n">
        <f aca="false">'[2]$ лето'!ay331*1.1</f>
        <v>1312.08</v>
      </c>
    </row>
    <row r="332" customFormat="false" ht="15" hidden="false" customHeight="false" outlineLevel="0" collapsed="false">
      <c r="A332" s="115" t="s">
        <v>163</v>
      </c>
      <c r="B332" s="123" t="s">
        <v>579</v>
      </c>
      <c r="C332" s="107" t="s">
        <v>918</v>
      </c>
      <c r="D332" s="107"/>
      <c r="E332" s="116"/>
      <c r="F332" s="116"/>
      <c r="G332" s="108" t="s">
        <v>520</v>
      </c>
      <c r="H332" s="105" t="n">
        <f aca="false">'[2]$ лето'!j332-'[2]$ лето'!au332-'[2]$ лето'!at332-'[2]$ лето'!as332-'[2]$ лето'!ar332-'[2]$ лето'!aq332-'[2]$ лето'!ap332-'[2]$ лето'!an332-'[2]$ лето'!am332-'[2]$ лето'!al332-'[2]$ лето'!ak332-'[2]$ лето'!aj332-'[2]$ лето'!ah332-'[2]$ лето'!ag332-'[2]$ лето'!af332-'[2]$ лето'!ae332-'[2]$ лето'!ad332-'[2]$ лето'!ab332-'[2]$ лето'!aa332-'[2]$ лето'!z332-'[2]$ лето'!y332-'[2]$ лето'!x332-'[2]$ лето'!v332-'[2]$ лето'!u332-'[2]$ лето'!t332-'[2]$ лето'!s332-'[2]$ лето'!r332-'[2]$ лето'!p332-'[2]$ лето'!o332-'[2]$ лето'!n332-'[2]$ лето'!m332-'[2]$ лето'!l332+'[2]$ лето'!k332+'[2]$ лето'!q332+'[2]$ лето'!w332+'[2]$ лето'!ac332+'[2]$ лето'!ai332+'[2]$ лето'!ao332</f>
        <v>8</v>
      </c>
      <c r="I332" s="109" t="n">
        <f aca="false">'[2]$ лето'!ay332*1.1</f>
        <v>990</v>
      </c>
    </row>
    <row r="333" customFormat="false" ht="15" hidden="false" customHeight="false" outlineLevel="0" collapsed="false">
      <c r="A333" s="115" t="s">
        <v>163</v>
      </c>
      <c r="B333" s="123" t="s">
        <v>579</v>
      </c>
      <c r="C333" s="107" t="s">
        <v>862</v>
      </c>
      <c r="D333" s="107"/>
      <c r="E333" s="116"/>
      <c r="F333" s="116"/>
      <c r="G333" s="108" t="s">
        <v>520</v>
      </c>
      <c r="H333" s="105" t="n">
        <f aca="false">'[2]$ лето'!j333-'[2]$ лето'!au333-'[2]$ лето'!at333-'[2]$ лето'!as333-'[2]$ лето'!ar333-'[2]$ лето'!aq333-'[2]$ лето'!ap333-'[2]$ лето'!an333-'[2]$ лето'!am333-'[2]$ лето'!al333-'[2]$ лето'!ak333-'[2]$ лето'!aj333-'[2]$ лето'!ah333-'[2]$ лето'!ag333-'[2]$ лето'!af333-'[2]$ лето'!ae333-'[2]$ лето'!ad333-'[2]$ лето'!ab333-'[2]$ лето'!aa333-'[2]$ лето'!z333-'[2]$ лето'!y333-'[2]$ лето'!x333-'[2]$ лето'!v333-'[2]$ лето'!u333-'[2]$ лето'!t333-'[2]$ лето'!s333-'[2]$ лето'!r333-'[2]$ лето'!p333-'[2]$ лето'!o333-'[2]$ лето'!n333-'[2]$ лето'!m333-'[2]$ лето'!l333+'[2]$ лето'!k333+'[2]$ лето'!q333+'[2]$ лето'!w333+'[2]$ лето'!ac333+'[2]$ лето'!ai333+'[2]$ лето'!ao333</f>
        <v>8</v>
      </c>
      <c r="I333" s="109" t="n">
        <f aca="false">'[2]$ лето'!ay333*1.1</f>
        <v>1023</v>
      </c>
    </row>
    <row r="334" customFormat="false" ht="15" hidden="false" customHeight="false" outlineLevel="0" collapsed="false">
      <c r="A334" s="115" t="s">
        <v>163</v>
      </c>
      <c r="B334" s="115" t="s">
        <v>613</v>
      </c>
      <c r="C334" s="107" t="s">
        <v>919</v>
      </c>
      <c r="D334" s="107"/>
      <c r="E334" s="116"/>
      <c r="F334" s="116"/>
      <c r="G334" s="108"/>
      <c r="H334" s="105" t="n">
        <f aca="false">'[2]$ лето'!j334-'[2]$ лето'!au334-'[2]$ лето'!at334-'[2]$ лето'!as334-'[2]$ лето'!ar334-'[2]$ лето'!aq334-'[2]$ лето'!ap334-'[2]$ лето'!an334-'[2]$ лето'!am334-'[2]$ лето'!al334-'[2]$ лето'!ak334-'[2]$ лето'!aj334-'[2]$ лето'!ah334-'[2]$ лето'!ag334-'[2]$ лето'!af334-'[2]$ лето'!ae334-'[2]$ лето'!ad334-'[2]$ лето'!ab334-'[2]$ лето'!aa334-'[2]$ лето'!z334-'[2]$ лето'!y334-'[2]$ лето'!x334-'[2]$ лето'!v334-'[2]$ лето'!u334-'[2]$ лето'!t334-'[2]$ лето'!s334-'[2]$ лето'!r334-'[2]$ лето'!p334-'[2]$ лето'!o334-'[2]$ лето'!n334-'[2]$ лето'!m334-'[2]$ лето'!l334+'[2]$ лето'!k334+'[2]$ лето'!q334+'[2]$ лето'!w334+'[2]$ лето'!ac334+'[2]$ лето'!ai334+'[2]$ лето'!ao334</f>
        <v>2</v>
      </c>
      <c r="I334" s="109" t="n">
        <f aca="false">'[2]$ лето'!ay334*1.1</f>
        <v>985.6</v>
      </c>
    </row>
    <row r="335" customFormat="false" ht="15" hidden="true" customHeight="false" outlineLevel="0" collapsed="false">
      <c r="A335" s="115" t="s">
        <v>163</v>
      </c>
      <c r="B335" s="115" t="s">
        <v>583</v>
      </c>
      <c r="C335" s="116" t="s">
        <v>920</v>
      </c>
      <c r="D335" s="116"/>
      <c r="E335" s="116"/>
      <c r="F335" s="116"/>
      <c r="G335" s="108"/>
      <c r="H335" s="105" t="n">
        <f aca="false">'[2]$ лето'!j335-'[2]$ лето'!au335-'[2]$ лето'!at335-'[2]$ лето'!as335-'[2]$ лето'!ar335-'[2]$ лето'!aq335-'[2]$ лето'!ap335-'[2]$ лето'!an335-'[2]$ лето'!am335-'[2]$ лето'!al335-'[2]$ лето'!ak335-'[2]$ лето'!aj335-'[2]$ лето'!ah335-'[2]$ лето'!ag335-'[2]$ лето'!af335-'[2]$ лето'!ae335-'[2]$ лето'!ad335-'[2]$ лето'!ab335-'[2]$ лето'!aa335-'[2]$ лето'!z335-'[2]$ лето'!y335-'[2]$ лето'!x335-'[2]$ лето'!v335-'[2]$ лето'!u335-'[2]$ лето'!t335-'[2]$ лето'!s335-'[2]$ лето'!r335-'[2]$ лето'!p335-'[2]$ лето'!o335-'[2]$ лето'!n335-'[2]$ лето'!m335-'[2]$ лето'!l335+'[2]$ лето'!k335+'[2]$ лето'!q335+'[2]$ лето'!w335+'[2]$ лето'!ac335+'[2]$ лето'!ai335+'[2]$ лето'!ao335</f>
        <v>0</v>
      </c>
      <c r="I335" s="109" t="n">
        <f aca="false">'[2]$ лето'!ay335*1.1</f>
        <v>1201.2</v>
      </c>
      <c r="J335" s="85" t="n">
        <v>2017</v>
      </c>
    </row>
    <row r="336" customFormat="false" ht="15" hidden="false" customHeight="false" outlineLevel="0" collapsed="false">
      <c r="A336" s="115" t="s">
        <v>163</v>
      </c>
      <c r="B336" s="115" t="s">
        <v>583</v>
      </c>
      <c r="C336" s="116" t="s">
        <v>921</v>
      </c>
      <c r="D336" s="116"/>
      <c r="E336" s="116"/>
      <c r="F336" s="116"/>
      <c r="G336" s="108" t="s">
        <v>585</v>
      </c>
      <c r="H336" s="105" t="n">
        <f aca="false">'[2]$ лето'!j336-'[2]$ лето'!au336-'[2]$ лето'!at336-'[2]$ лето'!as336-'[2]$ лето'!ar336-'[2]$ лето'!aq336-'[2]$ лето'!ap336-'[2]$ лето'!an336-'[2]$ лето'!am336-'[2]$ лето'!al336-'[2]$ лето'!ak336-'[2]$ лето'!aj336-'[2]$ лето'!ah336-'[2]$ лето'!ag336-'[2]$ лето'!af336-'[2]$ лето'!ae336-'[2]$ лето'!ad336-'[2]$ лето'!ab336-'[2]$ лето'!aa336-'[2]$ лето'!z336-'[2]$ лето'!y336-'[2]$ лето'!x336-'[2]$ лето'!v336-'[2]$ лето'!u336-'[2]$ лето'!t336-'[2]$ лето'!s336-'[2]$ лето'!r336-'[2]$ лето'!p336-'[2]$ лето'!o336-'[2]$ лето'!n336-'[2]$ лето'!m336-'[2]$ лето'!l336+'[2]$ лето'!k336+'[2]$ лето'!q336+'[2]$ лето'!w336+'[2]$ лето'!ac336+'[2]$ лето'!ai336+'[2]$ лето'!ao336</f>
        <v>2</v>
      </c>
      <c r="I336" s="109" t="n">
        <f aca="false">'[2]$ лето'!ay336*1.1</f>
        <v>1262.8</v>
      </c>
      <c r="J336" s="85" t="n">
        <v>2018</v>
      </c>
    </row>
    <row r="337" customFormat="false" ht="15" hidden="false" customHeight="false" outlineLevel="0" collapsed="false">
      <c r="A337" s="115" t="s">
        <v>163</v>
      </c>
      <c r="B337" s="115" t="s">
        <v>593</v>
      </c>
      <c r="C337" s="116" t="s">
        <v>922</v>
      </c>
      <c r="D337" s="116"/>
      <c r="E337" s="116"/>
      <c r="F337" s="116"/>
      <c r="G337" s="108" t="s">
        <v>722</v>
      </c>
      <c r="H337" s="105" t="n">
        <f aca="false">'[2]$ лето'!j337-'[2]$ лето'!au337-'[2]$ лето'!at337-'[2]$ лето'!as337-'[2]$ лето'!ar337-'[2]$ лето'!aq337-'[2]$ лето'!ap337-'[2]$ лето'!an337-'[2]$ лето'!am337-'[2]$ лето'!al337-'[2]$ лето'!ak337-'[2]$ лето'!aj337-'[2]$ лето'!ah337-'[2]$ лето'!ag337-'[2]$ лето'!af337-'[2]$ лето'!ae337-'[2]$ лето'!ad337-'[2]$ лето'!ab337-'[2]$ лето'!aa337-'[2]$ лето'!z337-'[2]$ лето'!y337-'[2]$ лето'!x337-'[2]$ лето'!v337-'[2]$ лето'!u337-'[2]$ лето'!t337-'[2]$ лето'!s337-'[2]$ лето'!r337-'[2]$ лето'!p337-'[2]$ лето'!o337-'[2]$ лето'!n337-'[2]$ лето'!m337-'[2]$ лето'!l337+'[2]$ лето'!k337+'[2]$ лето'!q337+'[2]$ лето'!w337+'[2]$ лето'!ac337+'[2]$ лето'!ai337+'[2]$ лето'!ao337</f>
        <v>8</v>
      </c>
      <c r="I337" s="109" t="n">
        <f aca="false">'[2]$ лето'!ay337*1.1</f>
        <v>1848</v>
      </c>
      <c r="J337" s="85" t="n">
        <v>2018</v>
      </c>
    </row>
    <row r="338" customFormat="false" ht="15" hidden="true" customHeight="false" outlineLevel="0" collapsed="false">
      <c r="A338" s="115" t="s">
        <v>163</v>
      </c>
      <c r="B338" s="115" t="s">
        <v>586</v>
      </c>
      <c r="C338" s="116" t="s">
        <v>923</v>
      </c>
      <c r="D338" s="116"/>
      <c r="E338" s="116"/>
      <c r="F338" s="116"/>
      <c r="G338" s="108" t="s">
        <v>520</v>
      </c>
      <c r="H338" s="105" t="n">
        <f aca="false">'[2]$ лето'!j338-'[2]$ лето'!au338-'[2]$ лето'!at338-'[2]$ лето'!as338-'[2]$ лето'!ar338-'[2]$ лето'!aq338-'[2]$ лето'!ap338-'[2]$ лето'!an338-'[2]$ лето'!am338-'[2]$ лето'!al338-'[2]$ лето'!ak338-'[2]$ лето'!aj338-'[2]$ лето'!ah338-'[2]$ лето'!ag338-'[2]$ лето'!af338-'[2]$ лето'!ae338-'[2]$ лето'!ad338-'[2]$ лето'!ab338-'[2]$ лето'!aa338-'[2]$ лето'!z338-'[2]$ лето'!y338-'[2]$ лето'!x338-'[2]$ лето'!v338-'[2]$ лето'!u338-'[2]$ лето'!t338-'[2]$ лето'!s338-'[2]$ лето'!r338-'[2]$ лето'!p338-'[2]$ лето'!o338-'[2]$ лето'!n338-'[2]$ лето'!m338-'[2]$ лето'!l338+'[2]$ лето'!k338+'[2]$ лето'!q338+'[2]$ лето'!w338+'[2]$ лето'!ac338+'[2]$ лето'!ai338+'[2]$ лето'!ao338</f>
        <v>0</v>
      </c>
      <c r="I338" s="109" t="n">
        <f aca="false">'[2]$ лето'!ay338*1.1</f>
        <v>1078</v>
      </c>
    </row>
    <row r="339" customFormat="false" ht="15" hidden="false" customHeight="false" outlineLevel="0" collapsed="false">
      <c r="A339" s="115" t="s">
        <v>163</v>
      </c>
      <c r="B339" s="115" t="s">
        <v>762</v>
      </c>
      <c r="C339" s="107" t="s">
        <v>924</v>
      </c>
      <c r="D339" s="107"/>
      <c r="E339" s="116" t="n">
        <v>82</v>
      </c>
      <c r="F339" s="116" t="s">
        <v>925</v>
      </c>
      <c r="G339" s="108" t="s">
        <v>585</v>
      </c>
      <c r="H339" s="105" t="n">
        <f aca="false">'[2]$ лето'!j339-'[2]$ лето'!au339-'[2]$ лето'!at339-'[2]$ лето'!as339-'[2]$ лето'!ar339-'[2]$ лето'!aq339-'[2]$ лето'!ap339-'[2]$ лето'!an339-'[2]$ лето'!am339-'[2]$ лето'!al339-'[2]$ лето'!ak339-'[2]$ лето'!aj339-'[2]$ лето'!ah339-'[2]$ лето'!ag339-'[2]$ лето'!af339-'[2]$ лето'!ae339-'[2]$ лето'!ad339-'[2]$ лето'!ab339-'[2]$ лето'!aa339-'[2]$ лето'!z339-'[2]$ лето'!y339-'[2]$ лето'!x339-'[2]$ лето'!v339-'[2]$ лето'!u339-'[2]$ лето'!t339-'[2]$ лето'!s339-'[2]$ лето'!r339-'[2]$ лето'!p339-'[2]$ лето'!o339-'[2]$ лето'!n339-'[2]$ лето'!m339-'[2]$ лето'!l339+'[2]$ лето'!k339+'[2]$ лето'!q339+'[2]$ лето'!w339+'[2]$ лето'!ac339+'[2]$ лето'!ai339+'[2]$ лето'!ao339</f>
        <v>13</v>
      </c>
      <c r="I339" s="109" t="n">
        <f aca="false">'[2]$ лето'!ay339*1.1</f>
        <v>1170.4</v>
      </c>
      <c r="J339" s="85" t="n">
        <v>2018</v>
      </c>
    </row>
    <row r="340" customFormat="false" ht="15" hidden="false" customHeight="false" outlineLevel="0" collapsed="false">
      <c r="A340" s="115" t="s">
        <v>163</v>
      </c>
      <c r="B340" s="115" t="s">
        <v>617</v>
      </c>
      <c r="C340" s="107" t="s">
        <v>831</v>
      </c>
      <c r="D340" s="107"/>
      <c r="E340" s="116"/>
      <c r="F340" s="116"/>
      <c r="G340" s="108" t="s">
        <v>625</v>
      </c>
      <c r="H340" s="105" t="n">
        <f aca="false">'[2]$ лето'!j340-'[2]$ лето'!au340-'[2]$ лето'!at340-'[2]$ лето'!as340-'[2]$ лето'!ar340-'[2]$ лето'!aq340-'[2]$ лето'!ap340-'[2]$ лето'!an340-'[2]$ лето'!am340-'[2]$ лето'!al340-'[2]$ лето'!ak340-'[2]$ лето'!aj340-'[2]$ лето'!ah340-'[2]$ лето'!ag340-'[2]$ лето'!af340-'[2]$ лето'!ae340-'[2]$ лето'!ad340-'[2]$ лето'!ab340-'[2]$ лето'!aa340-'[2]$ лето'!z340-'[2]$ лето'!y340-'[2]$ лето'!x340-'[2]$ лето'!v340-'[2]$ лето'!u340-'[2]$ лето'!t340-'[2]$ лето'!s340-'[2]$ лето'!r340-'[2]$ лето'!p340-'[2]$ лето'!o340-'[2]$ лето'!n340-'[2]$ лето'!m340-'[2]$ лето'!l340+'[2]$ лето'!k340+'[2]$ лето'!q340+'[2]$ лето'!w340+'[2]$ лето'!ac340+'[2]$ лето'!ai340+'[2]$ лето'!ao340</f>
        <v>9</v>
      </c>
      <c r="I340" s="109" t="n">
        <f aca="false">'[2]$ лето'!ay340*1.1</f>
        <v>1047.2</v>
      </c>
      <c r="J340" s="85" t="n">
        <v>2018</v>
      </c>
    </row>
    <row r="341" customFormat="false" ht="15" hidden="false" customHeight="false" outlineLevel="0" collapsed="false">
      <c r="A341" s="115" t="s">
        <v>163</v>
      </c>
      <c r="B341" s="115" t="s">
        <v>589</v>
      </c>
      <c r="C341" s="116" t="s">
        <v>926</v>
      </c>
      <c r="D341" s="116"/>
      <c r="E341" s="116"/>
      <c r="F341" s="116"/>
      <c r="G341" s="108" t="s">
        <v>927</v>
      </c>
      <c r="H341" s="105" t="n">
        <f aca="false">'[2]$ лето'!j341-'[2]$ лето'!au341-'[2]$ лето'!at341-'[2]$ лето'!as341-'[2]$ лето'!ar341-'[2]$ лето'!aq341-'[2]$ лето'!ap341-'[2]$ лето'!an341-'[2]$ лето'!am341-'[2]$ лето'!al341-'[2]$ лето'!ak341-'[2]$ лето'!aj341-'[2]$ лето'!ah341-'[2]$ лето'!ag341-'[2]$ лето'!af341-'[2]$ лето'!ae341-'[2]$ лето'!ad341-'[2]$ лето'!ab341-'[2]$ лето'!aa341-'[2]$ лето'!z341-'[2]$ лето'!y341-'[2]$ лето'!x341-'[2]$ лето'!v341-'[2]$ лето'!u341-'[2]$ лето'!t341-'[2]$ лето'!s341-'[2]$ лето'!r341-'[2]$ лето'!p341-'[2]$ лето'!o341-'[2]$ лето'!n341-'[2]$ лето'!m341-'[2]$ лето'!l341+'[2]$ лето'!k341+'[2]$ лето'!q341+'[2]$ лето'!w341+'[2]$ лето'!ac341+'[2]$ лето'!ai341+'[2]$ лето'!ao341</f>
        <v>12</v>
      </c>
      <c r="I341" s="109" t="n">
        <f aca="false">'[2]$ лето'!ay341*1.1</f>
        <v>1655.72</v>
      </c>
      <c r="J341" s="85" t="n">
        <v>2017</v>
      </c>
    </row>
    <row r="342" customFormat="false" ht="15" hidden="false" customHeight="false" outlineLevel="0" collapsed="false">
      <c r="A342" s="115" t="s">
        <v>163</v>
      </c>
      <c r="B342" s="115" t="s">
        <v>589</v>
      </c>
      <c r="C342" s="116" t="s">
        <v>787</v>
      </c>
      <c r="D342" s="116"/>
      <c r="E342" s="116"/>
      <c r="F342" s="116"/>
      <c r="G342" s="108" t="s">
        <v>626</v>
      </c>
      <c r="H342" s="105" t="n">
        <f aca="false">'[2]$ лето'!j342-'[2]$ лето'!au342-'[2]$ лето'!at342-'[2]$ лето'!as342-'[2]$ лето'!ar342-'[2]$ лето'!aq342-'[2]$ лето'!ap342-'[2]$ лето'!an342-'[2]$ лето'!am342-'[2]$ лето'!al342-'[2]$ лето'!ak342-'[2]$ лето'!aj342-'[2]$ лето'!ah342-'[2]$ лето'!ag342-'[2]$ лето'!af342-'[2]$ лето'!ae342-'[2]$ лето'!ad342-'[2]$ лето'!ab342-'[2]$ лето'!aa342-'[2]$ лето'!z342-'[2]$ лето'!y342-'[2]$ лето'!x342-'[2]$ лето'!v342-'[2]$ лето'!u342-'[2]$ лето'!t342-'[2]$ лето'!s342-'[2]$ лето'!r342-'[2]$ лето'!p342-'[2]$ лето'!o342-'[2]$ лето'!n342-'[2]$ лето'!m342-'[2]$ лето'!l342+'[2]$ лето'!k342+'[2]$ лето'!q342+'[2]$ лето'!w342+'[2]$ лето'!ac342+'[2]$ лето'!ai342+'[2]$ лето'!ao342</f>
        <v>1</v>
      </c>
      <c r="I342" s="109" t="n">
        <f aca="false">'[2]$ лето'!ay342*1.1</f>
        <v>1718.2</v>
      </c>
      <c r="J342" s="85" t="n">
        <v>2018</v>
      </c>
    </row>
    <row r="343" customFormat="false" ht="15" hidden="false" customHeight="false" outlineLevel="0" collapsed="false">
      <c r="A343" s="115" t="s">
        <v>163</v>
      </c>
      <c r="B343" s="115" t="s">
        <v>564</v>
      </c>
      <c r="C343" s="116" t="s">
        <v>928</v>
      </c>
      <c r="D343" s="116"/>
      <c r="E343" s="116"/>
      <c r="F343" s="116"/>
      <c r="G343" s="108" t="s">
        <v>520</v>
      </c>
      <c r="H343" s="105" t="n">
        <f aca="false">'[2]$ лето'!j343-'[2]$ лето'!au343-'[2]$ лето'!at343-'[2]$ лето'!as343-'[2]$ лето'!ar343-'[2]$ лето'!aq343-'[2]$ лето'!ap343-'[2]$ лето'!an343-'[2]$ лето'!am343-'[2]$ лето'!al343-'[2]$ лето'!ak343-'[2]$ лето'!aj343-'[2]$ лето'!ah343-'[2]$ лето'!ag343-'[2]$ лето'!af343-'[2]$ лето'!ae343-'[2]$ лето'!ad343-'[2]$ лето'!ab343-'[2]$ лето'!aa343-'[2]$ лето'!z343-'[2]$ лето'!y343-'[2]$ лето'!x343-'[2]$ лето'!v343-'[2]$ лето'!u343-'[2]$ лето'!t343-'[2]$ лето'!s343-'[2]$ лето'!r343-'[2]$ лето'!p343-'[2]$ лето'!o343-'[2]$ лето'!n343-'[2]$ лето'!m343-'[2]$ лето'!l343+'[2]$ лето'!k343+'[2]$ лето'!q343+'[2]$ лето'!w343+'[2]$ лето'!ac343+'[2]$ лето'!ai343+'[2]$ лето'!ao343</f>
        <v>16</v>
      </c>
      <c r="I343" s="109" t="n">
        <f aca="false">'[2]$ лето'!ay343*1.1</f>
        <v>1108.8</v>
      </c>
      <c r="J343" s="85" t="n">
        <v>2017</v>
      </c>
    </row>
    <row r="344" customFormat="false" ht="15" hidden="false" customHeight="false" outlineLevel="0" collapsed="false">
      <c r="A344" s="115" t="s">
        <v>163</v>
      </c>
      <c r="B344" s="115" t="s">
        <v>929</v>
      </c>
      <c r="C344" s="116" t="s">
        <v>930</v>
      </c>
      <c r="D344" s="116"/>
      <c r="E344" s="116"/>
      <c r="F344" s="116"/>
      <c r="G344" s="108" t="s">
        <v>640</v>
      </c>
      <c r="H344" s="105" t="n">
        <f aca="false">'[2]$ лето'!j344-'[2]$ лето'!au344-'[2]$ лето'!at344-'[2]$ лето'!as344-'[2]$ лето'!ar344-'[2]$ лето'!aq344-'[2]$ лето'!ap344-'[2]$ лето'!an344-'[2]$ лето'!am344-'[2]$ лето'!al344-'[2]$ лето'!ak344-'[2]$ лето'!aj344-'[2]$ лето'!ah344-'[2]$ лето'!ag344-'[2]$ лето'!af344-'[2]$ лето'!ae344-'[2]$ лето'!ad344-'[2]$ лето'!ab344-'[2]$ лето'!aa344-'[2]$ лето'!z344-'[2]$ лето'!y344-'[2]$ лето'!x344-'[2]$ лето'!v344-'[2]$ лето'!u344-'[2]$ лето'!t344-'[2]$ лето'!s344-'[2]$ лето'!r344-'[2]$ лето'!p344-'[2]$ лето'!o344-'[2]$ лето'!n344-'[2]$ лето'!m344-'[2]$ лето'!l344+'[2]$ лето'!k344+'[2]$ лето'!q344+'[2]$ лето'!w344+'[2]$ лето'!ac344+'[2]$ лето'!ai344+'[2]$ лето'!ao344</f>
        <v>14</v>
      </c>
      <c r="I344" s="109" t="n">
        <f aca="false">'[2]$ лето'!ay344*1.1</f>
        <v>1540</v>
      </c>
      <c r="J344" s="85" t="n">
        <v>2018</v>
      </c>
    </row>
    <row r="345" customFormat="false" ht="15" hidden="false" customHeight="false" outlineLevel="0" collapsed="false">
      <c r="A345" s="115" t="s">
        <v>170</v>
      </c>
      <c r="B345" s="115" t="s">
        <v>566</v>
      </c>
      <c r="C345" s="116" t="s">
        <v>931</v>
      </c>
      <c r="D345" s="116"/>
      <c r="E345" s="116"/>
      <c r="F345" s="116"/>
      <c r="G345" s="108" t="s">
        <v>563</v>
      </c>
      <c r="H345" s="105" t="n">
        <f aca="false">'[2]$ лето'!j345-'[2]$ лето'!au345-'[2]$ лето'!at345-'[2]$ лето'!as345-'[2]$ лето'!ar345-'[2]$ лето'!aq345-'[2]$ лето'!ap345-'[2]$ лето'!an345-'[2]$ лето'!am345-'[2]$ лето'!al345-'[2]$ лето'!ak345-'[2]$ лето'!aj345-'[2]$ лето'!ah345-'[2]$ лето'!ag345-'[2]$ лето'!af345-'[2]$ лето'!ae345-'[2]$ лето'!ad345-'[2]$ лето'!ab345-'[2]$ лето'!aa345-'[2]$ лето'!z345-'[2]$ лето'!y345-'[2]$ лето'!x345-'[2]$ лето'!v345-'[2]$ лето'!u345-'[2]$ лето'!t345-'[2]$ лето'!s345-'[2]$ лето'!r345-'[2]$ лето'!p345-'[2]$ лето'!o345-'[2]$ лето'!n345-'[2]$ лето'!m345-'[2]$ лето'!l345+'[2]$ лето'!k345+'[2]$ лето'!q345+'[2]$ лето'!w345+'[2]$ лето'!ac345+'[2]$ лето'!ai345+'[2]$ лето'!ao345</f>
        <v>12</v>
      </c>
      <c r="I345" s="109" t="n">
        <f aca="false">'[2]$ лето'!ay345*1.1</f>
        <v>1139.6</v>
      </c>
      <c r="J345" s="85" t="n">
        <v>2017</v>
      </c>
    </row>
    <row r="346" customFormat="false" ht="15" hidden="false" customHeight="false" outlineLevel="0" collapsed="false">
      <c r="A346" s="115" t="s">
        <v>170</v>
      </c>
      <c r="B346" s="115" t="s">
        <v>568</v>
      </c>
      <c r="C346" s="116" t="s">
        <v>932</v>
      </c>
      <c r="D346" s="116"/>
      <c r="E346" s="116"/>
      <c r="F346" s="116"/>
      <c r="G346" s="108" t="s">
        <v>843</v>
      </c>
      <c r="H346" s="105" t="n">
        <f aca="false">'[2]$ лето'!j346-'[2]$ лето'!au346-'[2]$ лето'!at346-'[2]$ лето'!as346-'[2]$ лето'!ar346-'[2]$ лето'!aq346-'[2]$ лето'!ap346-'[2]$ лето'!an346-'[2]$ лето'!am346-'[2]$ лето'!al346-'[2]$ лето'!ak346-'[2]$ лето'!aj346-'[2]$ лето'!ah346-'[2]$ лето'!ag346-'[2]$ лето'!af346-'[2]$ лето'!ae346-'[2]$ лето'!ad346-'[2]$ лето'!ab346-'[2]$ лето'!aa346-'[2]$ лето'!z346-'[2]$ лето'!y346-'[2]$ лето'!x346-'[2]$ лето'!v346-'[2]$ лето'!u346-'[2]$ лето'!t346-'[2]$ лето'!s346-'[2]$ лето'!r346-'[2]$ лето'!p346-'[2]$ лето'!o346-'[2]$ лето'!n346-'[2]$ лето'!m346-'[2]$ лето'!l346+'[2]$ лето'!k346+'[2]$ лето'!q346+'[2]$ лето'!w346+'[2]$ лето'!ac346+'[2]$ лето'!ai346+'[2]$ лето'!ao346</f>
        <v>2</v>
      </c>
      <c r="I346" s="109" t="n">
        <f aca="false">'[2]$ лето'!ay346*1.1</f>
        <v>1232</v>
      </c>
      <c r="J346" s="85" t="n">
        <v>2017</v>
      </c>
    </row>
    <row r="347" customFormat="false" ht="15" hidden="false" customHeight="false" outlineLevel="0" collapsed="false">
      <c r="A347" s="115" t="s">
        <v>170</v>
      </c>
      <c r="B347" s="115" t="s">
        <v>568</v>
      </c>
      <c r="C347" s="116" t="s">
        <v>932</v>
      </c>
      <c r="D347" s="116"/>
      <c r="E347" s="116"/>
      <c r="F347" s="116"/>
      <c r="G347" s="108" t="s">
        <v>933</v>
      </c>
      <c r="H347" s="105" t="n">
        <f aca="false">'[2]$ лето'!j347-'[2]$ лето'!au347-'[2]$ лето'!at347-'[2]$ лето'!as347-'[2]$ лето'!ar347-'[2]$ лето'!aq347-'[2]$ лето'!ap347-'[2]$ лето'!an347-'[2]$ лето'!am347-'[2]$ лето'!al347-'[2]$ лето'!ak347-'[2]$ лето'!aj347-'[2]$ лето'!ah347-'[2]$ лето'!ag347-'[2]$ лето'!af347-'[2]$ лето'!ae347-'[2]$ лето'!ad347-'[2]$ лето'!ab347-'[2]$ лето'!aa347-'[2]$ лето'!z347-'[2]$ лето'!y347-'[2]$ лето'!x347-'[2]$ лето'!v347-'[2]$ лето'!u347-'[2]$ лето'!t347-'[2]$ лето'!s347-'[2]$ лето'!r347-'[2]$ лето'!p347-'[2]$ лето'!o347-'[2]$ лето'!n347-'[2]$ лето'!m347-'[2]$ лето'!l347+'[2]$ лето'!k347+'[2]$ лето'!q347+'[2]$ лето'!w347+'[2]$ лето'!ac347+'[2]$ лето'!ai347+'[2]$ лето'!ao347</f>
        <v>3</v>
      </c>
      <c r="I347" s="109" t="n">
        <f aca="false">'[2]$ лето'!ay347*1.1</f>
        <v>1232</v>
      </c>
      <c r="J347" s="85" t="n">
        <v>2018</v>
      </c>
    </row>
    <row r="348" customFormat="false" ht="15" hidden="true" customHeight="false" outlineLevel="0" collapsed="false">
      <c r="A348" s="115" t="s">
        <v>170</v>
      </c>
      <c r="B348" s="115" t="s">
        <v>601</v>
      </c>
      <c r="C348" s="116" t="s">
        <v>934</v>
      </c>
      <c r="D348" s="116"/>
      <c r="E348" s="116"/>
      <c r="F348" s="116"/>
      <c r="G348" s="108" t="s">
        <v>935</v>
      </c>
      <c r="H348" s="105" t="n">
        <f aca="false">'[2]$ лето'!j348-'[2]$ лето'!au348-'[2]$ лето'!at348-'[2]$ лето'!as348-'[2]$ лето'!ar348-'[2]$ лето'!aq348-'[2]$ лето'!ap348-'[2]$ лето'!an348-'[2]$ лето'!am348-'[2]$ лето'!al348-'[2]$ лето'!ak348-'[2]$ лето'!aj348-'[2]$ лето'!ah348-'[2]$ лето'!ag348-'[2]$ лето'!af348-'[2]$ лето'!ae348-'[2]$ лето'!ad348-'[2]$ лето'!ab348-'[2]$ лето'!aa348-'[2]$ лето'!z348-'[2]$ лето'!y348-'[2]$ лето'!x348-'[2]$ лето'!v348-'[2]$ лето'!u348-'[2]$ лето'!t348-'[2]$ лето'!s348-'[2]$ лето'!r348-'[2]$ лето'!p348-'[2]$ лето'!o348-'[2]$ лето'!n348-'[2]$ лето'!m348-'[2]$ лето'!l348+'[2]$ лето'!k348+'[2]$ лето'!q348+'[2]$ лето'!w348+'[2]$ лето'!ac348+'[2]$ лето'!ai348+'[2]$ лето'!ao348</f>
        <v>0</v>
      </c>
      <c r="I348" s="109" t="n">
        <f aca="false">'[2]$ лето'!ay348*1.1</f>
        <v>1478.4</v>
      </c>
      <c r="J348" s="85" t="n">
        <v>2018</v>
      </c>
    </row>
    <row r="349" customFormat="false" ht="15" hidden="false" customHeight="false" outlineLevel="0" collapsed="false">
      <c r="A349" s="115" t="s">
        <v>170</v>
      </c>
      <c r="B349" s="115" t="s">
        <v>601</v>
      </c>
      <c r="C349" s="116" t="s">
        <v>934</v>
      </c>
      <c r="D349" s="116"/>
      <c r="E349" s="116"/>
      <c r="F349" s="116"/>
      <c r="G349" s="108" t="s">
        <v>933</v>
      </c>
      <c r="H349" s="105" t="n">
        <f aca="false">'[2]$ лето'!j349-'[2]$ лето'!au349-'[2]$ лето'!at349-'[2]$ лето'!as349-'[2]$ лето'!ar349-'[2]$ лето'!aq349-'[2]$ лето'!ap349-'[2]$ лето'!an349-'[2]$ лето'!am349-'[2]$ лето'!al349-'[2]$ лето'!ak349-'[2]$ лето'!aj349-'[2]$ лето'!ah349-'[2]$ лето'!ag349-'[2]$ лето'!af349-'[2]$ лето'!ae349-'[2]$ лето'!ad349-'[2]$ лето'!ab349-'[2]$ лето'!aa349-'[2]$ лето'!z349-'[2]$ лето'!y349-'[2]$ лето'!x349-'[2]$ лето'!v349-'[2]$ лето'!u349-'[2]$ лето'!t349-'[2]$ лето'!s349-'[2]$ лето'!r349-'[2]$ лето'!p349-'[2]$ лето'!o349-'[2]$ лето'!n349-'[2]$ лето'!m349-'[2]$ лето'!l349+'[2]$ лето'!k349+'[2]$ лето'!q349+'[2]$ лето'!w349+'[2]$ лето'!ac349+'[2]$ лето'!ai349+'[2]$ лето'!ao349</f>
        <v>2</v>
      </c>
      <c r="I349" s="109" t="n">
        <f aca="false">'[2]$ лето'!ay349*1.1</f>
        <v>1416.8</v>
      </c>
      <c r="J349" s="85" t="n">
        <v>2018</v>
      </c>
    </row>
    <row r="350" customFormat="false" ht="15" hidden="false" customHeight="false" outlineLevel="0" collapsed="false">
      <c r="A350" s="115" t="s">
        <v>170</v>
      </c>
      <c r="B350" s="115" t="s">
        <v>601</v>
      </c>
      <c r="C350" s="116" t="s">
        <v>936</v>
      </c>
      <c r="D350" s="116"/>
      <c r="E350" s="116"/>
      <c r="F350" s="116"/>
      <c r="G350" s="108" t="s">
        <v>626</v>
      </c>
      <c r="H350" s="105" t="n">
        <f aca="false">'[2]$ лето'!j350-'[2]$ лето'!au350-'[2]$ лето'!at350-'[2]$ лето'!as350-'[2]$ лето'!ar350-'[2]$ лето'!aq350-'[2]$ лето'!ap350-'[2]$ лето'!an350-'[2]$ лето'!am350-'[2]$ лето'!al350-'[2]$ лето'!ak350-'[2]$ лето'!aj350-'[2]$ лето'!ah350-'[2]$ лето'!ag350-'[2]$ лето'!af350-'[2]$ лето'!ae350-'[2]$ лето'!ad350-'[2]$ лето'!ab350-'[2]$ лето'!aa350-'[2]$ лето'!z350-'[2]$ лето'!y350-'[2]$ лето'!x350-'[2]$ лето'!v350-'[2]$ лето'!u350-'[2]$ лето'!t350-'[2]$ лето'!s350-'[2]$ лето'!r350-'[2]$ лето'!p350-'[2]$ лето'!o350-'[2]$ лето'!n350-'[2]$ лето'!m350-'[2]$ лето'!l350+'[2]$ лето'!k350+'[2]$ лето'!q350+'[2]$ лето'!w350+'[2]$ лето'!ac350+'[2]$ лето'!ai350+'[2]$ лето'!ao350</f>
        <v>2</v>
      </c>
      <c r="I350" s="109" t="n">
        <f aca="false">'[2]$ лето'!ay350*1.1</f>
        <v>1509.2</v>
      </c>
      <c r="J350" s="85" t="n">
        <v>2016</v>
      </c>
    </row>
    <row r="351" customFormat="false" ht="15" hidden="false" customHeight="false" outlineLevel="0" collapsed="false">
      <c r="A351" s="115" t="s">
        <v>170</v>
      </c>
      <c r="B351" s="115" t="s">
        <v>601</v>
      </c>
      <c r="C351" s="107" t="s">
        <v>850</v>
      </c>
      <c r="D351" s="107"/>
      <c r="E351" s="116"/>
      <c r="F351" s="116"/>
      <c r="G351" s="108" t="s">
        <v>663</v>
      </c>
      <c r="H351" s="105" t="n">
        <f aca="false">'[2]$ лето'!j351-'[2]$ лето'!au351-'[2]$ лето'!at351-'[2]$ лето'!as351-'[2]$ лето'!ar351-'[2]$ лето'!aq351-'[2]$ лето'!ap351-'[2]$ лето'!an351-'[2]$ лето'!am351-'[2]$ лето'!al351-'[2]$ лето'!ak351-'[2]$ лето'!aj351-'[2]$ лето'!ah351-'[2]$ лето'!ag351-'[2]$ лето'!af351-'[2]$ лето'!ae351-'[2]$ лето'!ad351-'[2]$ лето'!ab351-'[2]$ лето'!aa351-'[2]$ лето'!z351-'[2]$ лето'!y351-'[2]$ лето'!x351-'[2]$ лето'!v351-'[2]$ лето'!u351-'[2]$ лето'!t351-'[2]$ лето'!s351-'[2]$ лето'!r351-'[2]$ лето'!p351-'[2]$ лето'!o351-'[2]$ лето'!n351-'[2]$ лето'!m351-'[2]$ лето'!l351+'[2]$ лето'!k351+'[2]$ лето'!q351+'[2]$ лето'!w351+'[2]$ лето'!ac351+'[2]$ лето'!ai351+'[2]$ лето'!ao351</f>
        <v>8</v>
      </c>
      <c r="I351" s="109" t="n">
        <f aca="false">'[2]$ лето'!ay351*1.1</f>
        <v>1601.6</v>
      </c>
      <c r="J351" s="85" t="n">
        <v>2018</v>
      </c>
    </row>
    <row r="352" customFormat="false" ht="15" hidden="true" customHeight="false" outlineLevel="0" collapsed="false">
      <c r="A352" s="115" t="s">
        <v>170</v>
      </c>
      <c r="B352" s="115" t="s">
        <v>658</v>
      </c>
      <c r="C352" s="116" t="s">
        <v>937</v>
      </c>
      <c r="D352" s="116"/>
      <c r="E352" s="116"/>
      <c r="F352" s="116"/>
      <c r="G352" s="108"/>
      <c r="H352" s="105" t="n">
        <f aca="false">'[2]$ лето'!j352-'[2]$ лето'!au352-'[2]$ лето'!at352-'[2]$ лето'!as352-'[2]$ лето'!ar352-'[2]$ лето'!aq352-'[2]$ лето'!ap352-'[2]$ лето'!an352-'[2]$ лето'!am352-'[2]$ лето'!al352-'[2]$ лето'!ak352-'[2]$ лето'!aj352-'[2]$ лето'!ah352-'[2]$ лето'!ag352-'[2]$ лето'!af352-'[2]$ лето'!ae352-'[2]$ лето'!ad352-'[2]$ лето'!ab352-'[2]$ лето'!aa352-'[2]$ лето'!z352-'[2]$ лето'!y352-'[2]$ лето'!x352-'[2]$ лето'!v352-'[2]$ лето'!u352-'[2]$ лето'!t352-'[2]$ лето'!s352-'[2]$ лето'!r352-'[2]$ лето'!p352-'[2]$ лето'!o352-'[2]$ лето'!n352-'[2]$ лето'!m352-'[2]$ лето'!l352+'[2]$ лето'!k352+'[2]$ лето'!q352+'[2]$ лето'!w352+'[2]$ лето'!ac352+'[2]$ лето'!ai352+'[2]$ лето'!ao352</f>
        <v>0</v>
      </c>
      <c r="I352" s="109" t="n">
        <f aca="false">'[2]$ лето'!ay352*1.1</f>
        <v>1232</v>
      </c>
      <c r="J352" s="113"/>
    </row>
    <row r="353" customFormat="false" ht="15" hidden="false" customHeight="false" outlineLevel="0" collapsed="false">
      <c r="A353" s="115" t="s">
        <v>170</v>
      </c>
      <c r="B353" s="115" t="s">
        <v>658</v>
      </c>
      <c r="C353" s="116" t="s">
        <v>938</v>
      </c>
      <c r="D353" s="116"/>
      <c r="E353" s="116"/>
      <c r="F353" s="116"/>
      <c r="G353" s="108" t="s">
        <v>570</v>
      </c>
      <c r="H353" s="105" t="n">
        <f aca="false">'[2]$ лето'!j353-'[2]$ лето'!au353-'[2]$ лето'!at353-'[2]$ лето'!as353-'[2]$ лето'!ar353-'[2]$ лето'!aq353-'[2]$ лето'!ap353-'[2]$ лето'!an353-'[2]$ лето'!am353-'[2]$ лето'!al353-'[2]$ лето'!ak353-'[2]$ лето'!aj353-'[2]$ лето'!ah353-'[2]$ лето'!ag353-'[2]$ лето'!af353-'[2]$ лето'!ae353-'[2]$ лето'!ad353-'[2]$ лето'!ab353-'[2]$ лето'!aa353-'[2]$ лето'!z353-'[2]$ лето'!y353-'[2]$ лето'!x353-'[2]$ лето'!v353-'[2]$ лето'!u353-'[2]$ лето'!t353-'[2]$ лето'!s353-'[2]$ лето'!r353-'[2]$ лето'!p353-'[2]$ лето'!o353-'[2]$ лето'!n353-'[2]$ лето'!m353-'[2]$ лето'!l353+'[2]$ лето'!k353+'[2]$ лето'!q353+'[2]$ лето'!w353+'[2]$ лето'!ac353+'[2]$ лето'!ai353+'[2]$ лето'!ao353</f>
        <v>4</v>
      </c>
      <c r="I353" s="109" t="n">
        <f aca="false">'[2]$ лето'!ay353*1.1</f>
        <v>1663.2</v>
      </c>
      <c r="J353" s="113"/>
    </row>
    <row r="354" customFormat="false" ht="15" hidden="false" customHeight="false" outlineLevel="0" collapsed="false">
      <c r="A354" s="115" t="s">
        <v>170</v>
      </c>
      <c r="B354" s="115" t="s">
        <v>658</v>
      </c>
      <c r="C354" s="116" t="s">
        <v>939</v>
      </c>
      <c r="D354" s="116"/>
      <c r="E354" s="116"/>
      <c r="F354" s="116"/>
      <c r="G354" s="108" t="s">
        <v>640</v>
      </c>
      <c r="H354" s="105" t="n">
        <f aca="false">'[2]$ лето'!j354-'[2]$ лето'!au354-'[2]$ лето'!at354-'[2]$ лето'!as354-'[2]$ лето'!ar354-'[2]$ лето'!aq354-'[2]$ лето'!ap354-'[2]$ лето'!an354-'[2]$ лето'!am354-'[2]$ лето'!al354-'[2]$ лето'!ak354-'[2]$ лето'!aj354-'[2]$ лето'!ah354-'[2]$ лето'!ag354-'[2]$ лето'!af354-'[2]$ лето'!ae354-'[2]$ лето'!ad354-'[2]$ лето'!ab354-'[2]$ лето'!aa354-'[2]$ лето'!z354-'[2]$ лето'!y354-'[2]$ лето'!x354-'[2]$ лето'!v354-'[2]$ лето'!u354-'[2]$ лето'!t354-'[2]$ лето'!s354-'[2]$ лето'!r354-'[2]$ лето'!p354-'[2]$ лето'!o354-'[2]$ лето'!n354-'[2]$ лето'!m354-'[2]$ лето'!l354+'[2]$ лето'!k354+'[2]$ лето'!q354+'[2]$ лето'!w354+'[2]$ лето'!ac354+'[2]$ лето'!ai354+'[2]$ лето'!ao354</f>
        <v>2</v>
      </c>
      <c r="I354" s="109" t="n">
        <f aca="false">'[2]$ лето'!ay354*1.1</f>
        <v>1632.4</v>
      </c>
      <c r="J354" s="113" t="n">
        <v>2017</v>
      </c>
    </row>
    <row r="355" customFormat="false" ht="15" hidden="false" customHeight="false" outlineLevel="0" collapsed="false">
      <c r="A355" s="115" t="s">
        <v>170</v>
      </c>
      <c r="B355" s="115" t="s">
        <v>821</v>
      </c>
      <c r="C355" s="119" t="s">
        <v>940</v>
      </c>
      <c r="D355" s="119"/>
      <c r="E355" s="119"/>
      <c r="F355" s="119"/>
      <c r="G355" s="108" t="s">
        <v>663</v>
      </c>
      <c r="H355" s="105" t="n">
        <f aca="false">'[2]$ лето'!j355-'[2]$ лето'!au355-'[2]$ лето'!at355-'[2]$ лето'!as355-'[2]$ лето'!ar355-'[2]$ лето'!aq355-'[2]$ лето'!ap355-'[2]$ лето'!an355-'[2]$ лето'!am355-'[2]$ лето'!al355-'[2]$ лето'!ak355-'[2]$ лето'!aj355-'[2]$ лето'!ah355-'[2]$ лето'!ag355-'[2]$ лето'!af355-'[2]$ лето'!ae355-'[2]$ лето'!ad355-'[2]$ лето'!ab355-'[2]$ лето'!aa355-'[2]$ лето'!z355-'[2]$ лето'!y355-'[2]$ лето'!x355-'[2]$ лето'!v355-'[2]$ лето'!u355-'[2]$ лето'!t355-'[2]$ лето'!s355-'[2]$ лето'!r355-'[2]$ лето'!p355-'[2]$ лето'!o355-'[2]$ лето'!n355-'[2]$ лето'!m355-'[2]$ лето'!l355+'[2]$ лето'!k355+'[2]$ лето'!q355+'[2]$ лето'!w355+'[2]$ лето'!ac355+'[2]$ лето'!ai355+'[2]$ лето'!ao355</f>
        <v>3</v>
      </c>
      <c r="I355" s="109" t="n">
        <f aca="false">'[2]$ лето'!ay355*1.1</f>
        <v>1262.8</v>
      </c>
      <c r="J355" s="85" t="n">
        <v>2017</v>
      </c>
    </row>
    <row r="356" customFormat="false" ht="15" hidden="true" customHeight="false" outlineLevel="0" collapsed="false">
      <c r="A356" s="115" t="s">
        <v>170</v>
      </c>
      <c r="B356" s="115" t="s">
        <v>821</v>
      </c>
      <c r="C356" s="116" t="s">
        <v>941</v>
      </c>
      <c r="D356" s="116"/>
      <c r="E356" s="116"/>
      <c r="F356" s="116"/>
      <c r="G356" s="108"/>
      <c r="H356" s="105" t="n">
        <f aca="false">'[2]$ лето'!j356-'[2]$ лето'!au356-'[2]$ лето'!at356-'[2]$ лето'!as356-'[2]$ лето'!ar356-'[2]$ лето'!aq356-'[2]$ лето'!ap356-'[2]$ лето'!an356-'[2]$ лето'!am356-'[2]$ лето'!al356-'[2]$ лето'!ak356-'[2]$ лето'!aj356-'[2]$ лето'!ah356-'[2]$ лето'!ag356-'[2]$ лето'!af356-'[2]$ лето'!ae356-'[2]$ лето'!ad356-'[2]$ лето'!ab356-'[2]$ лето'!aa356-'[2]$ лето'!z356-'[2]$ лето'!y356-'[2]$ лето'!x356-'[2]$ лето'!v356-'[2]$ лето'!u356-'[2]$ лето'!t356-'[2]$ лето'!s356-'[2]$ лето'!r356-'[2]$ лето'!p356-'[2]$ лето'!o356-'[2]$ лето'!n356-'[2]$ лето'!m356-'[2]$ лето'!l356+'[2]$ лето'!k356+'[2]$ лето'!q356+'[2]$ лето'!w356+'[2]$ лето'!ac356+'[2]$ лето'!ai356+'[2]$ лето'!ao356</f>
        <v>0</v>
      </c>
      <c r="I356" s="109" t="n">
        <f aca="false">'[2]$ лето'!ay356*1.1</f>
        <v>1078</v>
      </c>
    </row>
    <row r="357" customFormat="false" ht="15" hidden="true" customHeight="false" outlineLevel="0" collapsed="false">
      <c r="A357" s="115" t="s">
        <v>170</v>
      </c>
      <c r="B357" s="115" t="s">
        <v>821</v>
      </c>
      <c r="C357" s="116" t="s">
        <v>909</v>
      </c>
      <c r="D357" s="116"/>
      <c r="E357" s="116"/>
      <c r="F357" s="116"/>
      <c r="G357" s="108"/>
      <c r="H357" s="105" t="n">
        <f aca="false">'[2]$ лето'!j357-'[2]$ лето'!au357-'[2]$ лето'!at357-'[2]$ лето'!as357-'[2]$ лето'!ar357-'[2]$ лето'!aq357-'[2]$ лето'!ap357-'[2]$ лето'!an357-'[2]$ лето'!am357-'[2]$ лето'!al357-'[2]$ лето'!ak357-'[2]$ лето'!aj357-'[2]$ лето'!ah357-'[2]$ лето'!ag357-'[2]$ лето'!af357-'[2]$ лето'!ae357-'[2]$ лето'!ad357-'[2]$ лето'!ab357-'[2]$ лето'!aa357-'[2]$ лето'!z357-'[2]$ лето'!y357-'[2]$ лето'!x357-'[2]$ лето'!v357-'[2]$ лето'!u357-'[2]$ лето'!t357-'[2]$ лето'!s357-'[2]$ лето'!r357-'[2]$ лето'!p357-'[2]$ лето'!o357-'[2]$ лето'!n357-'[2]$ лето'!m357-'[2]$ лето'!l357+'[2]$ лето'!k357+'[2]$ лето'!q357+'[2]$ лето'!w357+'[2]$ лето'!ac357+'[2]$ лето'!ai357+'[2]$ лето'!ao357</f>
        <v>0</v>
      </c>
      <c r="I357" s="109" t="n">
        <f aca="false">'[2]$ лето'!ay357*1.1</f>
        <v>1139.6</v>
      </c>
    </row>
    <row r="358" customFormat="false" ht="15" hidden="false" customHeight="false" outlineLevel="0" collapsed="false">
      <c r="A358" s="115" t="s">
        <v>170</v>
      </c>
      <c r="B358" s="115" t="s">
        <v>707</v>
      </c>
      <c r="C358" s="107" t="s">
        <v>942</v>
      </c>
      <c r="D358" s="107"/>
      <c r="E358" s="116"/>
      <c r="F358" s="116"/>
      <c r="G358" s="108" t="s">
        <v>943</v>
      </c>
      <c r="H358" s="105" t="n">
        <f aca="false">'[2]$ лето'!j358-'[2]$ лето'!au358-'[2]$ лето'!at358-'[2]$ лето'!as358-'[2]$ лето'!ar358-'[2]$ лето'!aq358-'[2]$ лето'!ap358-'[2]$ лето'!an358-'[2]$ лето'!am358-'[2]$ лето'!al358-'[2]$ лето'!ak358-'[2]$ лето'!aj358-'[2]$ лето'!ah358-'[2]$ лето'!ag358-'[2]$ лето'!af358-'[2]$ лето'!ae358-'[2]$ лето'!ad358-'[2]$ лето'!ab358-'[2]$ лето'!aa358-'[2]$ лето'!z358-'[2]$ лето'!y358-'[2]$ лето'!x358-'[2]$ лето'!v358-'[2]$ лето'!u358-'[2]$ лето'!t358-'[2]$ лето'!s358-'[2]$ лето'!r358-'[2]$ лето'!p358-'[2]$ лето'!o358-'[2]$ лето'!n358-'[2]$ лето'!m358-'[2]$ лето'!l358+'[2]$ лето'!k358+'[2]$ лето'!q358+'[2]$ лето'!w358+'[2]$ лето'!ac358+'[2]$ лето'!ai358+'[2]$ лето'!ao358</f>
        <v>4</v>
      </c>
      <c r="I358" s="109" t="n">
        <f aca="false">'[2]$ лето'!ay358*1.1</f>
        <v>1232</v>
      </c>
      <c r="J358" s="85" t="n">
        <v>2017</v>
      </c>
    </row>
    <row r="359" customFormat="false" ht="15" hidden="false" customHeight="false" outlineLevel="0" collapsed="false">
      <c r="A359" s="115" t="s">
        <v>170</v>
      </c>
      <c r="B359" s="115" t="s">
        <v>646</v>
      </c>
      <c r="C359" s="107" t="s">
        <v>944</v>
      </c>
      <c r="D359" s="107"/>
      <c r="E359" s="116"/>
      <c r="F359" s="116"/>
      <c r="G359" s="108" t="s">
        <v>933</v>
      </c>
      <c r="H359" s="105" t="n">
        <f aca="false">'[2]$ лето'!j359-'[2]$ лето'!au359-'[2]$ лето'!at359-'[2]$ лето'!as359-'[2]$ лето'!ar359-'[2]$ лето'!aq359-'[2]$ лето'!ap359-'[2]$ лето'!an359-'[2]$ лето'!am359-'[2]$ лето'!al359-'[2]$ лето'!ak359-'[2]$ лето'!aj359-'[2]$ лето'!ah359-'[2]$ лето'!ag359-'[2]$ лето'!af359-'[2]$ лето'!ae359-'[2]$ лето'!ad359-'[2]$ лето'!ab359-'[2]$ лето'!aa359-'[2]$ лето'!z359-'[2]$ лето'!y359-'[2]$ лето'!x359-'[2]$ лето'!v359-'[2]$ лето'!u359-'[2]$ лето'!t359-'[2]$ лето'!s359-'[2]$ лето'!r359-'[2]$ лето'!p359-'[2]$ лето'!o359-'[2]$ лето'!n359-'[2]$ лето'!m359-'[2]$ лето'!l359+'[2]$ лето'!k359+'[2]$ лето'!q359+'[2]$ лето'!w359+'[2]$ лето'!ac359+'[2]$ лето'!ai359+'[2]$ лето'!ao359</f>
        <v>12</v>
      </c>
      <c r="I359" s="109" t="n">
        <f aca="false">'[2]$ лето'!ay359*1.1</f>
        <v>1108.8</v>
      </c>
      <c r="J359" s="85" t="n">
        <v>2017</v>
      </c>
    </row>
    <row r="360" customFormat="false" ht="15" hidden="true" customHeight="false" outlineLevel="0" collapsed="false">
      <c r="A360" s="115" t="s">
        <v>170</v>
      </c>
      <c r="B360" s="115" t="s">
        <v>557</v>
      </c>
      <c r="C360" s="116" t="s">
        <v>558</v>
      </c>
      <c r="D360" s="116"/>
      <c r="E360" s="116"/>
      <c r="F360" s="116"/>
      <c r="G360" s="108"/>
      <c r="H360" s="105" t="n">
        <f aca="false">'[2]$ лето'!j360-'[2]$ лето'!au360-'[2]$ лето'!at360-'[2]$ лето'!as360-'[2]$ лето'!ar360-'[2]$ лето'!aq360-'[2]$ лето'!ap360-'[2]$ лето'!an360-'[2]$ лето'!am360-'[2]$ лето'!al360-'[2]$ лето'!ak360-'[2]$ лето'!aj360-'[2]$ лето'!ah360-'[2]$ лето'!ag360-'[2]$ лето'!af360-'[2]$ лето'!ae360-'[2]$ лето'!ad360-'[2]$ лето'!ab360-'[2]$ лето'!aa360-'[2]$ лето'!z360-'[2]$ лето'!y360-'[2]$ лето'!x360-'[2]$ лето'!v360-'[2]$ лето'!u360-'[2]$ лето'!t360-'[2]$ лето'!s360-'[2]$ лето'!r360-'[2]$ лето'!p360-'[2]$ лето'!o360-'[2]$ лето'!n360-'[2]$ лето'!m360-'[2]$ лето'!l360+'[2]$ лето'!k360+'[2]$ лето'!q360+'[2]$ лето'!w360+'[2]$ лето'!ac360+'[2]$ лето'!ai360+'[2]$ лето'!ao360</f>
        <v>0</v>
      </c>
      <c r="I360" s="109" t="n">
        <f aca="false">'[2]$ лето'!ay360*1.1</f>
        <v>1262.8</v>
      </c>
    </row>
    <row r="361" customFormat="false" ht="15" hidden="true" customHeight="false" outlineLevel="0" collapsed="false">
      <c r="A361" s="115" t="s">
        <v>170</v>
      </c>
      <c r="B361" s="115" t="s">
        <v>741</v>
      </c>
      <c r="C361" s="116" t="s">
        <v>945</v>
      </c>
      <c r="D361" s="116"/>
      <c r="E361" s="116"/>
      <c r="F361" s="116"/>
      <c r="G361" s="108"/>
      <c r="H361" s="105" t="n">
        <f aca="false">'[2]$ лето'!j361-'[2]$ лето'!au361-'[2]$ лето'!at361-'[2]$ лето'!as361-'[2]$ лето'!ar361-'[2]$ лето'!aq361-'[2]$ лето'!ap361-'[2]$ лето'!an361-'[2]$ лето'!am361-'[2]$ лето'!al361-'[2]$ лето'!ak361-'[2]$ лето'!aj361-'[2]$ лето'!ah361-'[2]$ лето'!ag361-'[2]$ лето'!af361-'[2]$ лето'!ae361-'[2]$ лето'!ad361-'[2]$ лето'!ab361-'[2]$ лето'!aa361-'[2]$ лето'!z361-'[2]$ лето'!y361-'[2]$ лето'!x361-'[2]$ лето'!v361-'[2]$ лето'!u361-'[2]$ лето'!t361-'[2]$ лето'!s361-'[2]$ лето'!r361-'[2]$ лето'!p361-'[2]$ лето'!o361-'[2]$ лето'!n361-'[2]$ лето'!m361-'[2]$ лето'!l361+'[2]$ лето'!k361+'[2]$ лето'!q361+'[2]$ лето'!w361+'[2]$ лето'!ac361+'[2]$ лето'!ai361+'[2]$ лето'!ao361</f>
        <v>0</v>
      </c>
      <c r="I361" s="109" t="n">
        <f aca="false">'[2]$ лето'!ay361*1.1</f>
        <v>1540</v>
      </c>
    </row>
    <row r="362" customFormat="false" ht="15" hidden="false" customHeight="false" outlineLevel="0" collapsed="false">
      <c r="A362" s="115" t="s">
        <v>170</v>
      </c>
      <c r="B362" s="115" t="s">
        <v>604</v>
      </c>
      <c r="C362" s="116" t="s">
        <v>946</v>
      </c>
      <c r="D362" s="116"/>
      <c r="E362" s="116"/>
      <c r="F362" s="116"/>
      <c r="G362" s="108" t="s">
        <v>933</v>
      </c>
      <c r="H362" s="105" t="n">
        <f aca="false">'[2]$ лето'!j362-'[2]$ лето'!au362-'[2]$ лето'!at362-'[2]$ лето'!as362-'[2]$ лето'!ar362-'[2]$ лето'!aq362-'[2]$ лето'!ap362-'[2]$ лето'!an362-'[2]$ лето'!am362-'[2]$ лето'!al362-'[2]$ лето'!ak362-'[2]$ лето'!aj362-'[2]$ лето'!ah362-'[2]$ лето'!ag362-'[2]$ лето'!af362-'[2]$ лето'!ae362-'[2]$ лето'!ad362-'[2]$ лето'!ab362-'[2]$ лето'!aa362-'[2]$ лето'!z362-'[2]$ лето'!y362-'[2]$ лето'!x362-'[2]$ лето'!v362-'[2]$ лето'!u362-'[2]$ лето'!t362-'[2]$ лето'!s362-'[2]$ лето'!r362-'[2]$ лето'!p362-'[2]$ лето'!o362-'[2]$ лето'!n362-'[2]$ лето'!m362-'[2]$ лето'!l362+'[2]$ лето'!k362+'[2]$ лето'!q362+'[2]$ лето'!w362+'[2]$ лето'!ac362+'[2]$ лето'!ai362+'[2]$ лето'!ao362</f>
        <v>8</v>
      </c>
      <c r="I362" s="109" t="n">
        <f aca="false">'[2]$ лето'!ay362*1.1</f>
        <v>1386</v>
      </c>
      <c r="J362" s="85" t="n">
        <v>2017</v>
      </c>
    </row>
    <row r="363" customFormat="false" ht="15" hidden="true" customHeight="false" outlineLevel="0" collapsed="false">
      <c r="A363" s="115" t="s">
        <v>170</v>
      </c>
      <c r="B363" s="115" t="s">
        <v>744</v>
      </c>
      <c r="C363" s="116" t="s">
        <v>947</v>
      </c>
      <c r="D363" s="116"/>
      <c r="E363" s="116"/>
      <c r="F363" s="116"/>
      <c r="G363" s="108"/>
      <c r="H363" s="105" t="n">
        <f aca="false">'[2]$ лето'!j363-'[2]$ лето'!au363-'[2]$ лето'!at363-'[2]$ лето'!as363-'[2]$ лето'!ar363-'[2]$ лето'!aq363-'[2]$ лето'!ap363-'[2]$ лето'!an363-'[2]$ лето'!am363-'[2]$ лето'!al363-'[2]$ лето'!ak363-'[2]$ лето'!aj363-'[2]$ лето'!ah363-'[2]$ лето'!ag363-'[2]$ лето'!af363-'[2]$ лето'!ae363-'[2]$ лето'!ad363-'[2]$ лето'!ab363-'[2]$ лето'!aa363-'[2]$ лето'!z363-'[2]$ лето'!y363-'[2]$ лето'!x363-'[2]$ лето'!v363-'[2]$ лето'!u363-'[2]$ лето'!t363-'[2]$ лето'!s363-'[2]$ лето'!r363-'[2]$ лето'!p363-'[2]$ лето'!o363-'[2]$ лето'!n363-'[2]$ лето'!m363-'[2]$ лето'!l363+'[2]$ лето'!k363+'[2]$ лето'!q363+'[2]$ лето'!w363+'[2]$ лето'!ac363+'[2]$ лето'!ai363+'[2]$ лето'!ao363</f>
        <v>0</v>
      </c>
      <c r="I363" s="109" t="n">
        <f aca="false">'[2]$ лето'!ay363*1.1</f>
        <v>1170.4</v>
      </c>
    </row>
    <row r="364" customFormat="false" ht="15" hidden="true" customHeight="false" outlineLevel="0" collapsed="false">
      <c r="A364" s="115" t="s">
        <v>170</v>
      </c>
      <c r="B364" s="115" t="s">
        <v>948</v>
      </c>
      <c r="C364" s="116" t="s">
        <v>949</v>
      </c>
      <c r="D364" s="116"/>
      <c r="E364" s="116"/>
      <c r="F364" s="116"/>
      <c r="G364" s="108"/>
      <c r="H364" s="105" t="n">
        <f aca="false">'[2]$ лето'!j364-'[2]$ лето'!au364-'[2]$ лето'!at364-'[2]$ лето'!as364-'[2]$ лето'!ar364-'[2]$ лето'!aq364-'[2]$ лето'!ap364-'[2]$ лето'!an364-'[2]$ лето'!am364-'[2]$ лето'!al364-'[2]$ лето'!ak364-'[2]$ лето'!aj364-'[2]$ лето'!ah364-'[2]$ лето'!ag364-'[2]$ лето'!af364-'[2]$ лето'!ae364-'[2]$ лето'!ad364-'[2]$ лето'!ab364-'[2]$ лето'!aa364-'[2]$ лето'!z364-'[2]$ лето'!y364-'[2]$ лето'!x364-'[2]$ лето'!v364-'[2]$ лето'!u364-'[2]$ лето'!t364-'[2]$ лето'!s364-'[2]$ лето'!r364-'[2]$ лето'!p364-'[2]$ лето'!o364-'[2]$ лето'!n364-'[2]$ лето'!m364-'[2]$ лето'!l364+'[2]$ лето'!k364+'[2]$ лето'!q364+'[2]$ лето'!w364+'[2]$ лето'!ac364+'[2]$ лето'!ai364+'[2]$ лето'!ao364</f>
        <v>0</v>
      </c>
      <c r="I364" s="109" t="n">
        <f aca="false">'[2]$ лето'!ay364*1.1</f>
        <v>1324.4</v>
      </c>
    </row>
    <row r="365" customFormat="false" ht="15" hidden="false" customHeight="false" outlineLevel="0" collapsed="false">
      <c r="A365" s="115" t="s">
        <v>170</v>
      </c>
      <c r="B365" s="115" t="s">
        <v>606</v>
      </c>
      <c r="C365" s="116" t="s">
        <v>950</v>
      </c>
      <c r="D365" s="116"/>
      <c r="E365" s="116"/>
      <c r="F365" s="116"/>
      <c r="G365" s="108" t="s">
        <v>849</v>
      </c>
      <c r="H365" s="105" t="n">
        <f aca="false">'[2]$ лето'!j365-'[2]$ лето'!au365-'[2]$ лето'!at365-'[2]$ лето'!as365-'[2]$ лето'!ar365-'[2]$ лето'!aq365-'[2]$ лето'!ap365-'[2]$ лето'!an365-'[2]$ лето'!am365-'[2]$ лето'!al365-'[2]$ лето'!ak365-'[2]$ лето'!aj365-'[2]$ лето'!ah365-'[2]$ лето'!ag365-'[2]$ лето'!af365-'[2]$ лето'!ae365-'[2]$ лето'!ad365-'[2]$ лето'!ab365-'[2]$ лето'!aa365-'[2]$ лето'!z365-'[2]$ лето'!y365-'[2]$ лето'!x365-'[2]$ лето'!v365-'[2]$ лето'!u365-'[2]$ лето'!t365-'[2]$ лето'!s365-'[2]$ лето'!r365-'[2]$ лето'!p365-'[2]$ лето'!o365-'[2]$ лето'!n365-'[2]$ лето'!m365-'[2]$ лето'!l365+'[2]$ лето'!k365+'[2]$ лето'!q365+'[2]$ лето'!w365+'[2]$ лето'!ac365+'[2]$ лето'!ai365+'[2]$ лето'!ao365</f>
        <v>4</v>
      </c>
      <c r="I365" s="109" t="n">
        <f aca="false">'[2]$ лето'!ay365*1.1</f>
        <v>1416.8</v>
      </c>
      <c r="J365" s="85" t="n">
        <v>2018</v>
      </c>
    </row>
    <row r="366" customFormat="false" ht="15" hidden="false" customHeight="false" outlineLevel="0" collapsed="false">
      <c r="A366" s="115" t="s">
        <v>170</v>
      </c>
      <c r="B366" s="115" t="s">
        <v>606</v>
      </c>
      <c r="C366" s="116" t="s">
        <v>951</v>
      </c>
      <c r="D366" s="116"/>
      <c r="E366" s="116"/>
      <c r="F366" s="116"/>
      <c r="G366" s="108" t="s">
        <v>609</v>
      </c>
      <c r="H366" s="105" t="n">
        <f aca="false">'[2]$ лето'!j366-'[2]$ лето'!au366-'[2]$ лето'!at366-'[2]$ лето'!as366-'[2]$ лето'!ar366-'[2]$ лето'!aq366-'[2]$ лето'!ap366-'[2]$ лето'!an366-'[2]$ лето'!am366-'[2]$ лето'!al366-'[2]$ лето'!ak366-'[2]$ лето'!aj366-'[2]$ лето'!ah366-'[2]$ лето'!ag366-'[2]$ лето'!af366-'[2]$ лето'!ae366-'[2]$ лето'!ad366-'[2]$ лето'!ab366-'[2]$ лето'!aa366-'[2]$ лето'!z366-'[2]$ лето'!y366-'[2]$ лето'!x366-'[2]$ лето'!v366-'[2]$ лето'!u366-'[2]$ лето'!t366-'[2]$ лето'!s366-'[2]$ лето'!r366-'[2]$ лето'!p366-'[2]$ лето'!o366-'[2]$ лето'!n366-'[2]$ лето'!m366-'[2]$ лето'!l366+'[2]$ лето'!k366+'[2]$ лето'!q366+'[2]$ лето'!w366+'[2]$ лето'!ac366+'[2]$ лето'!ai366+'[2]$ лето'!ao366</f>
        <v>8</v>
      </c>
      <c r="I366" s="109" t="n">
        <f aca="false">'[2]$ лето'!ay366*1.1</f>
        <v>1293.6</v>
      </c>
      <c r="J366" s="85" t="n">
        <v>2017</v>
      </c>
    </row>
    <row r="367" customFormat="false" ht="15" hidden="true" customHeight="false" outlineLevel="0" collapsed="false">
      <c r="A367" s="115" t="s">
        <v>170</v>
      </c>
      <c r="B367" s="115" t="s">
        <v>606</v>
      </c>
      <c r="C367" s="116" t="s">
        <v>952</v>
      </c>
      <c r="D367" s="116"/>
      <c r="E367" s="116"/>
      <c r="F367" s="116"/>
      <c r="G367" s="108" t="s">
        <v>849</v>
      </c>
      <c r="H367" s="105" t="n">
        <f aca="false">'[2]$ лето'!j367-'[2]$ лето'!au367-'[2]$ лето'!at367-'[2]$ лето'!as367-'[2]$ лето'!ar367-'[2]$ лето'!aq367-'[2]$ лето'!ap367-'[2]$ лето'!an367-'[2]$ лето'!am367-'[2]$ лето'!al367-'[2]$ лето'!ak367-'[2]$ лето'!aj367-'[2]$ лето'!ah367-'[2]$ лето'!ag367-'[2]$ лето'!af367-'[2]$ лето'!ae367-'[2]$ лето'!ad367-'[2]$ лето'!ab367-'[2]$ лето'!aa367-'[2]$ лето'!z367-'[2]$ лето'!y367-'[2]$ лето'!x367-'[2]$ лето'!v367-'[2]$ лето'!u367-'[2]$ лето'!t367-'[2]$ лето'!s367-'[2]$ лето'!r367-'[2]$ лето'!p367-'[2]$ лето'!o367-'[2]$ лето'!n367-'[2]$ лето'!m367-'[2]$ лето'!l367+'[2]$ лето'!k367+'[2]$ лето'!q367+'[2]$ лето'!w367+'[2]$ лето'!ac367+'[2]$ лето'!ai367+'[2]$ лето'!ao367</f>
        <v>0</v>
      </c>
      <c r="I367" s="109" t="n">
        <f aca="false">'[2]$ лето'!ay367*1.1</f>
        <v>1232</v>
      </c>
      <c r="J367" s="85" t="n">
        <v>2016</v>
      </c>
    </row>
    <row r="368" customFormat="false" ht="15" hidden="false" customHeight="false" outlineLevel="0" collapsed="false">
      <c r="A368" s="115" t="s">
        <v>170</v>
      </c>
      <c r="B368" s="115" t="s">
        <v>606</v>
      </c>
      <c r="C368" s="116" t="s">
        <v>953</v>
      </c>
      <c r="D368" s="116"/>
      <c r="E368" s="116"/>
      <c r="F368" s="116"/>
      <c r="G368" s="108" t="s">
        <v>609</v>
      </c>
      <c r="H368" s="105" t="n">
        <f aca="false">'[2]$ лето'!j368-'[2]$ лето'!au368-'[2]$ лето'!at368-'[2]$ лето'!as368-'[2]$ лето'!ar368-'[2]$ лето'!aq368-'[2]$ лето'!ap368-'[2]$ лето'!an368-'[2]$ лето'!am368-'[2]$ лето'!al368-'[2]$ лето'!ak368-'[2]$ лето'!aj368-'[2]$ лето'!ah368-'[2]$ лето'!ag368-'[2]$ лето'!af368-'[2]$ лето'!ae368-'[2]$ лето'!ad368-'[2]$ лето'!ab368-'[2]$ лето'!aa368-'[2]$ лето'!z368-'[2]$ лето'!y368-'[2]$ лето'!x368-'[2]$ лето'!v368-'[2]$ лето'!u368-'[2]$ лето'!t368-'[2]$ лето'!s368-'[2]$ лето'!r368-'[2]$ лето'!p368-'[2]$ лето'!o368-'[2]$ лето'!n368-'[2]$ лето'!m368-'[2]$ лето'!l368+'[2]$ лето'!k368+'[2]$ лето'!q368+'[2]$ лето'!w368+'[2]$ лето'!ac368+'[2]$ лето'!ai368+'[2]$ лето'!ao368</f>
        <v>4</v>
      </c>
      <c r="I368" s="109" t="n">
        <f aca="false">'[2]$ лето'!ay368*1.1</f>
        <v>1355.2</v>
      </c>
      <c r="J368" s="85" t="n">
        <v>2018</v>
      </c>
    </row>
    <row r="369" customFormat="false" ht="15" hidden="false" customHeight="false" outlineLevel="0" collapsed="false">
      <c r="A369" s="115" t="s">
        <v>170</v>
      </c>
      <c r="B369" s="115" t="s">
        <v>606</v>
      </c>
      <c r="C369" s="116" t="s">
        <v>953</v>
      </c>
      <c r="D369" s="116"/>
      <c r="E369" s="116"/>
      <c r="F369" s="116"/>
      <c r="G369" s="108" t="s">
        <v>849</v>
      </c>
      <c r="H369" s="105" t="n">
        <f aca="false">'[2]$ лето'!j369-'[2]$ лето'!au369-'[2]$ лето'!at369-'[2]$ лето'!as369-'[2]$ лето'!ar369-'[2]$ лето'!aq369-'[2]$ лето'!ap369-'[2]$ лето'!an369-'[2]$ лето'!am369-'[2]$ лето'!al369-'[2]$ лето'!ak369-'[2]$ лето'!aj369-'[2]$ лето'!ah369-'[2]$ лето'!ag369-'[2]$ лето'!af369-'[2]$ лето'!ae369-'[2]$ лето'!ad369-'[2]$ лето'!ab369-'[2]$ лето'!aa369-'[2]$ лето'!z369-'[2]$ лето'!y369-'[2]$ лето'!x369-'[2]$ лето'!v369-'[2]$ лето'!u369-'[2]$ лето'!t369-'[2]$ лето'!s369-'[2]$ лето'!r369-'[2]$ лето'!p369-'[2]$ лето'!o369-'[2]$ лето'!n369-'[2]$ лето'!m369-'[2]$ лето'!l369+'[2]$ лето'!k369+'[2]$ лето'!q369+'[2]$ лето'!w369+'[2]$ лето'!ac369+'[2]$ лето'!ai369+'[2]$ лето'!ao369</f>
        <v>2</v>
      </c>
      <c r="I369" s="109" t="n">
        <f aca="false">'[2]$ лето'!ay369*1.1</f>
        <v>1355.2</v>
      </c>
      <c r="J369" s="85" t="n">
        <v>2018</v>
      </c>
    </row>
    <row r="370" customFormat="false" ht="15" hidden="false" customHeight="false" outlineLevel="0" collapsed="false">
      <c r="A370" s="115" t="s">
        <v>170</v>
      </c>
      <c r="B370" s="115" t="s">
        <v>666</v>
      </c>
      <c r="C370" s="107" t="s">
        <v>954</v>
      </c>
      <c r="D370" s="107"/>
      <c r="E370" s="116"/>
      <c r="F370" s="116"/>
      <c r="G370" s="108" t="s">
        <v>663</v>
      </c>
      <c r="H370" s="105" t="n">
        <f aca="false">'[2]$ лето'!j370-'[2]$ лето'!au370-'[2]$ лето'!at370-'[2]$ лето'!as370-'[2]$ лето'!ar370-'[2]$ лето'!aq370-'[2]$ лето'!ap370-'[2]$ лето'!an370-'[2]$ лето'!am370-'[2]$ лето'!al370-'[2]$ лето'!ak370-'[2]$ лето'!aj370-'[2]$ лето'!ah370-'[2]$ лето'!ag370-'[2]$ лето'!af370-'[2]$ лето'!ae370-'[2]$ лето'!ad370-'[2]$ лето'!ab370-'[2]$ лето'!aa370-'[2]$ лето'!z370-'[2]$ лето'!y370-'[2]$ лето'!x370-'[2]$ лето'!v370-'[2]$ лето'!u370-'[2]$ лето'!t370-'[2]$ лето'!s370-'[2]$ лето'!r370-'[2]$ лето'!p370-'[2]$ лето'!o370-'[2]$ лето'!n370-'[2]$ лето'!m370-'[2]$ лето'!l370+'[2]$ лето'!k370+'[2]$ лето'!q370+'[2]$ лето'!w370+'[2]$ лето'!ac370+'[2]$ лето'!ai370+'[2]$ лето'!ao370</f>
        <v>6</v>
      </c>
      <c r="I370" s="109" t="n">
        <f aca="false">'[2]$ лето'!ay370*1.1</f>
        <v>1262.8</v>
      </c>
      <c r="J370" s="85" t="n">
        <v>2017</v>
      </c>
    </row>
    <row r="371" customFormat="false" ht="15" hidden="false" customHeight="false" outlineLevel="0" collapsed="false">
      <c r="A371" s="115" t="s">
        <v>170</v>
      </c>
      <c r="B371" s="115" t="s">
        <v>668</v>
      </c>
      <c r="C371" s="116" t="s">
        <v>894</v>
      </c>
      <c r="D371" s="116"/>
      <c r="E371" s="116"/>
      <c r="F371" s="116"/>
      <c r="G371" s="108" t="s">
        <v>609</v>
      </c>
      <c r="H371" s="105" t="n">
        <f aca="false">'[2]$ лето'!j371-'[2]$ лето'!au371-'[2]$ лето'!at371-'[2]$ лето'!as371-'[2]$ лето'!ar371-'[2]$ лето'!aq371-'[2]$ лето'!ap371-'[2]$ лето'!an371-'[2]$ лето'!am371-'[2]$ лето'!al371-'[2]$ лето'!ak371-'[2]$ лето'!aj371-'[2]$ лето'!ah371-'[2]$ лето'!ag371-'[2]$ лето'!af371-'[2]$ лето'!ae371-'[2]$ лето'!ad371-'[2]$ лето'!ab371-'[2]$ лето'!aa371-'[2]$ лето'!z371-'[2]$ лето'!y371-'[2]$ лето'!x371-'[2]$ лето'!v371-'[2]$ лето'!u371-'[2]$ лето'!t371-'[2]$ лето'!s371-'[2]$ лето'!r371-'[2]$ лето'!p371-'[2]$ лето'!o371-'[2]$ лето'!n371-'[2]$ лето'!m371-'[2]$ лето'!l371+'[2]$ лето'!k371+'[2]$ лето'!q371+'[2]$ лето'!w371+'[2]$ лето'!ac371+'[2]$ лето'!ai371+'[2]$ лето'!ao371</f>
        <v>2</v>
      </c>
      <c r="I371" s="109" t="n">
        <f aca="false">'[2]$ лето'!ay371*1.1</f>
        <v>985.6</v>
      </c>
    </row>
    <row r="372" customFormat="false" ht="15" hidden="true" customHeight="false" outlineLevel="0" collapsed="false">
      <c r="A372" s="115" t="s">
        <v>170</v>
      </c>
      <c r="B372" s="115" t="s">
        <v>668</v>
      </c>
      <c r="C372" s="116" t="s">
        <v>955</v>
      </c>
      <c r="D372" s="116"/>
      <c r="E372" s="116"/>
      <c r="F372" s="116"/>
      <c r="G372" s="108" t="s">
        <v>609</v>
      </c>
      <c r="H372" s="105" t="n">
        <f aca="false">'[2]$ лето'!j372-'[2]$ лето'!au372-'[2]$ лето'!at372-'[2]$ лето'!as372-'[2]$ лето'!ar372-'[2]$ лето'!aq372-'[2]$ лето'!ap372-'[2]$ лето'!an372-'[2]$ лето'!am372-'[2]$ лето'!al372-'[2]$ лето'!ak372-'[2]$ лето'!aj372-'[2]$ лето'!ah372-'[2]$ лето'!ag372-'[2]$ лето'!af372-'[2]$ лето'!ae372-'[2]$ лето'!ad372-'[2]$ лето'!ab372-'[2]$ лето'!aa372-'[2]$ лето'!z372-'[2]$ лето'!y372-'[2]$ лето'!x372-'[2]$ лето'!v372-'[2]$ лето'!u372-'[2]$ лето'!t372-'[2]$ лето'!s372-'[2]$ лето'!r372-'[2]$ лето'!p372-'[2]$ лето'!o372-'[2]$ лето'!n372-'[2]$ лето'!m372-'[2]$ лето'!l372+'[2]$ лето'!k372+'[2]$ лето'!q372+'[2]$ лето'!w372+'[2]$ лето'!ac372+'[2]$ лето'!ai372+'[2]$ лето'!ao372</f>
        <v>0</v>
      </c>
      <c r="I372" s="109" t="n">
        <f aca="false">'[2]$ лето'!ay372*1.1</f>
        <v>1375</v>
      </c>
      <c r="J372" s="85" t="n">
        <v>2017</v>
      </c>
    </row>
    <row r="373" customFormat="false" ht="15" hidden="false" customHeight="false" outlineLevel="0" collapsed="false">
      <c r="A373" s="115" t="s">
        <v>170</v>
      </c>
      <c r="B373" s="115" t="s">
        <v>574</v>
      </c>
      <c r="C373" s="116" t="s">
        <v>956</v>
      </c>
      <c r="D373" s="116"/>
      <c r="E373" s="116"/>
      <c r="F373" s="116"/>
      <c r="G373" s="108" t="s">
        <v>576</v>
      </c>
      <c r="H373" s="105" t="n">
        <f aca="false">'[2]$ лето'!j373-'[2]$ лето'!au373-'[2]$ лето'!at373-'[2]$ лето'!as373-'[2]$ лето'!ar373-'[2]$ лето'!aq373-'[2]$ лето'!ap373-'[2]$ лето'!an373-'[2]$ лето'!am373-'[2]$ лето'!al373-'[2]$ лето'!ak373-'[2]$ лето'!aj373-'[2]$ лето'!ah373-'[2]$ лето'!ag373-'[2]$ лето'!af373-'[2]$ лето'!ae373-'[2]$ лето'!ad373-'[2]$ лето'!ab373-'[2]$ лето'!aa373-'[2]$ лето'!z373-'[2]$ лето'!y373-'[2]$ лето'!x373-'[2]$ лето'!v373-'[2]$ лето'!u373-'[2]$ лето'!t373-'[2]$ лето'!s373-'[2]$ лето'!r373-'[2]$ лето'!p373-'[2]$ лето'!o373-'[2]$ лето'!n373-'[2]$ лето'!m373-'[2]$ лето'!l373+'[2]$ лето'!k373+'[2]$ лето'!q373+'[2]$ лето'!w373+'[2]$ лето'!ac373+'[2]$ лето'!ai373+'[2]$ лето'!ao373</f>
        <v>20</v>
      </c>
      <c r="I373" s="109" t="n">
        <f aca="false">'[2]$ лето'!ay373*1.1</f>
        <v>1187.12</v>
      </c>
      <c r="J373" s="85" t="n">
        <v>2016</v>
      </c>
    </row>
    <row r="374" customFormat="false" ht="15" hidden="false" customHeight="false" outlineLevel="0" collapsed="false">
      <c r="A374" s="115" t="s">
        <v>170</v>
      </c>
      <c r="B374" s="115" t="s">
        <v>574</v>
      </c>
      <c r="C374" s="116" t="s">
        <v>957</v>
      </c>
      <c r="D374" s="116"/>
      <c r="E374" s="116"/>
      <c r="F374" s="116"/>
      <c r="G374" s="108" t="s">
        <v>576</v>
      </c>
      <c r="H374" s="105" t="n">
        <f aca="false">'[2]$ лето'!j374-'[2]$ лето'!au374-'[2]$ лето'!at374-'[2]$ лето'!as374-'[2]$ лето'!ar374-'[2]$ лето'!aq374-'[2]$ лето'!ap374-'[2]$ лето'!an374-'[2]$ лето'!am374-'[2]$ лето'!al374-'[2]$ лето'!ak374-'[2]$ лето'!aj374-'[2]$ лето'!ah374-'[2]$ лето'!ag374-'[2]$ лето'!af374-'[2]$ лето'!ae374-'[2]$ лето'!ad374-'[2]$ лето'!ab374-'[2]$ лето'!aa374-'[2]$ лето'!z374-'[2]$ лето'!y374-'[2]$ лето'!x374-'[2]$ лето'!v374-'[2]$ лето'!u374-'[2]$ лето'!t374-'[2]$ лето'!s374-'[2]$ лето'!r374-'[2]$ лето'!p374-'[2]$ лето'!o374-'[2]$ лето'!n374-'[2]$ лето'!m374-'[2]$ лето'!l374+'[2]$ лето'!k374+'[2]$ лето'!q374+'[2]$ лето'!w374+'[2]$ лето'!ac374+'[2]$ лето'!ai374+'[2]$ лето'!ao374</f>
        <v>2</v>
      </c>
      <c r="I374" s="109" t="n">
        <f aca="false">'[2]$ лето'!ay374*1.1</f>
        <v>1312.08</v>
      </c>
      <c r="J374" s="85" t="n">
        <v>2017</v>
      </c>
    </row>
    <row r="375" customFormat="false" ht="15" hidden="true" customHeight="false" outlineLevel="0" collapsed="false">
      <c r="A375" s="115" t="s">
        <v>170</v>
      </c>
      <c r="B375" s="115" t="s">
        <v>574</v>
      </c>
      <c r="C375" s="116" t="s">
        <v>958</v>
      </c>
      <c r="D375" s="116"/>
      <c r="E375" s="116"/>
      <c r="F375" s="116"/>
      <c r="G375" s="108" t="s">
        <v>576</v>
      </c>
      <c r="H375" s="105" t="n">
        <f aca="false">'[2]$ лето'!j375-'[2]$ лето'!au375-'[2]$ лето'!at375-'[2]$ лето'!as375-'[2]$ лето'!ar375-'[2]$ лето'!aq375-'[2]$ лето'!ap375-'[2]$ лето'!an375-'[2]$ лето'!am375-'[2]$ лето'!al375-'[2]$ лето'!ak375-'[2]$ лето'!aj375-'[2]$ лето'!ah375-'[2]$ лето'!ag375-'[2]$ лето'!af375-'[2]$ лето'!ae375-'[2]$ лето'!ad375-'[2]$ лето'!ab375-'[2]$ лето'!aa375-'[2]$ лето'!z375-'[2]$ лето'!y375-'[2]$ лето'!x375-'[2]$ лето'!v375-'[2]$ лето'!u375-'[2]$ лето'!t375-'[2]$ лето'!s375-'[2]$ лето'!r375-'[2]$ лето'!p375-'[2]$ лето'!o375-'[2]$ лето'!n375-'[2]$ лето'!m375-'[2]$ лето'!l375+'[2]$ лето'!k375+'[2]$ лето'!q375+'[2]$ лето'!w375+'[2]$ лето'!ac375+'[2]$ лето'!ai375+'[2]$ лето'!ao375</f>
        <v>0</v>
      </c>
      <c r="I375" s="109" t="n">
        <f aca="false">'[2]$ лето'!ay375*1.1</f>
        <v>1312.08</v>
      </c>
      <c r="J375" s="85" t="n">
        <v>2018</v>
      </c>
    </row>
    <row r="376" customFormat="false" ht="15" hidden="false" customHeight="false" outlineLevel="0" collapsed="false">
      <c r="A376" s="115" t="s">
        <v>170</v>
      </c>
      <c r="B376" s="115" t="s">
        <v>577</v>
      </c>
      <c r="C376" s="116" t="s">
        <v>959</v>
      </c>
      <c r="D376" s="116"/>
      <c r="E376" s="116"/>
      <c r="F376" s="116"/>
      <c r="G376" s="108" t="s">
        <v>563</v>
      </c>
      <c r="H376" s="105" t="n">
        <f aca="false">'[2]$ лето'!j376-'[2]$ лето'!au376-'[2]$ лето'!at376-'[2]$ лето'!as376-'[2]$ лето'!ar376-'[2]$ лето'!aq376-'[2]$ лето'!ap376-'[2]$ лето'!an376-'[2]$ лето'!am376-'[2]$ лето'!al376-'[2]$ лето'!ak376-'[2]$ лето'!aj376-'[2]$ лето'!ah376-'[2]$ лето'!ag376-'[2]$ лето'!af376-'[2]$ лето'!ae376-'[2]$ лето'!ad376-'[2]$ лето'!ab376-'[2]$ лето'!aa376-'[2]$ лето'!z376-'[2]$ лето'!y376-'[2]$ лето'!x376-'[2]$ лето'!v376-'[2]$ лето'!u376-'[2]$ лето'!t376-'[2]$ лето'!s376-'[2]$ лето'!r376-'[2]$ лето'!p376-'[2]$ лето'!o376-'[2]$ лето'!n376-'[2]$ лето'!m376-'[2]$ лето'!l376+'[2]$ лето'!k376+'[2]$ лето'!q376+'[2]$ лето'!w376+'[2]$ лето'!ac376+'[2]$ лето'!ai376+'[2]$ лето'!ao376</f>
        <v>3</v>
      </c>
      <c r="I376" s="109" t="n">
        <f aca="false">'[2]$ лето'!ay376*1.1</f>
        <v>990</v>
      </c>
    </row>
    <row r="377" customFormat="false" ht="15" hidden="false" customHeight="false" outlineLevel="0" collapsed="false">
      <c r="A377" s="115" t="s">
        <v>170</v>
      </c>
      <c r="B377" s="115" t="s">
        <v>577</v>
      </c>
      <c r="C377" s="116" t="s">
        <v>960</v>
      </c>
      <c r="D377" s="116"/>
      <c r="E377" s="116"/>
      <c r="F377" s="116"/>
      <c r="G377" s="108" t="s">
        <v>563</v>
      </c>
      <c r="H377" s="105" t="n">
        <f aca="false">'[2]$ лето'!j377-'[2]$ лето'!au377-'[2]$ лето'!at377-'[2]$ лето'!as377-'[2]$ лето'!ar377-'[2]$ лето'!aq377-'[2]$ лето'!ap377-'[2]$ лето'!an377-'[2]$ лето'!am377-'[2]$ лето'!al377-'[2]$ лето'!ak377-'[2]$ лето'!aj377-'[2]$ лето'!ah377-'[2]$ лето'!ag377-'[2]$ лето'!af377-'[2]$ лето'!ae377-'[2]$ лето'!ad377-'[2]$ лето'!ab377-'[2]$ лето'!aa377-'[2]$ лето'!z377-'[2]$ лето'!y377-'[2]$ лето'!x377-'[2]$ лето'!v377-'[2]$ лето'!u377-'[2]$ лето'!t377-'[2]$ лето'!s377-'[2]$ лето'!r377-'[2]$ лето'!p377-'[2]$ лето'!o377-'[2]$ лето'!n377-'[2]$ лето'!m377-'[2]$ лето'!l377+'[2]$ лето'!k377+'[2]$ лето'!q377+'[2]$ лето'!w377+'[2]$ лето'!ac377+'[2]$ лето'!ai377+'[2]$ лето'!ao377</f>
        <v>23</v>
      </c>
      <c r="I377" s="109" t="n">
        <f aca="false">'[2]$ лето'!ay377*1.1</f>
        <v>1045</v>
      </c>
    </row>
    <row r="378" customFormat="false" ht="15" hidden="false" customHeight="false" outlineLevel="0" collapsed="false">
      <c r="A378" s="115" t="s">
        <v>170</v>
      </c>
      <c r="B378" s="115" t="s">
        <v>579</v>
      </c>
      <c r="C378" s="116" t="s">
        <v>961</v>
      </c>
      <c r="D378" s="116"/>
      <c r="E378" s="116"/>
      <c r="F378" s="116"/>
      <c r="G378" s="108" t="s">
        <v>520</v>
      </c>
      <c r="H378" s="105" t="n">
        <f aca="false">'[2]$ лето'!j378-'[2]$ лето'!au378-'[2]$ лето'!at378-'[2]$ лето'!as378-'[2]$ лето'!ar378-'[2]$ лето'!aq378-'[2]$ лето'!ap378-'[2]$ лето'!an378-'[2]$ лето'!am378-'[2]$ лето'!al378-'[2]$ лето'!ak378-'[2]$ лето'!aj378-'[2]$ лето'!ah378-'[2]$ лето'!ag378-'[2]$ лето'!af378-'[2]$ лето'!ae378-'[2]$ лето'!ad378-'[2]$ лето'!ab378-'[2]$ лето'!aa378-'[2]$ лето'!z378-'[2]$ лето'!y378-'[2]$ лето'!x378-'[2]$ лето'!v378-'[2]$ лето'!u378-'[2]$ лето'!t378-'[2]$ лето'!s378-'[2]$ лето'!r378-'[2]$ лето'!p378-'[2]$ лето'!o378-'[2]$ лето'!n378-'[2]$ лето'!m378-'[2]$ лето'!l378+'[2]$ лето'!k378+'[2]$ лето'!q378+'[2]$ лето'!w378+'[2]$ лето'!ac378+'[2]$ лето'!ai378+'[2]$ лето'!ao378</f>
        <v>6</v>
      </c>
      <c r="I378" s="109" t="n">
        <f aca="false">'[2]$ лето'!ay378*1.1</f>
        <v>913</v>
      </c>
    </row>
    <row r="379" customFormat="false" ht="15" hidden="false" customHeight="false" outlineLevel="0" collapsed="false">
      <c r="A379" s="115" t="s">
        <v>170</v>
      </c>
      <c r="B379" s="115" t="s">
        <v>579</v>
      </c>
      <c r="C379" s="116" t="s">
        <v>962</v>
      </c>
      <c r="D379" s="116"/>
      <c r="E379" s="116"/>
      <c r="F379" s="116"/>
      <c r="G379" s="108" t="s">
        <v>520</v>
      </c>
      <c r="H379" s="105" t="n">
        <f aca="false">'[2]$ лето'!j379-'[2]$ лето'!au379-'[2]$ лето'!at379-'[2]$ лето'!as379-'[2]$ лето'!ar379-'[2]$ лето'!aq379-'[2]$ лето'!ap379-'[2]$ лето'!an379-'[2]$ лето'!am379-'[2]$ лето'!al379-'[2]$ лето'!ak379-'[2]$ лето'!aj379-'[2]$ лето'!ah379-'[2]$ лето'!ag379-'[2]$ лето'!af379-'[2]$ лето'!ae379-'[2]$ лето'!ad379-'[2]$ лето'!ab379-'[2]$ лето'!aa379-'[2]$ лето'!z379-'[2]$ лето'!y379-'[2]$ лето'!x379-'[2]$ лето'!v379-'[2]$ лето'!u379-'[2]$ лето'!t379-'[2]$ лето'!s379-'[2]$ лето'!r379-'[2]$ лето'!p379-'[2]$ лето'!o379-'[2]$ лето'!n379-'[2]$ лето'!m379-'[2]$ лето'!l379+'[2]$ лето'!k379+'[2]$ лето'!q379+'[2]$ лето'!w379+'[2]$ лето'!ac379+'[2]$ лето'!ai379+'[2]$ лето'!ao379</f>
        <v>18</v>
      </c>
      <c r="I379" s="109" t="n">
        <f aca="false">'[2]$ лето'!ay379*1.1</f>
        <v>935</v>
      </c>
    </row>
    <row r="380" customFormat="false" ht="15" hidden="true" customHeight="false" outlineLevel="0" collapsed="false">
      <c r="A380" s="115" t="s">
        <v>170</v>
      </c>
      <c r="B380" s="115" t="s">
        <v>583</v>
      </c>
      <c r="C380" s="116" t="s">
        <v>963</v>
      </c>
      <c r="D380" s="116"/>
      <c r="E380" s="116"/>
      <c r="F380" s="116"/>
      <c r="G380" s="108" t="s">
        <v>585</v>
      </c>
      <c r="H380" s="105" t="n">
        <f aca="false">'[2]$ лето'!j380-'[2]$ лето'!au380-'[2]$ лето'!at380-'[2]$ лето'!as380-'[2]$ лето'!ar380-'[2]$ лето'!aq380-'[2]$ лето'!ap380-'[2]$ лето'!an380-'[2]$ лето'!am380-'[2]$ лето'!al380-'[2]$ лето'!ak380-'[2]$ лето'!aj380-'[2]$ лето'!ah380-'[2]$ лето'!ag380-'[2]$ лето'!af380-'[2]$ лето'!ae380-'[2]$ лето'!ad380-'[2]$ лето'!ab380-'[2]$ лето'!aa380-'[2]$ лето'!z380-'[2]$ лето'!y380-'[2]$ лето'!x380-'[2]$ лето'!v380-'[2]$ лето'!u380-'[2]$ лето'!t380-'[2]$ лето'!s380-'[2]$ лето'!r380-'[2]$ лето'!p380-'[2]$ лето'!o380-'[2]$ лето'!n380-'[2]$ лето'!m380-'[2]$ лето'!l380+'[2]$ лето'!k380+'[2]$ лето'!q380+'[2]$ лето'!w380+'[2]$ лето'!ac380+'[2]$ лето'!ai380+'[2]$ лето'!ao380</f>
        <v>0</v>
      </c>
      <c r="I380" s="109" t="n">
        <f aca="false">'[2]$ лето'!ay380*1.1</f>
        <v>1201.2</v>
      </c>
      <c r="J380" s="85" t="n">
        <v>2017</v>
      </c>
    </row>
    <row r="381" customFormat="false" ht="15" hidden="false" customHeight="false" outlineLevel="0" collapsed="false">
      <c r="A381" s="115" t="s">
        <v>170</v>
      </c>
      <c r="B381" s="115" t="s">
        <v>583</v>
      </c>
      <c r="C381" s="116" t="s">
        <v>964</v>
      </c>
      <c r="D381" s="116"/>
      <c r="E381" s="116"/>
      <c r="F381" s="116"/>
      <c r="G381" s="108" t="s">
        <v>585</v>
      </c>
      <c r="H381" s="105" t="n">
        <f aca="false">'[2]$ лето'!j381-'[2]$ лето'!au381-'[2]$ лето'!at381-'[2]$ лето'!as381-'[2]$ лето'!ar381-'[2]$ лето'!aq381-'[2]$ лето'!ap381-'[2]$ лето'!an381-'[2]$ лето'!am381-'[2]$ лето'!al381-'[2]$ лето'!ak381-'[2]$ лето'!aj381-'[2]$ лето'!ah381-'[2]$ лето'!ag381-'[2]$ лето'!af381-'[2]$ лето'!ae381-'[2]$ лето'!ad381-'[2]$ лето'!ab381-'[2]$ лето'!aa381-'[2]$ лето'!z381-'[2]$ лето'!y381-'[2]$ лето'!x381-'[2]$ лето'!v381-'[2]$ лето'!u381-'[2]$ лето'!t381-'[2]$ лето'!s381-'[2]$ лето'!r381-'[2]$ лето'!p381-'[2]$ лето'!o381-'[2]$ лето'!n381-'[2]$ лето'!m381-'[2]$ лето'!l381+'[2]$ лето'!k381+'[2]$ лето'!q381+'[2]$ лето'!w381+'[2]$ лето'!ac381+'[2]$ лето'!ai381+'[2]$ лето'!ao381</f>
        <v>2</v>
      </c>
      <c r="I381" s="109" t="n">
        <f aca="false">'[2]$ лето'!ay381*1.1</f>
        <v>1139.6</v>
      </c>
      <c r="J381" s="85" t="n">
        <v>2018</v>
      </c>
    </row>
    <row r="382" customFormat="false" ht="15" hidden="false" customHeight="false" outlineLevel="0" collapsed="false">
      <c r="A382" s="115" t="s">
        <v>170</v>
      </c>
      <c r="B382" s="115" t="s">
        <v>583</v>
      </c>
      <c r="C382" s="116" t="s">
        <v>965</v>
      </c>
      <c r="D382" s="116"/>
      <c r="E382" s="116"/>
      <c r="F382" s="116"/>
      <c r="G382" s="108" t="s">
        <v>585</v>
      </c>
      <c r="H382" s="105" t="n">
        <f aca="false">'[2]$ лето'!j382-'[2]$ лето'!au382-'[2]$ лето'!at382-'[2]$ лето'!as382-'[2]$ лето'!ar382-'[2]$ лето'!aq382-'[2]$ лето'!ap382-'[2]$ лето'!an382-'[2]$ лето'!am382-'[2]$ лето'!al382-'[2]$ лето'!ak382-'[2]$ лето'!aj382-'[2]$ лето'!ah382-'[2]$ лето'!ag382-'[2]$ лето'!af382-'[2]$ лето'!ae382-'[2]$ лето'!ad382-'[2]$ лето'!ab382-'[2]$ лето'!aa382-'[2]$ лето'!z382-'[2]$ лето'!y382-'[2]$ лето'!x382-'[2]$ лето'!v382-'[2]$ лето'!u382-'[2]$ лето'!t382-'[2]$ лето'!s382-'[2]$ лето'!r382-'[2]$ лето'!p382-'[2]$ лето'!o382-'[2]$ лето'!n382-'[2]$ лето'!m382-'[2]$ лето'!l382+'[2]$ лето'!k382+'[2]$ лето'!q382+'[2]$ лето'!w382+'[2]$ лето'!ac382+'[2]$ лето'!ai382+'[2]$ лето'!ao382</f>
        <v>2</v>
      </c>
      <c r="I382" s="109" t="n">
        <f aca="false">'[2]$ лето'!ay382*1.1</f>
        <v>1201.2</v>
      </c>
      <c r="J382" s="85" t="n">
        <v>2018</v>
      </c>
    </row>
    <row r="383" customFormat="false" ht="15" hidden="false" customHeight="false" outlineLevel="0" collapsed="false">
      <c r="A383" s="115" t="s">
        <v>170</v>
      </c>
      <c r="B383" s="115" t="s">
        <v>613</v>
      </c>
      <c r="C383" s="116" t="s">
        <v>966</v>
      </c>
      <c r="D383" s="116"/>
      <c r="E383" s="116"/>
      <c r="F383" s="116"/>
      <c r="G383" s="108"/>
      <c r="H383" s="105" t="n">
        <f aca="false">'[2]$ лето'!j383-'[2]$ лето'!au383-'[2]$ лето'!at383-'[2]$ лето'!as383-'[2]$ лето'!ar383-'[2]$ лето'!aq383-'[2]$ лето'!ap383-'[2]$ лето'!an383-'[2]$ лето'!am383-'[2]$ лето'!al383-'[2]$ лето'!ak383-'[2]$ лето'!aj383-'[2]$ лето'!ah383-'[2]$ лето'!ag383-'[2]$ лето'!af383-'[2]$ лето'!ae383-'[2]$ лето'!ad383-'[2]$ лето'!ab383-'[2]$ лето'!aa383-'[2]$ лето'!z383-'[2]$ лето'!y383-'[2]$ лето'!x383-'[2]$ лето'!v383-'[2]$ лето'!u383-'[2]$ лето'!t383-'[2]$ лето'!s383-'[2]$ лето'!r383-'[2]$ лето'!p383-'[2]$ лето'!o383-'[2]$ лето'!n383-'[2]$ лето'!m383-'[2]$ лето'!l383+'[2]$ лето'!k383+'[2]$ лето'!q383+'[2]$ лето'!w383+'[2]$ лето'!ac383+'[2]$ лето'!ai383+'[2]$ лето'!ao383</f>
        <v>2</v>
      </c>
      <c r="I383" s="109" t="n">
        <f aca="false">'[2]$ лето'!ay383*1.1</f>
        <v>1016.4</v>
      </c>
    </row>
    <row r="384" customFormat="false" ht="15" hidden="false" customHeight="false" outlineLevel="0" collapsed="false">
      <c r="A384" s="115" t="s">
        <v>170</v>
      </c>
      <c r="B384" s="115" t="s">
        <v>593</v>
      </c>
      <c r="C384" s="107" t="s">
        <v>967</v>
      </c>
      <c r="D384" s="107"/>
      <c r="E384" s="116"/>
      <c r="F384" s="116"/>
      <c r="G384" s="108" t="s">
        <v>911</v>
      </c>
      <c r="H384" s="105" t="n">
        <f aca="false">'[2]$ лето'!j384-'[2]$ лето'!au384-'[2]$ лето'!at384-'[2]$ лето'!as384-'[2]$ лето'!ar384-'[2]$ лето'!aq384-'[2]$ лето'!ap384-'[2]$ лето'!an384-'[2]$ лето'!am384-'[2]$ лето'!al384-'[2]$ лето'!ak384-'[2]$ лето'!aj384-'[2]$ лето'!ah384-'[2]$ лето'!ag384-'[2]$ лето'!af384-'[2]$ лето'!ae384-'[2]$ лето'!ad384-'[2]$ лето'!ab384-'[2]$ лето'!aa384-'[2]$ лето'!z384-'[2]$ лето'!y384-'[2]$ лето'!x384-'[2]$ лето'!v384-'[2]$ лето'!u384-'[2]$ лето'!t384-'[2]$ лето'!s384-'[2]$ лето'!r384-'[2]$ лето'!p384-'[2]$ лето'!o384-'[2]$ лето'!n384-'[2]$ лето'!m384-'[2]$ лето'!l384+'[2]$ лето'!k384+'[2]$ лето'!q384+'[2]$ лето'!w384+'[2]$ лето'!ac384+'[2]$ лето'!ai384+'[2]$ лето'!ao384</f>
        <v>6</v>
      </c>
      <c r="I384" s="109" t="n">
        <f aca="false">'[2]$ лето'!ay384*1.1</f>
        <v>1848</v>
      </c>
      <c r="J384" s="85" t="n">
        <v>2018</v>
      </c>
    </row>
    <row r="385" customFormat="false" ht="15" hidden="false" customHeight="false" outlineLevel="0" collapsed="false">
      <c r="A385" s="123" t="s">
        <v>170</v>
      </c>
      <c r="B385" s="123" t="s">
        <v>593</v>
      </c>
      <c r="C385" s="116" t="s">
        <v>968</v>
      </c>
      <c r="D385" s="116"/>
      <c r="E385" s="116"/>
      <c r="F385" s="116"/>
      <c r="G385" s="108" t="s">
        <v>722</v>
      </c>
      <c r="H385" s="105" t="n">
        <f aca="false">'[2]$ лето'!j385-'[2]$ лето'!au385-'[2]$ лето'!at385-'[2]$ лето'!as385-'[2]$ лето'!ar385-'[2]$ лето'!aq385-'[2]$ лето'!ap385-'[2]$ лето'!an385-'[2]$ лето'!am385-'[2]$ лето'!al385-'[2]$ лето'!ak385-'[2]$ лето'!aj385-'[2]$ лето'!ah385-'[2]$ лето'!ag385-'[2]$ лето'!af385-'[2]$ лето'!ae385-'[2]$ лето'!ad385-'[2]$ лето'!ab385-'[2]$ лето'!aa385-'[2]$ лето'!z385-'[2]$ лето'!y385-'[2]$ лето'!x385-'[2]$ лето'!v385-'[2]$ лето'!u385-'[2]$ лето'!t385-'[2]$ лето'!s385-'[2]$ лето'!r385-'[2]$ лето'!p385-'[2]$ лето'!o385-'[2]$ лето'!n385-'[2]$ лето'!m385-'[2]$ лето'!l385+'[2]$ лето'!k385+'[2]$ лето'!q385+'[2]$ лето'!w385+'[2]$ лето'!ac385+'[2]$ лето'!ai385+'[2]$ лето'!ao385</f>
        <v>22</v>
      </c>
      <c r="I385" s="109" t="n">
        <f aca="false">'[2]$ лето'!ay385*1.1</f>
        <v>1786.4</v>
      </c>
      <c r="J385" s="85" t="n">
        <v>2018</v>
      </c>
    </row>
    <row r="386" customFormat="false" ht="15" hidden="false" customHeight="false" outlineLevel="0" collapsed="false">
      <c r="A386" s="123" t="s">
        <v>170</v>
      </c>
      <c r="B386" s="123" t="s">
        <v>593</v>
      </c>
      <c r="C386" s="116" t="s">
        <v>968</v>
      </c>
      <c r="D386" s="116"/>
      <c r="E386" s="116"/>
      <c r="F386" s="116"/>
      <c r="G386" s="108" t="s">
        <v>595</v>
      </c>
      <c r="H386" s="105" t="n">
        <f aca="false">'[2]$ лето'!j386-'[2]$ лето'!au386-'[2]$ лето'!at386-'[2]$ лето'!as386-'[2]$ лето'!ar386-'[2]$ лето'!aq386-'[2]$ лето'!ap386-'[2]$ лето'!an386-'[2]$ лето'!am386-'[2]$ лето'!al386-'[2]$ лето'!ak386-'[2]$ лето'!aj386-'[2]$ лето'!ah386-'[2]$ лето'!ag386-'[2]$ лето'!af386-'[2]$ лето'!ae386-'[2]$ лето'!ad386-'[2]$ лето'!ab386-'[2]$ лето'!aa386-'[2]$ лето'!z386-'[2]$ лето'!y386-'[2]$ лето'!x386-'[2]$ лето'!v386-'[2]$ лето'!u386-'[2]$ лето'!t386-'[2]$ лето'!s386-'[2]$ лето'!r386-'[2]$ лето'!p386-'[2]$ лето'!o386-'[2]$ лето'!n386-'[2]$ лето'!m386-'[2]$ лето'!l386+'[2]$ лето'!k386+'[2]$ лето'!q386+'[2]$ лето'!w386+'[2]$ лето'!ac386+'[2]$ лето'!ai386+'[2]$ лето'!ao386</f>
        <v>11</v>
      </c>
      <c r="I386" s="109" t="n">
        <f aca="false">'[2]$ лето'!ay386*1.1</f>
        <v>1909.6</v>
      </c>
      <c r="J386" s="85" t="n">
        <v>2017</v>
      </c>
    </row>
    <row r="387" customFormat="false" ht="15" hidden="false" customHeight="false" outlineLevel="0" collapsed="false">
      <c r="A387" s="123" t="s">
        <v>170</v>
      </c>
      <c r="B387" s="123" t="s">
        <v>593</v>
      </c>
      <c r="C387" s="116" t="s">
        <v>969</v>
      </c>
      <c r="D387" s="116"/>
      <c r="E387" s="116" t="n">
        <v>95</v>
      </c>
      <c r="F387" s="116" t="s">
        <v>970</v>
      </c>
      <c r="G387" s="108" t="s">
        <v>911</v>
      </c>
      <c r="H387" s="105" t="n">
        <f aca="false">'[2]$ лето'!j387-'[2]$ лето'!au387-'[2]$ лето'!at387-'[2]$ лето'!as387-'[2]$ лето'!ar387-'[2]$ лето'!aq387-'[2]$ лето'!ap387-'[2]$ лето'!an387-'[2]$ лето'!am387-'[2]$ лето'!al387-'[2]$ лето'!ak387-'[2]$ лето'!aj387-'[2]$ лето'!ah387-'[2]$ лето'!ag387-'[2]$ лето'!af387-'[2]$ лето'!ae387-'[2]$ лето'!ad387-'[2]$ лето'!ab387-'[2]$ лето'!aa387-'[2]$ лето'!z387-'[2]$ лето'!y387-'[2]$ лето'!x387-'[2]$ лето'!v387-'[2]$ лето'!u387-'[2]$ лето'!t387-'[2]$ лето'!s387-'[2]$ лето'!r387-'[2]$ лето'!p387-'[2]$ лето'!o387-'[2]$ лето'!n387-'[2]$ лето'!m387-'[2]$ лето'!l387+'[2]$ лето'!k387+'[2]$ лето'!q387+'[2]$ лето'!w387+'[2]$ лето'!ac387+'[2]$ лето'!ai387+'[2]$ лето'!ao387</f>
        <v>8</v>
      </c>
      <c r="I387" s="109" t="n">
        <f aca="false">'[2]$ лето'!ay387*1.1</f>
        <v>1848</v>
      </c>
      <c r="J387" s="85" t="n">
        <v>2018</v>
      </c>
    </row>
    <row r="388" customFormat="false" ht="15" hidden="true" customHeight="false" outlineLevel="0" collapsed="false">
      <c r="A388" s="115" t="s">
        <v>170</v>
      </c>
      <c r="B388" s="115" t="s">
        <v>615</v>
      </c>
      <c r="C388" s="116" t="s">
        <v>971</v>
      </c>
      <c r="D388" s="116"/>
      <c r="E388" s="116"/>
      <c r="F388" s="116"/>
      <c r="G388" s="108"/>
      <c r="H388" s="105" t="n">
        <f aca="false">'[2]$ лето'!j388-'[2]$ лето'!au388-'[2]$ лето'!at388-'[2]$ лето'!as388-'[2]$ лето'!ar388-'[2]$ лето'!aq388-'[2]$ лето'!ap388-'[2]$ лето'!an388-'[2]$ лето'!am388-'[2]$ лето'!al388-'[2]$ лето'!ak388-'[2]$ лето'!aj388-'[2]$ лето'!ah388-'[2]$ лето'!ag388-'[2]$ лето'!af388-'[2]$ лето'!ae388-'[2]$ лето'!ad388-'[2]$ лето'!ab388-'[2]$ лето'!aa388-'[2]$ лето'!z388-'[2]$ лето'!y388-'[2]$ лето'!x388-'[2]$ лето'!v388-'[2]$ лето'!u388-'[2]$ лето'!t388-'[2]$ лето'!s388-'[2]$ лето'!r388-'[2]$ лето'!p388-'[2]$ лето'!o388-'[2]$ лето'!n388-'[2]$ лето'!m388-'[2]$ лето'!l388+'[2]$ лето'!k388+'[2]$ лето'!q388+'[2]$ лето'!w388+'[2]$ лето'!ac388+'[2]$ лето'!ai388+'[2]$ лето'!ao388</f>
        <v>0</v>
      </c>
      <c r="I388" s="109" t="n">
        <f aca="false">'[2]$ лето'!ay388*1.1</f>
        <v>0</v>
      </c>
    </row>
    <row r="389" customFormat="false" ht="15" hidden="false" customHeight="false" outlineLevel="0" collapsed="false">
      <c r="A389" s="115" t="s">
        <v>170</v>
      </c>
      <c r="B389" s="115" t="s">
        <v>762</v>
      </c>
      <c r="C389" s="116" t="s">
        <v>972</v>
      </c>
      <c r="D389" s="116"/>
      <c r="E389" s="116" t="n">
        <v>91</v>
      </c>
      <c r="F389" s="116" t="s">
        <v>634</v>
      </c>
      <c r="G389" s="108" t="s">
        <v>843</v>
      </c>
      <c r="H389" s="105" t="n">
        <f aca="false">'[2]$ лето'!j389-'[2]$ лето'!au389-'[2]$ лето'!at389-'[2]$ лето'!as389-'[2]$ лето'!ar389-'[2]$ лето'!aq389-'[2]$ лето'!ap389-'[2]$ лето'!an389-'[2]$ лето'!am389-'[2]$ лето'!al389-'[2]$ лето'!ak389-'[2]$ лето'!aj389-'[2]$ лето'!ah389-'[2]$ лето'!ag389-'[2]$ лето'!af389-'[2]$ лето'!ae389-'[2]$ лето'!ad389-'[2]$ лето'!ab389-'[2]$ лето'!aa389-'[2]$ лето'!z389-'[2]$ лето'!y389-'[2]$ лето'!x389-'[2]$ лето'!v389-'[2]$ лето'!u389-'[2]$ лето'!t389-'[2]$ лето'!s389-'[2]$ лето'!r389-'[2]$ лето'!p389-'[2]$ лето'!o389-'[2]$ лето'!n389-'[2]$ лето'!m389-'[2]$ лето'!l389+'[2]$ лето'!k389+'[2]$ лето'!q389+'[2]$ лето'!w389+'[2]$ лето'!ac389+'[2]$ лето'!ai389+'[2]$ лето'!ao389</f>
        <v>8</v>
      </c>
      <c r="I389" s="109" t="n">
        <f aca="false">'[2]$ лето'!ay389*1.1</f>
        <v>1108.8</v>
      </c>
      <c r="J389" s="85" t="n">
        <v>2017</v>
      </c>
    </row>
    <row r="390" customFormat="false" ht="15" hidden="false" customHeight="false" outlineLevel="0" collapsed="false">
      <c r="A390" s="115" t="s">
        <v>170</v>
      </c>
      <c r="B390" s="115" t="s">
        <v>617</v>
      </c>
      <c r="C390" s="116" t="s">
        <v>973</v>
      </c>
      <c r="D390" s="116"/>
      <c r="E390" s="116"/>
      <c r="F390" s="116"/>
      <c r="G390" s="108" t="s">
        <v>625</v>
      </c>
      <c r="H390" s="105" t="n">
        <f aca="false">'[2]$ лето'!j390-'[2]$ лето'!au390-'[2]$ лето'!at390-'[2]$ лето'!as390-'[2]$ лето'!ar390-'[2]$ лето'!aq390-'[2]$ лето'!ap390-'[2]$ лето'!an390-'[2]$ лето'!am390-'[2]$ лето'!al390-'[2]$ лето'!ak390-'[2]$ лето'!aj390-'[2]$ лето'!ah390-'[2]$ лето'!ag390-'[2]$ лето'!af390-'[2]$ лето'!ae390-'[2]$ лето'!ad390-'[2]$ лето'!ab390-'[2]$ лето'!aa390-'[2]$ лето'!z390-'[2]$ лето'!y390-'[2]$ лето'!x390-'[2]$ лето'!v390-'[2]$ лето'!u390-'[2]$ лето'!t390-'[2]$ лето'!s390-'[2]$ лето'!r390-'[2]$ лето'!p390-'[2]$ лето'!o390-'[2]$ лето'!n390-'[2]$ лето'!m390-'[2]$ лето'!l390+'[2]$ лето'!k390+'[2]$ лето'!q390+'[2]$ лето'!w390+'[2]$ лето'!ac390+'[2]$ лето'!ai390+'[2]$ лето'!ao390</f>
        <v>12</v>
      </c>
      <c r="I390" s="109" t="n">
        <f aca="false">'[2]$ лето'!ay390*1.1</f>
        <v>985.6</v>
      </c>
      <c r="J390" s="85" t="n">
        <v>2018</v>
      </c>
    </row>
    <row r="391" customFormat="false" ht="15" hidden="false" customHeight="false" outlineLevel="0" collapsed="false">
      <c r="A391" s="115" t="s">
        <v>170</v>
      </c>
      <c r="B391" s="115" t="s">
        <v>617</v>
      </c>
      <c r="C391" s="116" t="s">
        <v>974</v>
      </c>
      <c r="D391" s="116"/>
      <c r="E391" s="116"/>
      <c r="F391" s="116"/>
      <c r="G391" s="108" t="s">
        <v>625</v>
      </c>
      <c r="H391" s="105" t="n">
        <f aca="false">'[2]$ лето'!j391-'[2]$ лето'!au391-'[2]$ лето'!at391-'[2]$ лето'!as391-'[2]$ лето'!ar391-'[2]$ лето'!aq391-'[2]$ лето'!ap391-'[2]$ лето'!an391-'[2]$ лето'!am391-'[2]$ лето'!al391-'[2]$ лето'!ak391-'[2]$ лето'!aj391-'[2]$ лето'!ah391-'[2]$ лето'!ag391-'[2]$ лето'!af391-'[2]$ лето'!ae391-'[2]$ лето'!ad391-'[2]$ лето'!ab391-'[2]$ лето'!aa391-'[2]$ лето'!z391-'[2]$ лето'!y391-'[2]$ лето'!x391-'[2]$ лето'!v391-'[2]$ лето'!u391-'[2]$ лето'!t391-'[2]$ лето'!s391-'[2]$ лето'!r391-'[2]$ лето'!p391-'[2]$ лето'!o391-'[2]$ лето'!n391-'[2]$ лето'!m391-'[2]$ лето'!l391+'[2]$ лето'!k391+'[2]$ лето'!q391+'[2]$ лето'!w391+'[2]$ лето'!ac391+'[2]$ лето'!ai391+'[2]$ лето'!ao391</f>
        <v>1</v>
      </c>
      <c r="I391" s="109" t="n">
        <f aca="false">'[2]$ лето'!ay391*1.1</f>
        <v>924</v>
      </c>
    </row>
    <row r="392" customFormat="false" ht="15" hidden="false" customHeight="false" outlineLevel="0" collapsed="false">
      <c r="A392" s="115" t="s">
        <v>170</v>
      </c>
      <c r="B392" s="115" t="s">
        <v>621</v>
      </c>
      <c r="C392" s="116" t="s">
        <v>975</v>
      </c>
      <c r="D392" s="116"/>
      <c r="E392" s="116"/>
      <c r="F392" s="116"/>
      <c r="G392" s="108" t="s">
        <v>520</v>
      </c>
      <c r="H392" s="105" t="n">
        <f aca="false">'[2]$ лето'!j392-'[2]$ лето'!au392-'[2]$ лето'!at392-'[2]$ лето'!as392-'[2]$ лето'!ar392-'[2]$ лето'!aq392-'[2]$ лето'!ap392-'[2]$ лето'!an392-'[2]$ лето'!am392-'[2]$ лето'!al392-'[2]$ лето'!ak392-'[2]$ лето'!aj392-'[2]$ лето'!ah392-'[2]$ лето'!ag392-'[2]$ лето'!af392-'[2]$ лето'!ae392-'[2]$ лето'!ad392-'[2]$ лето'!ab392-'[2]$ лето'!aa392-'[2]$ лето'!z392-'[2]$ лето'!y392-'[2]$ лето'!x392-'[2]$ лето'!v392-'[2]$ лето'!u392-'[2]$ лето'!t392-'[2]$ лето'!s392-'[2]$ лето'!r392-'[2]$ лето'!p392-'[2]$ лето'!o392-'[2]$ лето'!n392-'[2]$ лето'!m392-'[2]$ лето'!l392+'[2]$ лето'!k392+'[2]$ лето'!q392+'[2]$ лето'!w392+'[2]$ лето'!ac392+'[2]$ лето'!ai392+'[2]$ лето'!ao392</f>
        <v>12</v>
      </c>
      <c r="I392" s="109" t="n">
        <f aca="false">'[2]$ лето'!ay392*1.1</f>
        <v>935</v>
      </c>
      <c r="J392" s="85" t="n">
        <v>2017</v>
      </c>
    </row>
    <row r="393" customFormat="false" ht="15" hidden="false" customHeight="false" outlineLevel="0" collapsed="false">
      <c r="A393" s="115" t="s">
        <v>170</v>
      </c>
      <c r="B393" s="115" t="s">
        <v>621</v>
      </c>
      <c r="C393" s="116" t="s">
        <v>976</v>
      </c>
      <c r="D393" s="116"/>
      <c r="E393" s="116"/>
      <c r="F393" s="116"/>
      <c r="G393" s="108" t="s">
        <v>520</v>
      </c>
      <c r="H393" s="105" t="n">
        <f aca="false">'[2]$ лето'!j393-'[2]$ лето'!au393-'[2]$ лето'!at393-'[2]$ лето'!as393-'[2]$ лето'!ar393-'[2]$ лето'!aq393-'[2]$ лето'!ap393-'[2]$ лето'!an393-'[2]$ лето'!am393-'[2]$ лето'!al393-'[2]$ лето'!ak393-'[2]$ лето'!aj393-'[2]$ лето'!ah393-'[2]$ лето'!ag393-'[2]$ лето'!af393-'[2]$ лето'!ae393-'[2]$ лето'!ad393-'[2]$ лето'!ab393-'[2]$ лето'!aa393-'[2]$ лето'!z393-'[2]$ лето'!y393-'[2]$ лето'!x393-'[2]$ лето'!v393-'[2]$ лето'!u393-'[2]$ лето'!t393-'[2]$ лето'!s393-'[2]$ лето'!r393-'[2]$ лето'!p393-'[2]$ лето'!o393-'[2]$ лето'!n393-'[2]$ лето'!m393-'[2]$ лето'!l393+'[2]$ лето'!k393+'[2]$ лето'!q393+'[2]$ лето'!w393+'[2]$ лето'!ac393+'[2]$ лето'!ai393+'[2]$ лето'!ao393</f>
        <v>16</v>
      </c>
      <c r="I393" s="109" t="n">
        <f aca="false">'[2]$ лето'!ay393*1.1</f>
        <v>954.8</v>
      </c>
    </row>
    <row r="394" customFormat="false" ht="15" hidden="true" customHeight="false" outlineLevel="0" collapsed="false">
      <c r="A394" s="115" t="s">
        <v>170</v>
      </c>
      <c r="B394" s="115" t="s">
        <v>623</v>
      </c>
      <c r="C394" s="116" t="s">
        <v>977</v>
      </c>
      <c r="D394" s="116"/>
      <c r="E394" s="116"/>
      <c r="F394" s="116"/>
      <c r="G394" s="108" t="s">
        <v>625</v>
      </c>
      <c r="H394" s="105" t="n">
        <f aca="false">'[2]$ лето'!j394-'[2]$ лето'!au394-'[2]$ лето'!at394-'[2]$ лето'!as394-'[2]$ лето'!ar394-'[2]$ лето'!aq394-'[2]$ лето'!ap394-'[2]$ лето'!an394-'[2]$ лето'!am394-'[2]$ лето'!al394-'[2]$ лето'!ak394-'[2]$ лето'!aj394-'[2]$ лето'!ah394-'[2]$ лето'!ag394-'[2]$ лето'!af394-'[2]$ лето'!ae394-'[2]$ лето'!ad394-'[2]$ лето'!ab394-'[2]$ лето'!aa394-'[2]$ лето'!z394-'[2]$ лето'!y394-'[2]$ лето'!x394-'[2]$ лето'!v394-'[2]$ лето'!u394-'[2]$ лето'!t394-'[2]$ лето'!s394-'[2]$ лето'!r394-'[2]$ лето'!p394-'[2]$ лето'!o394-'[2]$ лето'!n394-'[2]$ лето'!m394-'[2]$ лето'!l394+'[2]$ лето'!k394+'[2]$ лето'!q394+'[2]$ лето'!w394+'[2]$ лето'!ac394+'[2]$ лето'!ai394+'[2]$ лето'!ao394</f>
        <v>0</v>
      </c>
      <c r="I394" s="109" t="n">
        <f aca="false">'[2]$ лето'!ay394*1.1</f>
        <v>1016.4</v>
      </c>
    </row>
    <row r="395" customFormat="false" ht="15" hidden="false" customHeight="false" outlineLevel="0" collapsed="false">
      <c r="A395" s="115" t="s">
        <v>170</v>
      </c>
      <c r="B395" s="115" t="s">
        <v>589</v>
      </c>
      <c r="C395" s="107" t="s">
        <v>978</v>
      </c>
      <c r="D395" s="107"/>
      <c r="E395" s="116"/>
      <c r="F395" s="116"/>
      <c r="G395" s="108" t="s">
        <v>626</v>
      </c>
      <c r="H395" s="105" t="n">
        <f aca="false">'[2]$ лето'!j395-'[2]$ лето'!au395-'[2]$ лето'!at395-'[2]$ лето'!as395-'[2]$ лето'!ar395-'[2]$ лето'!aq395-'[2]$ лето'!ap395-'[2]$ лето'!an395-'[2]$ лето'!am395-'[2]$ лето'!al395-'[2]$ лето'!ak395-'[2]$ лето'!aj395-'[2]$ лето'!ah395-'[2]$ лето'!ag395-'[2]$ лето'!af395-'[2]$ лето'!ae395-'[2]$ лето'!ad395-'[2]$ лето'!ab395-'[2]$ лето'!aa395-'[2]$ лето'!z395-'[2]$ лето'!y395-'[2]$ лето'!x395-'[2]$ лето'!v395-'[2]$ лето'!u395-'[2]$ лето'!t395-'[2]$ лето'!s395-'[2]$ лето'!r395-'[2]$ лето'!p395-'[2]$ лето'!o395-'[2]$ лето'!n395-'[2]$ лето'!m395-'[2]$ лето'!l395+'[2]$ лето'!k395+'[2]$ лето'!q395+'[2]$ лето'!w395+'[2]$ лето'!ac395+'[2]$ лето'!ai395+'[2]$ лето'!ao395</f>
        <v>6</v>
      </c>
      <c r="I395" s="109" t="n">
        <f aca="false">'[2]$ лето'!ay395*1.1</f>
        <v>1343.32</v>
      </c>
      <c r="J395" s="85" t="n">
        <v>2017</v>
      </c>
    </row>
    <row r="396" customFormat="false" ht="15" hidden="false" customHeight="false" outlineLevel="0" collapsed="false">
      <c r="A396" s="115" t="s">
        <v>170</v>
      </c>
      <c r="B396" s="115" t="s">
        <v>589</v>
      </c>
      <c r="C396" s="107" t="s">
        <v>979</v>
      </c>
      <c r="D396" s="107"/>
      <c r="E396" s="116"/>
      <c r="F396" s="116"/>
      <c r="G396" s="108" t="s">
        <v>927</v>
      </c>
      <c r="H396" s="105" t="n">
        <f aca="false">'[2]$ лето'!j396-'[2]$ лето'!au396-'[2]$ лето'!at396-'[2]$ лето'!as396-'[2]$ лето'!ar396-'[2]$ лето'!aq396-'[2]$ лето'!ap396-'[2]$ лето'!an396-'[2]$ лето'!am396-'[2]$ лето'!al396-'[2]$ лето'!ak396-'[2]$ лето'!aj396-'[2]$ лето'!ah396-'[2]$ лето'!ag396-'[2]$ лето'!af396-'[2]$ лето'!ae396-'[2]$ лето'!ad396-'[2]$ лето'!ab396-'[2]$ лето'!aa396-'[2]$ лето'!z396-'[2]$ лето'!y396-'[2]$ лето'!x396-'[2]$ лето'!v396-'[2]$ лето'!u396-'[2]$ лето'!t396-'[2]$ лето'!s396-'[2]$ лето'!r396-'[2]$ лето'!p396-'[2]$ лето'!o396-'[2]$ лето'!n396-'[2]$ лето'!m396-'[2]$ лето'!l396+'[2]$ лето'!k396+'[2]$ лето'!q396+'[2]$ лето'!w396+'[2]$ лето'!ac396+'[2]$ лето'!ai396+'[2]$ лето'!ao396</f>
        <v>8</v>
      </c>
      <c r="I396" s="109" t="n">
        <f aca="false">'[2]$ лето'!ay396*1.1</f>
        <v>1343.32</v>
      </c>
      <c r="J396" s="85" t="n">
        <v>2017</v>
      </c>
    </row>
    <row r="397" customFormat="false" ht="15" hidden="false" customHeight="false" outlineLevel="0" collapsed="false">
      <c r="A397" s="115" t="s">
        <v>170</v>
      </c>
      <c r="B397" s="115" t="s">
        <v>564</v>
      </c>
      <c r="C397" s="107" t="s">
        <v>980</v>
      </c>
      <c r="D397" s="107"/>
      <c r="E397" s="116"/>
      <c r="F397" s="116"/>
      <c r="G397" s="108" t="s">
        <v>520</v>
      </c>
      <c r="H397" s="105" t="n">
        <f aca="false">'[2]$ лето'!j397-'[2]$ лето'!au397-'[2]$ лето'!at397-'[2]$ лето'!as397-'[2]$ лето'!ar397-'[2]$ лето'!aq397-'[2]$ лето'!ap397-'[2]$ лето'!an397-'[2]$ лето'!am397-'[2]$ лето'!al397-'[2]$ лето'!ak397-'[2]$ лето'!aj397-'[2]$ лето'!ah397-'[2]$ лето'!ag397-'[2]$ лето'!af397-'[2]$ лето'!ae397-'[2]$ лето'!ad397-'[2]$ лето'!ab397-'[2]$ лето'!aa397-'[2]$ лето'!z397-'[2]$ лето'!y397-'[2]$ лето'!x397-'[2]$ лето'!v397-'[2]$ лето'!u397-'[2]$ лето'!t397-'[2]$ лето'!s397-'[2]$ лето'!r397-'[2]$ лето'!p397-'[2]$ лето'!o397-'[2]$ лето'!n397-'[2]$ лето'!m397-'[2]$ лето'!l397+'[2]$ лето'!k397+'[2]$ лето'!q397+'[2]$ лето'!w397+'[2]$ лето'!ac397+'[2]$ лето'!ai397+'[2]$ лето'!ao397</f>
        <v>4</v>
      </c>
      <c r="I397" s="109" t="n">
        <f aca="false">'[2]$ лето'!ay397*1.1</f>
        <v>954.8</v>
      </c>
      <c r="J397" s="85" t="n">
        <v>2017</v>
      </c>
    </row>
    <row r="398" customFormat="false" ht="15" hidden="true" customHeight="false" outlineLevel="0" collapsed="false">
      <c r="A398" s="115" t="s">
        <v>170</v>
      </c>
      <c r="B398" s="115" t="s">
        <v>981</v>
      </c>
      <c r="C398" s="107" t="s">
        <v>982</v>
      </c>
      <c r="D398" s="107"/>
      <c r="E398" s="107"/>
      <c r="F398" s="107"/>
      <c r="G398" s="108"/>
      <c r="H398" s="105" t="n">
        <f aca="false">'[2]$ лето'!j398-'[2]$ лето'!au398-'[2]$ лето'!at398-'[2]$ лето'!as398-'[2]$ лето'!ar398-'[2]$ лето'!aq398-'[2]$ лето'!ap398-'[2]$ лето'!an398-'[2]$ лето'!am398-'[2]$ лето'!al398-'[2]$ лето'!ak398-'[2]$ лето'!aj398-'[2]$ лето'!ah398-'[2]$ лето'!ag398-'[2]$ лето'!af398-'[2]$ лето'!ae398-'[2]$ лето'!ad398-'[2]$ лето'!ab398-'[2]$ лето'!aa398-'[2]$ лето'!z398-'[2]$ лето'!y398-'[2]$ лето'!x398-'[2]$ лето'!v398-'[2]$ лето'!u398-'[2]$ лето'!t398-'[2]$ лето'!s398-'[2]$ лето'!r398-'[2]$ лето'!p398-'[2]$ лето'!o398-'[2]$ лето'!n398-'[2]$ лето'!m398-'[2]$ лето'!l398+'[2]$ лето'!k398+'[2]$ лето'!q398+'[2]$ лето'!w398+'[2]$ лето'!ac398+'[2]$ лето'!ai398+'[2]$ лето'!ao398</f>
        <v>0</v>
      </c>
      <c r="I398" s="109" t="n">
        <f aca="false">'[2]$ лето'!ay398*1.1</f>
        <v>1355.2</v>
      </c>
      <c r="J398" s="85" t="n">
        <v>2017</v>
      </c>
    </row>
    <row r="399" customFormat="false" ht="15" hidden="true" customHeight="false" outlineLevel="0" collapsed="false">
      <c r="A399" s="115" t="s">
        <v>170</v>
      </c>
      <c r="B399" s="115" t="s">
        <v>981</v>
      </c>
      <c r="C399" s="107" t="s">
        <v>983</v>
      </c>
      <c r="D399" s="107"/>
      <c r="E399" s="107"/>
      <c r="F399" s="107"/>
      <c r="G399" s="108"/>
      <c r="H399" s="105" t="n">
        <f aca="false">'[2]$ лето'!j399-'[2]$ лето'!au399-'[2]$ лето'!at399-'[2]$ лето'!as399-'[2]$ лето'!ar399-'[2]$ лето'!aq399-'[2]$ лето'!ap399-'[2]$ лето'!an399-'[2]$ лето'!am399-'[2]$ лето'!al399-'[2]$ лето'!ak399-'[2]$ лето'!aj399-'[2]$ лето'!ah399-'[2]$ лето'!ag399-'[2]$ лето'!af399-'[2]$ лето'!ae399-'[2]$ лето'!ad399-'[2]$ лето'!ab399-'[2]$ лето'!aa399-'[2]$ лето'!z399-'[2]$ лето'!y399-'[2]$ лето'!x399-'[2]$ лето'!v399-'[2]$ лето'!u399-'[2]$ лето'!t399-'[2]$ лето'!s399-'[2]$ лето'!r399-'[2]$ лето'!p399-'[2]$ лето'!o399-'[2]$ лето'!n399-'[2]$ лето'!m399-'[2]$ лето'!l399+'[2]$ лето'!k399+'[2]$ лето'!q399+'[2]$ лето'!w399+'[2]$ лето'!ac399+'[2]$ лето'!ai399+'[2]$ лето'!ao399</f>
        <v>0</v>
      </c>
      <c r="I399" s="109" t="n">
        <f aca="false">'[2]$ лето'!ay399*1.1</f>
        <v>1509.2</v>
      </c>
      <c r="J399" s="85" t="n">
        <v>2017</v>
      </c>
    </row>
    <row r="400" customFormat="false" ht="15" hidden="false" customHeight="false" outlineLevel="0" collapsed="false">
      <c r="A400" s="115" t="s">
        <v>984</v>
      </c>
      <c r="B400" s="115" t="s">
        <v>568</v>
      </c>
      <c r="C400" s="116" t="s">
        <v>985</v>
      </c>
      <c r="D400" s="116"/>
      <c r="E400" s="116"/>
      <c r="F400" s="116"/>
      <c r="G400" s="108" t="s">
        <v>570</v>
      </c>
      <c r="H400" s="105" t="n">
        <f aca="false">'[2]$ лето'!j400-'[2]$ лето'!au400-'[2]$ лето'!at400-'[2]$ лето'!as400-'[2]$ лето'!ar400-'[2]$ лето'!aq400-'[2]$ лето'!ap400-'[2]$ лето'!an400-'[2]$ лето'!am400-'[2]$ лето'!al400-'[2]$ лето'!ak400-'[2]$ лето'!aj400-'[2]$ лето'!ah400-'[2]$ лето'!ag400-'[2]$ лето'!af400-'[2]$ лето'!ae400-'[2]$ лето'!ad400-'[2]$ лето'!ab400-'[2]$ лето'!aa400-'[2]$ лето'!z400-'[2]$ лето'!y400-'[2]$ лето'!x400-'[2]$ лето'!v400-'[2]$ лето'!u400-'[2]$ лето'!t400-'[2]$ лето'!s400-'[2]$ лето'!r400-'[2]$ лето'!p400-'[2]$ лето'!o400-'[2]$ лето'!n400-'[2]$ лето'!m400-'[2]$ лето'!l400+'[2]$ лето'!k400+'[2]$ лето'!q400+'[2]$ лето'!w400+'[2]$ лето'!ac400+'[2]$ лето'!ai400+'[2]$ лето'!ao400</f>
        <v>8</v>
      </c>
      <c r="I400" s="109" t="n">
        <f aca="false">'[2]$ лето'!ay400*1.1</f>
        <v>1509.2</v>
      </c>
      <c r="J400" s="85" t="n">
        <v>2017</v>
      </c>
    </row>
    <row r="401" customFormat="false" ht="15" hidden="true" customHeight="false" outlineLevel="0" collapsed="false">
      <c r="A401" s="115" t="s">
        <v>984</v>
      </c>
      <c r="B401" s="115" t="s">
        <v>606</v>
      </c>
      <c r="C401" s="134" t="s">
        <v>986</v>
      </c>
      <c r="D401" s="134"/>
      <c r="E401" s="134"/>
      <c r="F401" s="134"/>
      <c r="G401" s="108"/>
      <c r="H401" s="105" t="n">
        <f aca="false">'[2]$ лето'!j401-'[2]$ лето'!au401-'[2]$ лето'!at401-'[2]$ лето'!as401-'[2]$ лето'!ar401-'[2]$ лето'!aq401-'[2]$ лето'!ap401-'[2]$ лето'!an401-'[2]$ лето'!am401-'[2]$ лето'!al401-'[2]$ лето'!ak401-'[2]$ лето'!aj401-'[2]$ лето'!ah401-'[2]$ лето'!ag401-'[2]$ лето'!af401-'[2]$ лето'!ae401-'[2]$ лето'!ad401-'[2]$ лето'!ab401-'[2]$ лето'!aa401-'[2]$ лето'!z401-'[2]$ лето'!y401-'[2]$ лето'!x401-'[2]$ лето'!v401-'[2]$ лето'!u401-'[2]$ лето'!t401-'[2]$ лето'!s401-'[2]$ лето'!r401-'[2]$ лето'!p401-'[2]$ лето'!o401-'[2]$ лето'!n401-'[2]$ лето'!m401-'[2]$ лето'!l401+'[2]$ лето'!k401+'[2]$ лето'!q401+'[2]$ лето'!w401+'[2]$ лето'!ac401+'[2]$ лето'!ai401+'[2]$ лето'!ao401</f>
        <v>0</v>
      </c>
      <c r="I401" s="109" t="n">
        <f aca="false">'[2]$ лето'!ay401*1.1</f>
        <v>1632.4</v>
      </c>
    </row>
    <row r="402" customFormat="false" ht="15" hidden="true" customHeight="false" outlineLevel="0" collapsed="false">
      <c r="A402" s="115" t="s">
        <v>984</v>
      </c>
      <c r="B402" s="115" t="s">
        <v>666</v>
      </c>
      <c r="C402" s="116" t="s">
        <v>987</v>
      </c>
      <c r="D402" s="116"/>
      <c r="E402" s="116"/>
      <c r="F402" s="116"/>
      <c r="G402" s="108"/>
      <c r="H402" s="105" t="n">
        <f aca="false">'[2]$ лето'!j402-'[2]$ лето'!au402-'[2]$ лето'!at402-'[2]$ лето'!as402-'[2]$ лето'!ar402-'[2]$ лето'!aq402-'[2]$ лето'!ap402-'[2]$ лето'!an402-'[2]$ лето'!am402-'[2]$ лето'!al402-'[2]$ лето'!ak402-'[2]$ лето'!aj402-'[2]$ лето'!ah402-'[2]$ лето'!ag402-'[2]$ лето'!af402-'[2]$ лето'!ae402-'[2]$ лето'!ad402-'[2]$ лето'!ab402-'[2]$ лето'!aa402-'[2]$ лето'!z402-'[2]$ лето'!y402-'[2]$ лето'!x402-'[2]$ лето'!v402-'[2]$ лето'!u402-'[2]$ лето'!t402-'[2]$ лето'!s402-'[2]$ лето'!r402-'[2]$ лето'!p402-'[2]$ лето'!o402-'[2]$ лето'!n402-'[2]$ лето'!m402-'[2]$ лето'!l402+'[2]$ лето'!k402+'[2]$ лето'!q402+'[2]$ лето'!w402+'[2]$ лето'!ac402+'[2]$ лето'!ai402+'[2]$ лето'!ao402</f>
        <v>0</v>
      </c>
      <c r="I402" s="109" t="n">
        <f aca="false">'[2]$ лето'!ay402*1.1</f>
        <v>616</v>
      </c>
    </row>
    <row r="403" customFormat="false" ht="15" hidden="true" customHeight="false" outlineLevel="0" collapsed="false">
      <c r="A403" s="115" t="s">
        <v>984</v>
      </c>
      <c r="B403" s="115" t="s">
        <v>589</v>
      </c>
      <c r="C403" s="116" t="n">
        <v>330</v>
      </c>
      <c r="D403" s="116"/>
      <c r="E403" s="116"/>
      <c r="F403" s="116"/>
      <c r="G403" s="108"/>
      <c r="H403" s="105" t="n">
        <f aca="false">'[2]$ лето'!j403-'[2]$ лето'!au403-'[2]$ лето'!at403-'[2]$ лето'!as403-'[2]$ лето'!ar403-'[2]$ лето'!aq403-'[2]$ лето'!ap403-'[2]$ лето'!an403-'[2]$ лето'!am403-'[2]$ лето'!al403-'[2]$ лето'!ak403-'[2]$ лето'!aj403-'[2]$ лето'!ah403-'[2]$ лето'!ag403-'[2]$ лето'!af403-'[2]$ лето'!ae403-'[2]$ лето'!ad403-'[2]$ лето'!ab403-'[2]$ лето'!aa403-'[2]$ лето'!z403-'[2]$ лето'!y403-'[2]$ лето'!x403-'[2]$ лето'!v403-'[2]$ лето'!u403-'[2]$ лето'!t403-'[2]$ лето'!s403-'[2]$ лето'!r403-'[2]$ лето'!p403-'[2]$ лето'!o403-'[2]$ лето'!n403-'[2]$ лето'!m403-'[2]$ лето'!l403+'[2]$ лето'!k403+'[2]$ лето'!q403+'[2]$ лето'!w403+'[2]$ лето'!ac403+'[2]$ лето'!ai403+'[2]$ лето'!ao403</f>
        <v>0</v>
      </c>
      <c r="I403" s="109" t="n">
        <f aca="false">'[2]$ лето'!ay403*1.1</f>
        <v>1694</v>
      </c>
    </row>
    <row r="404" customFormat="false" ht="15" hidden="false" customHeight="false" outlineLevel="0" collapsed="false">
      <c r="A404" s="115" t="s">
        <v>984</v>
      </c>
      <c r="B404" s="115" t="s">
        <v>981</v>
      </c>
      <c r="C404" s="116" t="s">
        <v>988</v>
      </c>
      <c r="D404" s="116"/>
      <c r="E404" s="116"/>
      <c r="F404" s="116"/>
      <c r="G404" s="108" t="s">
        <v>570</v>
      </c>
      <c r="H404" s="105" t="n">
        <f aca="false">'[2]$ лето'!j404-'[2]$ лето'!au404-'[2]$ лето'!at404-'[2]$ лето'!as404-'[2]$ лето'!ar404-'[2]$ лето'!aq404-'[2]$ лето'!ap404-'[2]$ лето'!an404-'[2]$ лето'!am404-'[2]$ лето'!al404-'[2]$ лето'!ak404-'[2]$ лето'!aj404-'[2]$ лето'!ah404-'[2]$ лето'!ag404-'[2]$ лето'!af404-'[2]$ лето'!ae404-'[2]$ лето'!ad404-'[2]$ лето'!ab404-'[2]$ лето'!aa404-'[2]$ лето'!z404-'[2]$ лето'!y404-'[2]$ лето'!x404-'[2]$ лето'!v404-'[2]$ лето'!u404-'[2]$ лето'!t404-'[2]$ лето'!s404-'[2]$ лето'!r404-'[2]$ лето'!p404-'[2]$ лето'!o404-'[2]$ лето'!n404-'[2]$ лето'!m404-'[2]$ лето'!l404+'[2]$ лето'!k404+'[2]$ лето'!q404+'[2]$ лето'!w404+'[2]$ лето'!ac404+'[2]$ лето'!ai404+'[2]$ лето'!ao404</f>
        <v>4</v>
      </c>
      <c r="I404" s="109" t="n">
        <f aca="false">'[2]$ лето'!ay404*1.1</f>
        <v>1724.8</v>
      </c>
      <c r="J404" s="85" t="n">
        <v>2017</v>
      </c>
    </row>
    <row r="405" customFormat="false" ht="15" hidden="false" customHeight="false" outlineLevel="0" collapsed="false">
      <c r="A405" s="115" t="s">
        <v>989</v>
      </c>
      <c r="B405" s="115" t="s">
        <v>593</v>
      </c>
      <c r="C405" s="116" t="s">
        <v>990</v>
      </c>
      <c r="D405" s="116"/>
      <c r="E405" s="116"/>
      <c r="F405" s="116"/>
      <c r="G405" s="108" t="s">
        <v>935</v>
      </c>
      <c r="H405" s="105" t="n">
        <f aca="false">'[2]$ лето'!j405-'[2]$ лето'!au405-'[2]$ лето'!at405-'[2]$ лето'!as405-'[2]$ лето'!ar405-'[2]$ лето'!aq405-'[2]$ лето'!ap405-'[2]$ лето'!an405-'[2]$ лето'!am405-'[2]$ лето'!al405-'[2]$ лето'!ak405-'[2]$ лето'!aj405-'[2]$ лето'!ah405-'[2]$ лето'!ag405-'[2]$ лето'!af405-'[2]$ лето'!ae405-'[2]$ лето'!ad405-'[2]$ лето'!ab405-'[2]$ лето'!aa405-'[2]$ лето'!z405-'[2]$ лето'!y405-'[2]$ лето'!x405-'[2]$ лето'!v405-'[2]$ лето'!u405-'[2]$ лето'!t405-'[2]$ лето'!s405-'[2]$ лето'!r405-'[2]$ лето'!p405-'[2]$ лето'!o405-'[2]$ лето'!n405-'[2]$ лето'!m405-'[2]$ лето'!l405+'[2]$ лето'!k405+'[2]$ лето'!q405+'[2]$ лето'!w405+'[2]$ лето'!ac405+'[2]$ лето'!ai405+'[2]$ лето'!ao405</f>
        <v>1</v>
      </c>
      <c r="I405" s="109" t="n">
        <f aca="false">'[2]$ лето'!ay405*1.1</f>
        <v>924</v>
      </c>
      <c r="J405" s="85" t="n">
        <v>2011</v>
      </c>
    </row>
    <row r="406" customFormat="false" ht="15" hidden="true" customHeight="false" outlineLevel="0" collapsed="false">
      <c r="A406" s="115" t="s">
        <v>185</v>
      </c>
      <c r="B406" s="115" t="s">
        <v>991</v>
      </c>
      <c r="C406" s="116" t="s">
        <v>992</v>
      </c>
      <c r="D406" s="116"/>
      <c r="E406" s="116"/>
      <c r="F406" s="116"/>
      <c r="G406" s="108" t="s">
        <v>520</v>
      </c>
      <c r="H406" s="105" t="n">
        <f aca="false">'[2]$ лето'!j406-'[2]$ лето'!au406-'[2]$ лето'!at406-'[2]$ лето'!as406-'[2]$ лето'!ar406-'[2]$ лето'!aq406-'[2]$ лето'!ap406-'[2]$ лето'!an406-'[2]$ лето'!am406-'[2]$ лето'!al406-'[2]$ лето'!ak406-'[2]$ лето'!aj406-'[2]$ лето'!ah406-'[2]$ лето'!ag406-'[2]$ лето'!af406-'[2]$ лето'!ae406-'[2]$ лето'!ad406-'[2]$ лето'!ab406-'[2]$ лето'!aa406-'[2]$ лето'!z406-'[2]$ лето'!y406-'[2]$ лето'!x406-'[2]$ лето'!v406-'[2]$ лето'!u406-'[2]$ лето'!t406-'[2]$ лето'!s406-'[2]$ лето'!r406-'[2]$ лето'!p406-'[2]$ лето'!o406-'[2]$ лето'!n406-'[2]$ лето'!m406-'[2]$ лето'!l406+'[2]$ лето'!k406+'[2]$ лето'!q406+'[2]$ лето'!w406+'[2]$ лето'!ac406+'[2]$ лето'!ai406+'[2]$ лето'!ao406</f>
        <v>0</v>
      </c>
      <c r="I406" s="109" t="n">
        <f aca="false">'[2]$ лето'!ay406*1.1</f>
        <v>1755.6</v>
      </c>
    </row>
    <row r="407" customFormat="false" ht="15" hidden="true" customHeight="false" outlineLevel="0" collapsed="false">
      <c r="A407" s="115" t="s">
        <v>185</v>
      </c>
      <c r="B407" s="115" t="s">
        <v>568</v>
      </c>
      <c r="C407" s="116" t="s">
        <v>993</v>
      </c>
      <c r="D407" s="116"/>
      <c r="E407" s="116"/>
      <c r="F407" s="116"/>
      <c r="G407" s="108"/>
      <c r="H407" s="105" t="n">
        <f aca="false">'[2]$ лето'!j407-'[2]$ лето'!au407-'[2]$ лето'!at407-'[2]$ лето'!as407-'[2]$ лето'!ar407-'[2]$ лето'!aq407-'[2]$ лето'!ap407-'[2]$ лето'!an407-'[2]$ лето'!am407-'[2]$ лето'!al407-'[2]$ лето'!ak407-'[2]$ лето'!aj407-'[2]$ лето'!ah407-'[2]$ лето'!ag407-'[2]$ лето'!af407-'[2]$ лето'!ae407-'[2]$ лето'!ad407-'[2]$ лето'!ab407-'[2]$ лето'!aa407-'[2]$ лето'!z407-'[2]$ лето'!y407-'[2]$ лето'!x407-'[2]$ лето'!v407-'[2]$ лето'!u407-'[2]$ лето'!t407-'[2]$ лето'!s407-'[2]$ лето'!r407-'[2]$ лето'!p407-'[2]$ лето'!o407-'[2]$ лето'!n407-'[2]$ лето'!m407-'[2]$ лето'!l407+'[2]$ лето'!k407+'[2]$ лето'!q407+'[2]$ лето'!w407+'[2]$ лето'!ac407+'[2]$ лето'!ai407+'[2]$ лето'!ao407</f>
        <v>0</v>
      </c>
      <c r="I407" s="109" t="n">
        <f aca="false">'[2]$ лето'!ay407*1.1</f>
        <v>1786.4</v>
      </c>
    </row>
    <row r="408" customFormat="false" ht="15" hidden="true" customHeight="false" outlineLevel="0" collapsed="false">
      <c r="A408" s="123" t="s">
        <v>185</v>
      </c>
      <c r="B408" s="123" t="s">
        <v>821</v>
      </c>
      <c r="C408" s="116" t="s">
        <v>994</v>
      </c>
      <c r="D408" s="116"/>
      <c r="E408" s="116"/>
      <c r="F408" s="116"/>
      <c r="G408" s="108"/>
      <c r="H408" s="105" t="n">
        <f aca="false">'[2]$ лето'!j408-'[2]$ лето'!au408-'[2]$ лето'!at408-'[2]$ лето'!as408-'[2]$ лето'!ar408-'[2]$ лето'!aq408-'[2]$ лето'!ap408-'[2]$ лето'!an408-'[2]$ лето'!am408-'[2]$ лето'!al408-'[2]$ лето'!ak408-'[2]$ лето'!aj408-'[2]$ лето'!ah408-'[2]$ лето'!ag408-'[2]$ лето'!af408-'[2]$ лето'!ae408-'[2]$ лето'!ad408-'[2]$ лето'!ab408-'[2]$ лето'!aa408-'[2]$ лето'!z408-'[2]$ лето'!y408-'[2]$ лето'!x408-'[2]$ лето'!v408-'[2]$ лето'!u408-'[2]$ лето'!t408-'[2]$ лето'!s408-'[2]$ лето'!r408-'[2]$ лето'!p408-'[2]$ лето'!o408-'[2]$ лето'!n408-'[2]$ лето'!m408-'[2]$ лето'!l408+'[2]$ лето'!k408+'[2]$ лето'!q408+'[2]$ лето'!w408+'[2]$ лето'!ac408+'[2]$ лето'!ai408+'[2]$ лето'!ao408</f>
        <v>0</v>
      </c>
      <c r="I408" s="109" t="n">
        <f aca="false">'[2]$ лето'!ay408*1.1</f>
        <v>1786.4</v>
      </c>
    </row>
    <row r="409" customFormat="false" ht="15" hidden="true" customHeight="false" outlineLevel="0" collapsed="false">
      <c r="A409" s="115" t="s">
        <v>185</v>
      </c>
      <c r="B409" s="115" t="s">
        <v>604</v>
      </c>
      <c r="C409" s="116" t="s">
        <v>995</v>
      </c>
      <c r="D409" s="116"/>
      <c r="E409" s="116"/>
      <c r="F409" s="116"/>
      <c r="G409" s="108"/>
      <c r="H409" s="105" t="n">
        <f aca="false">'[2]$ лето'!j409-'[2]$ лето'!au409-'[2]$ лето'!at409-'[2]$ лето'!as409-'[2]$ лето'!ar409-'[2]$ лето'!aq409-'[2]$ лето'!ap409-'[2]$ лето'!an409-'[2]$ лето'!am409-'[2]$ лето'!al409-'[2]$ лето'!ak409-'[2]$ лето'!aj409-'[2]$ лето'!ah409-'[2]$ лето'!ag409-'[2]$ лето'!af409-'[2]$ лето'!ae409-'[2]$ лето'!ad409-'[2]$ лето'!ab409-'[2]$ лето'!aa409-'[2]$ лето'!z409-'[2]$ лето'!y409-'[2]$ лето'!x409-'[2]$ лето'!v409-'[2]$ лето'!u409-'[2]$ лето'!t409-'[2]$ лето'!s409-'[2]$ лето'!r409-'[2]$ лето'!p409-'[2]$ лето'!o409-'[2]$ лето'!n409-'[2]$ лето'!m409-'[2]$ лето'!l409+'[2]$ лето'!k409+'[2]$ лето'!q409+'[2]$ лето'!w409+'[2]$ лето'!ac409+'[2]$ лето'!ai409+'[2]$ лето'!ao409</f>
        <v>0</v>
      </c>
      <c r="I409" s="109" t="n">
        <f aca="false">'[2]$ лето'!ay409*1.1</f>
        <v>1878.8</v>
      </c>
    </row>
    <row r="410" customFormat="false" ht="15" hidden="true" customHeight="false" outlineLevel="0" collapsed="false">
      <c r="A410" s="115" t="s">
        <v>185</v>
      </c>
      <c r="B410" s="115" t="s">
        <v>606</v>
      </c>
      <c r="C410" s="116" t="s">
        <v>996</v>
      </c>
      <c r="D410" s="116"/>
      <c r="E410" s="116"/>
      <c r="F410" s="116"/>
      <c r="G410" s="108"/>
      <c r="H410" s="105" t="n">
        <f aca="false">'[2]$ лето'!j410-'[2]$ лето'!au410-'[2]$ лето'!at410-'[2]$ лето'!as410-'[2]$ лето'!ar410-'[2]$ лето'!aq410-'[2]$ лето'!ap410-'[2]$ лето'!an410-'[2]$ лето'!am410-'[2]$ лето'!al410-'[2]$ лето'!ak410-'[2]$ лето'!aj410-'[2]$ лето'!ah410-'[2]$ лето'!ag410-'[2]$ лето'!af410-'[2]$ лето'!ae410-'[2]$ лето'!ad410-'[2]$ лето'!ab410-'[2]$ лето'!aa410-'[2]$ лето'!z410-'[2]$ лето'!y410-'[2]$ лето'!x410-'[2]$ лето'!v410-'[2]$ лето'!u410-'[2]$ лето'!t410-'[2]$ лето'!s410-'[2]$ лето'!r410-'[2]$ лето'!p410-'[2]$ лето'!o410-'[2]$ лето'!n410-'[2]$ лето'!m410-'[2]$ лето'!l410+'[2]$ лето'!k410+'[2]$ лето'!q410+'[2]$ лето'!w410+'[2]$ лето'!ac410+'[2]$ лето'!ai410+'[2]$ лето'!ao410</f>
        <v>0</v>
      </c>
      <c r="I410" s="109" t="n">
        <f aca="false">'[2]$ лето'!ay410*1.1</f>
        <v>1570.8</v>
      </c>
      <c r="J410" s="85" t="n">
        <v>2017</v>
      </c>
    </row>
    <row r="411" customFormat="false" ht="15" hidden="true" customHeight="false" outlineLevel="0" collapsed="false">
      <c r="A411" s="115" t="s">
        <v>185</v>
      </c>
      <c r="B411" s="115" t="s">
        <v>606</v>
      </c>
      <c r="C411" s="116" t="s">
        <v>997</v>
      </c>
      <c r="D411" s="116"/>
      <c r="E411" s="116"/>
      <c r="F411" s="116"/>
      <c r="G411" s="108"/>
      <c r="H411" s="105" t="n">
        <f aca="false">'[2]$ лето'!j411-'[2]$ лето'!au411-'[2]$ лето'!at411-'[2]$ лето'!as411-'[2]$ лето'!ar411-'[2]$ лето'!aq411-'[2]$ лето'!ap411-'[2]$ лето'!an411-'[2]$ лето'!am411-'[2]$ лето'!al411-'[2]$ лето'!ak411-'[2]$ лето'!aj411-'[2]$ лето'!ah411-'[2]$ лето'!ag411-'[2]$ лето'!af411-'[2]$ лето'!ae411-'[2]$ лето'!ad411-'[2]$ лето'!ab411-'[2]$ лето'!aa411-'[2]$ лето'!z411-'[2]$ лето'!y411-'[2]$ лето'!x411-'[2]$ лето'!v411-'[2]$ лето'!u411-'[2]$ лето'!t411-'[2]$ лето'!s411-'[2]$ лето'!r411-'[2]$ лето'!p411-'[2]$ лето'!o411-'[2]$ лето'!n411-'[2]$ лето'!m411-'[2]$ лето'!l411+'[2]$ лето'!k411+'[2]$ лето'!q411+'[2]$ лето'!w411+'[2]$ лето'!ac411+'[2]$ лето'!ai411+'[2]$ лето'!ao411</f>
        <v>0</v>
      </c>
      <c r="I411" s="109" t="n">
        <f aca="false">'[2]$ лето'!ay411*1.1</f>
        <v>1570.8</v>
      </c>
    </row>
    <row r="412" customFormat="false" ht="15" hidden="true" customHeight="false" outlineLevel="0" collapsed="false">
      <c r="A412" s="115" t="s">
        <v>185</v>
      </c>
      <c r="B412" s="115" t="s">
        <v>574</v>
      </c>
      <c r="C412" s="116" t="s">
        <v>998</v>
      </c>
      <c r="D412" s="116"/>
      <c r="E412" s="116"/>
      <c r="F412" s="116"/>
      <c r="G412" s="108" t="s">
        <v>576</v>
      </c>
      <c r="H412" s="105" t="n">
        <f aca="false">'[2]$ лето'!j412-'[2]$ лето'!au412-'[2]$ лето'!at412-'[2]$ лето'!as412-'[2]$ лето'!ar412-'[2]$ лето'!aq412-'[2]$ лето'!ap412-'[2]$ лето'!an412-'[2]$ лето'!am412-'[2]$ лето'!al412-'[2]$ лето'!ak412-'[2]$ лето'!aj412-'[2]$ лето'!ah412-'[2]$ лето'!ag412-'[2]$ лето'!af412-'[2]$ лето'!ae412-'[2]$ лето'!ad412-'[2]$ лето'!ab412-'[2]$ лето'!aa412-'[2]$ лето'!z412-'[2]$ лето'!y412-'[2]$ лето'!x412-'[2]$ лето'!v412-'[2]$ лето'!u412-'[2]$ лето'!t412-'[2]$ лето'!s412-'[2]$ лето'!r412-'[2]$ лето'!p412-'[2]$ лето'!o412-'[2]$ лето'!n412-'[2]$ лето'!m412-'[2]$ лето'!l412+'[2]$ лето'!k412+'[2]$ лето'!q412+'[2]$ лето'!w412+'[2]$ лето'!ac412+'[2]$ лето'!ai412+'[2]$ лето'!ao412</f>
        <v>0</v>
      </c>
      <c r="I412" s="109" t="n">
        <f aca="false">'[2]$ лето'!ay412*1.1</f>
        <v>1509.2</v>
      </c>
    </row>
    <row r="413" customFormat="false" ht="15" hidden="true" customHeight="false" outlineLevel="0" collapsed="false">
      <c r="A413" s="115" t="s">
        <v>185</v>
      </c>
      <c r="B413" s="115" t="s">
        <v>583</v>
      </c>
      <c r="C413" s="116" t="s">
        <v>999</v>
      </c>
      <c r="D413" s="116"/>
      <c r="E413" s="116"/>
      <c r="F413" s="116"/>
      <c r="G413" s="108"/>
      <c r="H413" s="105" t="n">
        <f aca="false">'[2]$ лето'!j413-'[2]$ лето'!au413-'[2]$ лето'!at413-'[2]$ лето'!as413-'[2]$ лето'!ar413-'[2]$ лето'!aq413-'[2]$ лето'!ap413-'[2]$ лето'!an413-'[2]$ лето'!am413-'[2]$ лето'!al413-'[2]$ лето'!ak413-'[2]$ лето'!aj413-'[2]$ лето'!ah413-'[2]$ лето'!ag413-'[2]$ лето'!af413-'[2]$ лето'!ae413-'[2]$ лето'!ad413-'[2]$ лето'!ab413-'[2]$ лето'!aa413-'[2]$ лето'!z413-'[2]$ лето'!y413-'[2]$ лето'!x413-'[2]$ лето'!v413-'[2]$ лето'!u413-'[2]$ лето'!t413-'[2]$ лето'!s413-'[2]$ лето'!r413-'[2]$ лето'!p413-'[2]$ лето'!o413-'[2]$ лето'!n413-'[2]$ лето'!m413-'[2]$ лето'!l413+'[2]$ лето'!k413+'[2]$ лето'!q413+'[2]$ лето'!w413+'[2]$ лето'!ac413+'[2]$ лето'!ai413+'[2]$ лето'!ao413</f>
        <v>0</v>
      </c>
      <c r="I413" s="109" t="n">
        <f aca="false">'[2]$ лето'!ay413*1.1</f>
        <v>1262.8</v>
      </c>
      <c r="J413" s="85" t="n">
        <v>2016</v>
      </c>
    </row>
    <row r="414" customFormat="false" ht="15" hidden="false" customHeight="false" outlineLevel="0" collapsed="false">
      <c r="A414" s="115" t="s">
        <v>185</v>
      </c>
      <c r="B414" s="115" t="s">
        <v>586</v>
      </c>
      <c r="C414" s="107" t="s">
        <v>1000</v>
      </c>
      <c r="D414" s="107"/>
      <c r="E414" s="116"/>
      <c r="F414" s="116"/>
      <c r="G414" s="108" t="s">
        <v>520</v>
      </c>
      <c r="H414" s="105" t="n">
        <f aca="false">'[2]$ лето'!j414-'[2]$ лето'!au414-'[2]$ лето'!at414-'[2]$ лето'!as414-'[2]$ лето'!ar414-'[2]$ лето'!aq414-'[2]$ лето'!ap414-'[2]$ лето'!an414-'[2]$ лето'!am414-'[2]$ лето'!al414-'[2]$ лето'!ak414-'[2]$ лето'!aj414-'[2]$ лето'!ah414-'[2]$ лето'!ag414-'[2]$ лето'!af414-'[2]$ лето'!ae414-'[2]$ лето'!ad414-'[2]$ лето'!ab414-'[2]$ лето'!aa414-'[2]$ лето'!z414-'[2]$ лето'!y414-'[2]$ лето'!x414-'[2]$ лето'!v414-'[2]$ лето'!u414-'[2]$ лето'!t414-'[2]$ лето'!s414-'[2]$ лето'!r414-'[2]$ лето'!p414-'[2]$ лето'!o414-'[2]$ лето'!n414-'[2]$ лето'!m414-'[2]$ лето'!l414+'[2]$ лето'!k414+'[2]$ лето'!q414+'[2]$ лето'!w414+'[2]$ лето'!ac414+'[2]$ лето'!ai414+'[2]$ лето'!ao414</f>
        <v>4</v>
      </c>
      <c r="I414" s="124" t="n">
        <f aca="false">'[2]$ лето'!ay414*1.1</f>
        <v>1139.6</v>
      </c>
    </row>
    <row r="415" customFormat="false" ht="15" hidden="true" customHeight="false" outlineLevel="0" collapsed="false">
      <c r="A415" s="123" t="s">
        <v>185</v>
      </c>
      <c r="B415" s="123" t="s">
        <v>617</v>
      </c>
      <c r="C415" s="116" t="s">
        <v>1001</v>
      </c>
      <c r="D415" s="116"/>
      <c r="E415" s="116"/>
      <c r="F415" s="116"/>
      <c r="G415" s="108" t="s">
        <v>625</v>
      </c>
      <c r="H415" s="105" t="n">
        <f aca="false">'[2]$ лето'!j415-'[2]$ лето'!au415-'[2]$ лето'!at415-'[2]$ лето'!as415-'[2]$ лето'!ar415-'[2]$ лето'!aq415-'[2]$ лето'!ap415-'[2]$ лето'!an415-'[2]$ лето'!am415-'[2]$ лето'!al415-'[2]$ лето'!ak415-'[2]$ лето'!aj415-'[2]$ лето'!ah415-'[2]$ лето'!ag415-'[2]$ лето'!af415-'[2]$ лето'!ae415-'[2]$ лето'!ad415-'[2]$ лето'!ab415-'[2]$ лето'!aa415-'[2]$ лето'!z415-'[2]$ лето'!y415-'[2]$ лето'!x415-'[2]$ лето'!v415-'[2]$ лето'!u415-'[2]$ лето'!t415-'[2]$ лето'!s415-'[2]$ лето'!r415-'[2]$ лето'!p415-'[2]$ лето'!o415-'[2]$ лето'!n415-'[2]$ лето'!m415-'[2]$ лето'!l415+'[2]$ лето'!k415+'[2]$ лето'!q415+'[2]$ лето'!w415+'[2]$ лето'!ac415+'[2]$ лето'!ai415+'[2]$ лето'!ao415</f>
        <v>0</v>
      </c>
      <c r="I415" s="109" t="n">
        <f aca="false">'[2]$ лето'!ay415*1.1</f>
        <v>1324.4</v>
      </c>
      <c r="J415" s="85" t="n">
        <v>2018</v>
      </c>
    </row>
    <row r="416" customFormat="false" ht="15" hidden="true" customHeight="false" outlineLevel="0" collapsed="false">
      <c r="A416" s="115" t="s">
        <v>186</v>
      </c>
      <c r="B416" s="115" t="s">
        <v>566</v>
      </c>
      <c r="C416" s="116" t="s">
        <v>1002</v>
      </c>
      <c r="D416" s="116"/>
      <c r="E416" s="116"/>
      <c r="F416" s="116"/>
      <c r="G416" s="108" t="s">
        <v>563</v>
      </c>
      <c r="H416" s="105" t="n">
        <f aca="false">'[2]$ лето'!j416-'[2]$ лето'!au416-'[2]$ лето'!at416-'[2]$ лето'!as416-'[2]$ лето'!ar416-'[2]$ лето'!aq416-'[2]$ лето'!ap416-'[2]$ лето'!an416-'[2]$ лето'!am416-'[2]$ лето'!al416-'[2]$ лето'!ak416-'[2]$ лето'!aj416-'[2]$ лето'!ah416-'[2]$ лето'!ag416-'[2]$ лето'!af416-'[2]$ лето'!ae416-'[2]$ лето'!ad416-'[2]$ лето'!ab416-'[2]$ лето'!aa416-'[2]$ лето'!z416-'[2]$ лето'!y416-'[2]$ лето'!x416-'[2]$ лето'!v416-'[2]$ лето'!u416-'[2]$ лето'!t416-'[2]$ лето'!s416-'[2]$ лето'!r416-'[2]$ лето'!p416-'[2]$ лето'!o416-'[2]$ лето'!n416-'[2]$ лето'!m416-'[2]$ лето'!l416+'[2]$ лето'!k416+'[2]$ лето'!q416+'[2]$ лето'!w416+'[2]$ лето'!ac416+'[2]$ лето'!ai416+'[2]$ лето'!ao416</f>
        <v>0</v>
      </c>
      <c r="I416" s="109" t="n">
        <f aca="false">'[2]$ лето'!ay416*1.1</f>
        <v>1293.6</v>
      </c>
      <c r="J416" s="85" t="n">
        <v>2017</v>
      </c>
    </row>
    <row r="417" customFormat="false" ht="15" hidden="true" customHeight="false" outlineLevel="0" collapsed="false">
      <c r="A417" s="115" t="s">
        <v>186</v>
      </c>
      <c r="B417" s="115" t="s">
        <v>568</v>
      </c>
      <c r="C417" s="116" t="s">
        <v>993</v>
      </c>
      <c r="D417" s="116"/>
      <c r="E417" s="116"/>
      <c r="F417" s="116"/>
      <c r="G417" s="108"/>
      <c r="H417" s="105" t="n">
        <f aca="false">'[2]$ лето'!j417-'[2]$ лето'!au417-'[2]$ лето'!at417-'[2]$ лето'!as417-'[2]$ лето'!ar417-'[2]$ лето'!aq417-'[2]$ лето'!ap417-'[2]$ лето'!an417-'[2]$ лето'!am417-'[2]$ лето'!al417-'[2]$ лето'!ak417-'[2]$ лето'!aj417-'[2]$ лето'!ah417-'[2]$ лето'!ag417-'[2]$ лето'!af417-'[2]$ лето'!ae417-'[2]$ лето'!ad417-'[2]$ лето'!ab417-'[2]$ лето'!aa417-'[2]$ лето'!z417-'[2]$ лето'!y417-'[2]$ лето'!x417-'[2]$ лето'!v417-'[2]$ лето'!u417-'[2]$ лето'!t417-'[2]$ лето'!s417-'[2]$ лето'!r417-'[2]$ лето'!p417-'[2]$ лето'!o417-'[2]$ лето'!n417-'[2]$ лето'!m417-'[2]$ лето'!l417+'[2]$ лето'!k417+'[2]$ лето'!q417+'[2]$ лето'!w417+'[2]$ лето'!ac417+'[2]$ лето'!ai417+'[2]$ лето'!ao417</f>
        <v>0</v>
      </c>
      <c r="I417" s="109" t="n">
        <f aca="false">'[2]$ лето'!ay417*1.1</f>
        <v>1416.8</v>
      </c>
      <c r="J417" s="85" t="s">
        <v>888</v>
      </c>
    </row>
    <row r="418" customFormat="false" ht="15" hidden="true" customHeight="false" outlineLevel="0" collapsed="false">
      <c r="A418" s="115" t="s">
        <v>186</v>
      </c>
      <c r="B418" s="115" t="s">
        <v>844</v>
      </c>
      <c r="C418" s="107" t="s">
        <v>845</v>
      </c>
      <c r="D418" s="107"/>
      <c r="E418" s="107"/>
      <c r="F418" s="107"/>
      <c r="G418" s="108"/>
      <c r="H418" s="105" t="n">
        <f aca="false">'[2]$ лето'!j418-'[2]$ лето'!au418-'[2]$ лето'!at418-'[2]$ лето'!as418-'[2]$ лето'!ar418-'[2]$ лето'!aq418-'[2]$ лето'!ap418-'[2]$ лето'!an418-'[2]$ лето'!am418-'[2]$ лето'!al418-'[2]$ лето'!ak418-'[2]$ лето'!aj418-'[2]$ лето'!ah418-'[2]$ лето'!ag418-'[2]$ лето'!af418-'[2]$ лето'!ae418-'[2]$ лето'!ad418-'[2]$ лето'!ab418-'[2]$ лето'!aa418-'[2]$ лето'!z418-'[2]$ лето'!y418-'[2]$ лето'!x418-'[2]$ лето'!v418-'[2]$ лето'!u418-'[2]$ лето'!t418-'[2]$ лето'!s418-'[2]$ лето'!r418-'[2]$ лето'!p418-'[2]$ лето'!o418-'[2]$ лето'!n418-'[2]$ лето'!m418-'[2]$ лето'!l418+'[2]$ лето'!k418+'[2]$ лето'!q418+'[2]$ лето'!w418+'[2]$ лето'!ac418+'[2]$ лето'!ai418+'[2]$ лето'!ao418</f>
        <v>0</v>
      </c>
      <c r="I418" s="109" t="n">
        <f aca="false">'[2]$ лето'!ay418*1.1</f>
        <v>1601.6</v>
      </c>
    </row>
    <row r="419" customFormat="false" ht="15" hidden="true" customHeight="false" outlineLevel="0" collapsed="false">
      <c r="A419" s="115" t="s">
        <v>186</v>
      </c>
      <c r="B419" s="115" t="s">
        <v>658</v>
      </c>
      <c r="C419" s="116" t="s">
        <v>1003</v>
      </c>
      <c r="D419" s="116"/>
      <c r="E419" s="116"/>
      <c r="F419" s="116"/>
      <c r="G419" s="108"/>
      <c r="H419" s="105" t="n">
        <f aca="false">'[2]$ лето'!j419-'[2]$ лето'!au419-'[2]$ лето'!at419-'[2]$ лето'!as419-'[2]$ лето'!ar419-'[2]$ лето'!aq419-'[2]$ лето'!ap419-'[2]$ лето'!an419-'[2]$ лето'!am419-'[2]$ лето'!al419-'[2]$ лето'!ak419-'[2]$ лето'!aj419-'[2]$ лето'!ah419-'[2]$ лето'!ag419-'[2]$ лето'!af419-'[2]$ лето'!ae419-'[2]$ лето'!ad419-'[2]$ лето'!ab419-'[2]$ лето'!aa419-'[2]$ лето'!z419-'[2]$ лето'!y419-'[2]$ лето'!x419-'[2]$ лето'!v419-'[2]$ лето'!u419-'[2]$ лето'!t419-'[2]$ лето'!s419-'[2]$ лето'!r419-'[2]$ лето'!p419-'[2]$ лето'!o419-'[2]$ лето'!n419-'[2]$ лето'!m419-'[2]$ лето'!l419+'[2]$ лето'!k419+'[2]$ лето'!q419+'[2]$ лето'!w419+'[2]$ лето'!ac419+'[2]$ лето'!ai419+'[2]$ лето'!ao419</f>
        <v>0</v>
      </c>
      <c r="I419" s="109" t="n">
        <f aca="false">'[2]$ лето'!ay419*1.1</f>
        <v>1694</v>
      </c>
      <c r="J419" s="85" t="n">
        <v>2012</v>
      </c>
    </row>
    <row r="420" customFormat="false" ht="15" hidden="false" customHeight="false" outlineLevel="0" collapsed="false">
      <c r="A420" s="115" t="s">
        <v>186</v>
      </c>
      <c r="B420" s="115" t="s">
        <v>821</v>
      </c>
      <c r="C420" s="116" t="s">
        <v>1004</v>
      </c>
      <c r="D420" s="116"/>
      <c r="E420" s="116"/>
      <c r="F420" s="116"/>
      <c r="G420" s="108"/>
      <c r="H420" s="105" t="n">
        <f aca="false">'[2]$ лето'!j420-'[2]$ лето'!au420-'[2]$ лето'!at420-'[2]$ лето'!as420-'[2]$ лето'!ar420-'[2]$ лето'!aq420-'[2]$ лето'!ap420-'[2]$ лето'!an420-'[2]$ лето'!am420-'[2]$ лето'!al420-'[2]$ лето'!ak420-'[2]$ лето'!aj420-'[2]$ лето'!ah420-'[2]$ лето'!ag420-'[2]$ лето'!af420-'[2]$ лето'!ae420-'[2]$ лето'!ad420-'[2]$ лето'!ab420-'[2]$ лето'!aa420-'[2]$ лето'!z420-'[2]$ лето'!y420-'[2]$ лето'!x420-'[2]$ лето'!v420-'[2]$ лето'!u420-'[2]$ лето'!t420-'[2]$ лето'!s420-'[2]$ лето'!r420-'[2]$ лето'!p420-'[2]$ лето'!o420-'[2]$ лето'!n420-'[2]$ лето'!m420-'[2]$ лето'!l420+'[2]$ лето'!k420+'[2]$ лето'!q420+'[2]$ лето'!w420+'[2]$ лето'!ac420+'[2]$ лето'!ai420+'[2]$ лето'!ao420</f>
        <v>2</v>
      </c>
      <c r="I420" s="109" t="n">
        <f aca="false">'[2]$ лето'!ay420*1.1</f>
        <v>1170.4</v>
      </c>
    </row>
    <row r="421" customFormat="false" ht="15" hidden="true" customHeight="false" outlineLevel="0" collapsed="false">
      <c r="A421" s="115" t="s">
        <v>186</v>
      </c>
      <c r="B421" s="115" t="s">
        <v>646</v>
      </c>
      <c r="C421" s="116" t="s">
        <v>1005</v>
      </c>
      <c r="D421" s="116"/>
      <c r="E421" s="116"/>
      <c r="F421" s="116"/>
      <c r="G421" s="108"/>
      <c r="H421" s="105" t="n">
        <f aca="false">'[2]$ лето'!j421-'[2]$ лето'!au421-'[2]$ лето'!at421-'[2]$ лето'!as421-'[2]$ лето'!ar421-'[2]$ лето'!aq421-'[2]$ лето'!ap421-'[2]$ лето'!an421-'[2]$ лето'!am421-'[2]$ лето'!al421-'[2]$ лето'!ak421-'[2]$ лето'!aj421-'[2]$ лето'!ah421-'[2]$ лето'!ag421-'[2]$ лето'!af421-'[2]$ лето'!ae421-'[2]$ лето'!ad421-'[2]$ лето'!ab421-'[2]$ лето'!aa421-'[2]$ лето'!z421-'[2]$ лето'!y421-'[2]$ лето'!x421-'[2]$ лето'!v421-'[2]$ лето'!u421-'[2]$ лето'!t421-'[2]$ лето'!s421-'[2]$ лето'!r421-'[2]$ лето'!p421-'[2]$ лето'!o421-'[2]$ лето'!n421-'[2]$ лето'!m421-'[2]$ лето'!l421+'[2]$ лето'!k421+'[2]$ лето'!q421+'[2]$ лето'!w421+'[2]$ лето'!ac421+'[2]$ лето'!ai421+'[2]$ лето'!ao421</f>
        <v>0</v>
      </c>
      <c r="I421" s="109" t="n">
        <f aca="false">'[2]$ лето'!ay421*1.1</f>
        <v>1262.8</v>
      </c>
    </row>
    <row r="422" customFormat="false" ht="15" hidden="true" customHeight="false" outlineLevel="0" collapsed="false">
      <c r="A422" s="115" t="s">
        <v>186</v>
      </c>
      <c r="B422" s="115" t="s">
        <v>604</v>
      </c>
      <c r="C422" s="116" t="s">
        <v>1006</v>
      </c>
      <c r="D422" s="116"/>
      <c r="E422" s="116"/>
      <c r="F422" s="116"/>
      <c r="G422" s="108"/>
      <c r="H422" s="105" t="n">
        <f aca="false">'[2]$ лето'!j422-'[2]$ лето'!au422-'[2]$ лето'!at422-'[2]$ лето'!as422-'[2]$ лето'!ar422-'[2]$ лето'!aq422-'[2]$ лето'!ap422-'[2]$ лето'!an422-'[2]$ лето'!am422-'[2]$ лето'!al422-'[2]$ лето'!ak422-'[2]$ лето'!aj422-'[2]$ лето'!ah422-'[2]$ лето'!ag422-'[2]$ лето'!af422-'[2]$ лето'!ae422-'[2]$ лето'!ad422-'[2]$ лето'!ab422-'[2]$ лето'!aa422-'[2]$ лето'!z422-'[2]$ лето'!y422-'[2]$ лето'!x422-'[2]$ лето'!v422-'[2]$ лето'!u422-'[2]$ лето'!t422-'[2]$ лето'!s422-'[2]$ лето'!r422-'[2]$ лето'!p422-'[2]$ лето'!o422-'[2]$ лето'!n422-'[2]$ лето'!m422-'[2]$ лето'!l422+'[2]$ лето'!k422+'[2]$ лето'!q422+'[2]$ лето'!w422+'[2]$ лето'!ac422+'[2]$ лето'!ai422+'[2]$ лето'!ao422</f>
        <v>0</v>
      </c>
      <c r="I422" s="109" t="n">
        <f aca="false">'[2]$ лето'!ay422*1.1</f>
        <v>1540</v>
      </c>
    </row>
    <row r="423" customFormat="false" ht="15" hidden="true" customHeight="false" outlineLevel="0" collapsed="false">
      <c r="A423" s="115" t="s">
        <v>186</v>
      </c>
      <c r="B423" s="115" t="s">
        <v>604</v>
      </c>
      <c r="C423" s="116" t="s">
        <v>822</v>
      </c>
      <c r="D423" s="116"/>
      <c r="E423" s="116"/>
      <c r="F423" s="116"/>
      <c r="G423" s="135"/>
      <c r="H423" s="105" t="n">
        <f aca="false">'[2]$ лето'!j423-'[2]$ лето'!au423-'[2]$ лето'!at423-'[2]$ лето'!as423-'[2]$ лето'!ar423-'[2]$ лето'!aq423-'[2]$ лето'!ap423-'[2]$ лето'!an423-'[2]$ лето'!am423-'[2]$ лето'!al423-'[2]$ лето'!ak423-'[2]$ лето'!aj423-'[2]$ лето'!ah423-'[2]$ лето'!ag423-'[2]$ лето'!af423-'[2]$ лето'!ae423-'[2]$ лето'!ad423-'[2]$ лето'!ab423-'[2]$ лето'!aa423-'[2]$ лето'!z423-'[2]$ лето'!y423-'[2]$ лето'!x423-'[2]$ лето'!v423-'[2]$ лето'!u423-'[2]$ лето'!t423-'[2]$ лето'!s423-'[2]$ лето'!r423-'[2]$ лето'!p423-'[2]$ лето'!o423-'[2]$ лето'!n423-'[2]$ лето'!m423-'[2]$ лето'!l423+'[2]$ лето'!k423+'[2]$ лето'!q423+'[2]$ лето'!w423+'[2]$ лето'!ac423+'[2]$ лето'!ai423+'[2]$ лето'!ao423</f>
        <v>0</v>
      </c>
      <c r="I423" s="109" t="n">
        <f aca="false">'[2]$ лето'!ay423*1.1</f>
        <v>1416.8</v>
      </c>
      <c r="J423" s="136"/>
    </row>
    <row r="424" customFormat="false" ht="15" hidden="true" customHeight="false" outlineLevel="0" collapsed="false">
      <c r="A424" s="115" t="s">
        <v>186</v>
      </c>
      <c r="B424" s="115" t="s">
        <v>606</v>
      </c>
      <c r="C424" s="116" t="s">
        <v>1007</v>
      </c>
      <c r="D424" s="116"/>
      <c r="E424" s="116"/>
      <c r="F424" s="116"/>
      <c r="G424" s="135"/>
      <c r="H424" s="105" t="n">
        <f aca="false">'[2]$ лето'!j424-'[2]$ лето'!au424-'[2]$ лето'!at424-'[2]$ лето'!as424-'[2]$ лето'!ar424-'[2]$ лето'!aq424-'[2]$ лето'!ap424-'[2]$ лето'!an424-'[2]$ лето'!am424-'[2]$ лето'!al424-'[2]$ лето'!ak424-'[2]$ лето'!aj424-'[2]$ лето'!ah424-'[2]$ лето'!ag424-'[2]$ лето'!af424-'[2]$ лето'!ae424-'[2]$ лето'!ad424-'[2]$ лето'!ab424-'[2]$ лето'!aa424-'[2]$ лето'!z424-'[2]$ лето'!y424-'[2]$ лето'!x424-'[2]$ лето'!v424-'[2]$ лето'!u424-'[2]$ лето'!t424-'[2]$ лето'!s424-'[2]$ лето'!r424-'[2]$ лето'!p424-'[2]$ лето'!o424-'[2]$ лето'!n424-'[2]$ лето'!m424-'[2]$ лето'!l424+'[2]$ лето'!k424+'[2]$ лето'!q424+'[2]$ лето'!w424+'[2]$ лето'!ac424+'[2]$ лето'!ai424+'[2]$ лето'!ao424</f>
        <v>0</v>
      </c>
      <c r="I424" s="109" t="n">
        <f aca="false">'[2]$ лето'!ay424*1.1</f>
        <v>1478.4</v>
      </c>
      <c r="J424" s="136" t="n">
        <v>2017</v>
      </c>
    </row>
    <row r="425" customFormat="false" ht="15" hidden="true" customHeight="false" outlineLevel="0" collapsed="false">
      <c r="A425" s="115" t="s">
        <v>186</v>
      </c>
      <c r="B425" s="115" t="s">
        <v>606</v>
      </c>
      <c r="C425" s="116" t="s">
        <v>1008</v>
      </c>
      <c r="D425" s="116"/>
      <c r="E425" s="116"/>
      <c r="F425" s="116"/>
      <c r="G425" s="135"/>
      <c r="H425" s="105" t="n">
        <f aca="false">'[2]$ лето'!j425-'[2]$ лето'!au425-'[2]$ лето'!at425-'[2]$ лето'!as425-'[2]$ лето'!ar425-'[2]$ лето'!aq425-'[2]$ лето'!ap425-'[2]$ лето'!an425-'[2]$ лето'!am425-'[2]$ лето'!al425-'[2]$ лето'!ak425-'[2]$ лето'!aj425-'[2]$ лето'!ah425-'[2]$ лето'!ag425-'[2]$ лето'!af425-'[2]$ лето'!ae425-'[2]$ лето'!ad425-'[2]$ лето'!ab425-'[2]$ лето'!aa425-'[2]$ лето'!z425-'[2]$ лето'!y425-'[2]$ лето'!x425-'[2]$ лето'!v425-'[2]$ лето'!u425-'[2]$ лето'!t425-'[2]$ лето'!s425-'[2]$ лето'!r425-'[2]$ лето'!p425-'[2]$ лето'!o425-'[2]$ лето'!n425-'[2]$ лето'!m425-'[2]$ лето'!l425+'[2]$ лето'!k425+'[2]$ лето'!q425+'[2]$ лето'!w425+'[2]$ лето'!ac425+'[2]$ лето'!ai425+'[2]$ лето'!ao425</f>
        <v>0</v>
      </c>
      <c r="I425" s="109" t="n">
        <f aca="false">'[2]$ лето'!ay425*1.1</f>
        <v>1540</v>
      </c>
      <c r="J425" s="136" t="n">
        <v>2017</v>
      </c>
    </row>
    <row r="426" customFormat="false" ht="15" hidden="true" customHeight="false" outlineLevel="0" collapsed="false">
      <c r="A426" s="123" t="s">
        <v>186</v>
      </c>
      <c r="B426" s="123" t="s">
        <v>668</v>
      </c>
      <c r="C426" s="116" t="s">
        <v>1009</v>
      </c>
      <c r="D426" s="116"/>
      <c r="E426" s="116"/>
      <c r="F426" s="116"/>
      <c r="G426" s="108" t="s">
        <v>609</v>
      </c>
      <c r="H426" s="105" t="n">
        <f aca="false">'[2]$ лето'!j426-'[2]$ лето'!au426-'[2]$ лето'!at426-'[2]$ лето'!as426-'[2]$ лето'!ar426-'[2]$ лето'!aq426-'[2]$ лето'!ap426-'[2]$ лето'!an426-'[2]$ лето'!am426-'[2]$ лето'!al426-'[2]$ лето'!ak426-'[2]$ лето'!aj426-'[2]$ лето'!ah426-'[2]$ лето'!ag426-'[2]$ лето'!af426-'[2]$ лето'!ae426-'[2]$ лето'!ad426-'[2]$ лето'!ab426-'[2]$ лето'!aa426-'[2]$ лето'!z426-'[2]$ лето'!y426-'[2]$ лето'!x426-'[2]$ лето'!v426-'[2]$ лето'!u426-'[2]$ лето'!t426-'[2]$ лето'!s426-'[2]$ лето'!r426-'[2]$ лето'!p426-'[2]$ лето'!o426-'[2]$ лето'!n426-'[2]$ лето'!m426-'[2]$ лето'!l426+'[2]$ лето'!k426+'[2]$ лето'!q426+'[2]$ лето'!w426+'[2]$ лето'!ac426+'[2]$ лето'!ai426+'[2]$ лето'!ao426</f>
        <v>0</v>
      </c>
      <c r="I426" s="109" t="n">
        <f aca="false">'[2]$ лето'!ay426*1.1</f>
        <v>1355.2</v>
      </c>
      <c r="J426" s="85" t="n">
        <v>2016</v>
      </c>
    </row>
    <row r="427" customFormat="false" ht="15" hidden="true" customHeight="false" outlineLevel="0" collapsed="false">
      <c r="A427" s="123" t="s">
        <v>186</v>
      </c>
      <c r="B427" s="115" t="s">
        <v>577</v>
      </c>
      <c r="C427" s="116" t="s">
        <v>1010</v>
      </c>
      <c r="D427" s="116"/>
      <c r="E427" s="116"/>
      <c r="F427" s="116"/>
      <c r="G427" s="108" t="s">
        <v>563</v>
      </c>
      <c r="H427" s="105" t="n">
        <f aca="false">'[2]$ лето'!j427-'[2]$ лето'!au427-'[2]$ лето'!at427-'[2]$ лето'!as427-'[2]$ лето'!ar427-'[2]$ лето'!aq427-'[2]$ лето'!ap427-'[2]$ лето'!an427-'[2]$ лето'!am427-'[2]$ лето'!al427-'[2]$ лето'!ak427-'[2]$ лето'!aj427-'[2]$ лето'!ah427-'[2]$ лето'!ag427-'[2]$ лето'!af427-'[2]$ лето'!ae427-'[2]$ лето'!ad427-'[2]$ лето'!ab427-'[2]$ лето'!aa427-'[2]$ лето'!z427-'[2]$ лето'!y427-'[2]$ лето'!x427-'[2]$ лето'!v427-'[2]$ лето'!u427-'[2]$ лето'!t427-'[2]$ лето'!s427-'[2]$ лето'!r427-'[2]$ лето'!p427-'[2]$ лето'!o427-'[2]$ лето'!n427-'[2]$ лето'!m427-'[2]$ лето'!l427+'[2]$ лето'!k427+'[2]$ лето'!q427+'[2]$ лето'!w427+'[2]$ лето'!ac427+'[2]$ лето'!ai427+'[2]$ лето'!ao427</f>
        <v>0</v>
      </c>
      <c r="I427" s="109" t="n">
        <f aca="false">'[2]$ лето'!ay427*1.1</f>
        <v>1262.8</v>
      </c>
    </row>
    <row r="428" customFormat="false" ht="15" hidden="false" customHeight="false" outlineLevel="0" collapsed="false">
      <c r="A428" s="123" t="s">
        <v>186</v>
      </c>
      <c r="B428" s="123" t="s">
        <v>574</v>
      </c>
      <c r="C428" s="107" t="s">
        <v>1011</v>
      </c>
      <c r="D428" s="107"/>
      <c r="E428" s="116"/>
      <c r="F428" s="116"/>
      <c r="G428" s="108" t="s">
        <v>576</v>
      </c>
      <c r="H428" s="105" t="n">
        <f aca="false">'[2]$ лето'!j428-'[2]$ лето'!au428-'[2]$ лето'!at428-'[2]$ лето'!as428-'[2]$ лето'!ar428-'[2]$ лето'!aq428-'[2]$ лето'!ap428-'[2]$ лето'!an428-'[2]$ лето'!am428-'[2]$ лето'!al428-'[2]$ лето'!ak428-'[2]$ лето'!aj428-'[2]$ лето'!ah428-'[2]$ лето'!ag428-'[2]$ лето'!af428-'[2]$ лето'!ae428-'[2]$ лето'!ad428-'[2]$ лето'!ab428-'[2]$ лето'!aa428-'[2]$ лето'!z428-'[2]$ лето'!y428-'[2]$ лето'!x428-'[2]$ лето'!v428-'[2]$ лето'!u428-'[2]$ лето'!t428-'[2]$ лето'!s428-'[2]$ лето'!r428-'[2]$ лето'!p428-'[2]$ лето'!o428-'[2]$ лето'!n428-'[2]$ лето'!m428-'[2]$ лето'!l428+'[2]$ лето'!k428+'[2]$ лето'!q428+'[2]$ лето'!w428+'[2]$ лето'!ac428+'[2]$ лето'!ai428+'[2]$ лето'!ao428</f>
        <v>2</v>
      </c>
      <c r="I428" s="109" t="n">
        <f aca="false">'[2]$ лето'!ay428*1.1</f>
        <v>1718.2</v>
      </c>
    </row>
    <row r="429" customFormat="false" ht="15" hidden="false" customHeight="false" outlineLevel="0" collapsed="false">
      <c r="A429" s="123" t="s">
        <v>186</v>
      </c>
      <c r="B429" s="123" t="s">
        <v>574</v>
      </c>
      <c r="C429" s="107" t="s">
        <v>1012</v>
      </c>
      <c r="D429" s="107"/>
      <c r="E429" s="116"/>
      <c r="F429" s="116"/>
      <c r="G429" s="108" t="s">
        <v>576</v>
      </c>
      <c r="H429" s="105" t="n">
        <f aca="false">'[2]$ лето'!j429-'[2]$ лето'!au429-'[2]$ лето'!at429-'[2]$ лето'!as429-'[2]$ лето'!ar429-'[2]$ лето'!aq429-'[2]$ лето'!ap429-'[2]$ лето'!an429-'[2]$ лето'!am429-'[2]$ лето'!al429-'[2]$ лето'!ak429-'[2]$ лето'!aj429-'[2]$ лето'!ah429-'[2]$ лето'!ag429-'[2]$ лето'!af429-'[2]$ лето'!ae429-'[2]$ лето'!ad429-'[2]$ лето'!ab429-'[2]$ лето'!aa429-'[2]$ лето'!z429-'[2]$ лето'!y429-'[2]$ лето'!x429-'[2]$ лето'!v429-'[2]$ лето'!u429-'[2]$ лето'!t429-'[2]$ лето'!s429-'[2]$ лето'!r429-'[2]$ лето'!p429-'[2]$ лето'!o429-'[2]$ лето'!n429-'[2]$ лето'!m429-'[2]$ лето'!l429+'[2]$ лето'!k429+'[2]$ лето'!q429+'[2]$ лето'!w429+'[2]$ лето'!ac429+'[2]$ лето'!ai429+'[2]$ лето'!ao429</f>
        <v>1</v>
      </c>
      <c r="I429" s="109" t="n">
        <f aca="false">'[2]$ лето'!ay429*1.1</f>
        <v>1530.76</v>
      </c>
      <c r="J429" s="85" t="n">
        <v>2018</v>
      </c>
    </row>
    <row r="430" customFormat="false" ht="15" hidden="true" customHeight="false" outlineLevel="0" collapsed="false">
      <c r="A430" s="123" t="s">
        <v>186</v>
      </c>
      <c r="B430" s="123" t="s">
        <v>579</v>
      </c>
      <c r="C430" s="107" t="s">
        <v>1013</v>
      </c>
      <c r="D430" s="107"/>
      <c r="E430" s="107"/>
      <c r="F430" s="107"/>
      <c r="G430" s="108" t="s">
        <v>520</v>
      </c>
      <c r="H430" s="105" t="n">
        <f aca="false">'[2]$ лето'!j430-'[2]$ лето'!au430-'[2]$ лето'!at430-'[2]$ лето'!as430-'[2]$ лето'!ar430-'[2]$ лето'!aq430-'[2]$ лето'!ap430-'[2]$ лето'!an430-'[2]$ лето'!am430-'[2]$ лето'!al430-'[2]$ лето'!ak430-'[2]$ лето'!aj430-'[2]$ лето'!ah430-'[2]$ лето'!ag430-'[2]$ лето'!af430-'[2]$ лето'!ae430-'[2]$ лето'!ad430-'[2]$ лето'!ab430-'[2]$ лето'!aa430-'[2]$ лето'!z430-'[2]$ лето'!y430-'[2]$ лето'!x430-'[2]$ лето'!v430-'[2]$ лето'!u430-'[2]$ лето'!t430-'[2]$ лето'!s430-'[2]$ лето'!r430-'[2]$ лето'!p430-'[2]$ лето'!o430-'[2]$ лето'!n430-'[2]$ лето'!m430-'[2]$ лето'!l430+'[2]$ лето'!k430+'[2]$ лето'!q430+'[2]$ лето'!w430+'[2]$ лето'!ac430+'[2]$ лето'!ai430+'[2]$ лето'!ao430</f>
        <v>0</v>
      </c>
      <c r="I430" s="109" t="n">
        <f aca="false">'[2]$ лето'!ay430*1.1</f>
        <v>1122</v>
      </c>
    </row>
    <row r="431" customFormat="false" ht="15" hidden="true" customHeight="false" outlineLevel="0" collapsed="false">
      <c r="A431" s="115" t="s">
        <v>186</v>
      </c>
      <c r="B431" s="115" t="s">
        <v>583</v>
      </c>
      <c r="C431" s="116" t="s">
        <v>1014</v>
      </c>
      <c r="D431" s="116"/>
      <c r="E431" s="116"/>
      <c r="F431" s="116"/>
      <c r="G431" s="108"/>
      <c r="H431" s="105" t="n">
        <f aca="false">'[2]$ лето'!j431-'[2]$ лето'!au431-'[2]$ лето'!at431-'[2]$ лето'!as431-'[2]$ лето'!ar431-'[2]$ лето'!aq431-'[2]$ лето'!ap431-'[2]$ лето'!an431-'[2]$ лето'!am431-'[2]$ лето'!al431-'[2]$ лето'!ak431-'[2]$ лето'!aj431-'[2]$ лето'!ah431-'[2]$ лето'!ag431-'[2]$ лето'!af431-'[2]$ лето'!ae431-'[2]$ лето'!ad431-'[2]$ лето'!ab431-'[2]$ лето'!aa431-'[2]$ лето'!z431-'[2]$ лето'!y431-'[2]$ лето'!x431-'[2]$ лето'!v431-'[2]$ лето'!u431-'[2]$ лето'!t431-'[2]$ лето'!s431-'[2]$ лето'!r431-'[2]$ лето'!p431-'[2]$ лето'!o431-'[2]$ лето'!n431-'[2]$ лето'!m431-'[2]$ лето'!l431+'[2]$ лето'!k431+'[2]$ лето'!q431+'[2]$ лето'!w431+'[2]$ лето'!ac431+'[2]$ лето'!ai431+'[2]$ лето'!ao431</f>
        <v>0</v>
      </c>
      <c r="I431" s="124" t="n">
        <f aca="false">'[2]$ лето'!ay431*1.1</f>
        <v>1447.6</v>
      </c>
      <c r="J431" s="85" t="n">
        <v>2017</v>
      </c>
    </row>
    <row r="432" customFormat="false" ht="15" hidden="false" customHeight="false" outlineLevel="0" collapsed="false">
      <c r="A432" s="115" t="s">
        <v>186</v>
      </c>
      <c r="B432" s="115" t="s">
        <v>583</v>
      </c>
      <c r="C432" s="116" t="s">
        <v>1015</v>
      </c>
      <c r="D432" s="116"/>
      <c r="E432" s="116"/>
      <c r="F432" s="116"/>
      <c r="G432" s="108" t="s">
        <v>585</v>
      </c>
      <c r="H432" s="105" t="n">
        <f aca="false">'[2]$ лето'!j432-'[2]$ лето'!au432-'[2]$ лето'!at432-'[2]$ лето'!as432-'[2]$ лето'!ar432-'[2]$ лето'!aq432-'[2]$ лето'!ap432-'[2]$ лето'!an432-'[2]$ лето'!am432-'[2]$ лето'!al432-'[2]$ лето'!ak432-'[2]$ лето'!aj432-'[2]$ лето'!ah432-'[2]$ лето'!ag432-'[2]$ лето'!af432-'[2]$ лето'!ae432-'[2]$ лето'!ad432-'[2]$ лето'!ab432-'[2]$ лето'!aa432-'[2]$ лето'!z432-'[2]$ лето'!y432-'[2]$ лето'!x432-'[2]$ лето'!v432-'[2]$ лето'!u432-'[2]$ лето'!t432-'[2]$ лето'!s432-'[2]$ лето'!r432-'[2]$ лето'!p432-'[2]$ лето'!o432-'[2]$ лето'!n432-'[2]$ лето'!m432-'[2]$ лето'!l432+'[2]$ лето'!k432+'[2]$ лето'!q432+'[2]$ лето'!w432+'[2]$ лето'!ac432+'[2]$ лето'!ai432+'[2]$ лето'!ao432</f>
        <v>4</v>
      </c>
      <c r="I432" s="109" t="n">
        <f aca="false">'[2]$ лето'!ay432*1.1</f>
        <v>1478.4</v>
      </c>
      <c r="J432" s="85" t="n">
        <v>2018</v>
      </c>
    </row>
    <row r="433" customFormat="false" ht="15" hidden="true" customHeight="false" outlineLevel="0" collapsed="false">
      <c r="A433" s="115" t="s">
        <v>186</v>
      </c>
      <c r="B433" s="115" t="s">
        <v>586</v>
      </c>
      <c r="C433" s="116" t="s">
        <v>1016</v>
      </c>
      <c r="D433" s="116"/>
      <c r="E433" s="116"/>
      <c r="F433" s="116"/>
      <c r="G433" s="108" t="s">
        <v>520</v>
      </c>
      <c r="H433" s="105" t="n">
        <f aca="false">'[2]$ лето'!j433-'[2]$ лето'!au433-'[2]$ лето'!at433-'[2]$ лето'!as433-'[2]$ лето'!ar433-'[2]$ лето'!aq433-'[2]$ лето'!ap433-'[2]$ лето'!an433-'[2]$ лето'!am433-'[2]$ лето'!al433-'[2]$ лето'!ak433-'[2]$ лето'!aj433-'[2]$ лето'!ah433-'[2]$ лето'!ag433-'[2]$ лето'!af433-'[2]$ лето'!ae433-'[2]$ лето'!ad433-'[2]$ лето'!ab433-'[2]$ лето'!aa433-'[2]$ лето'!z433-'[2]$ лето'!y433-'[2]$ лето'!x433-'[2]$ лето'!v433-'[2]$ лето'!u433-'[2]$ лето'!t433-'[2]$ лето'!s433-'[2]$ лето'!r433-'[2]$ лето'!p433-'[2]$ лето'!o433-'[2]$ лето'!n433-'[2]$ лето'!m433-'[2]$ лето'!l433+'[2]$ лето'!k433+'[2]$ лето'!q433+'[2]$ лето'!w433+'[2]$ лето'!ac433+'[2]$ лето'!ai433+'[2]$ лето'!ao433</f>
        <v>0</v>
      </c>
      <c r="I433" s="109" t="n">
        <f aca="false">'[2]$ лето'!ay433*1.1</f>
        <v>1170.4</v>
      </c>
    </row>
    <row r="434" customFormat="false" ht="15" hidden="true" customHeight="false" outlineLevel="0" collapsed="false">
      <c r="A434" s="115" t="s">
        <v>186</v>
      </c>
      <c r="B434" s="115" t="s">
        <v>615</v>
      </c>
      <c r="C434" s="116" t="s">
        <v>1017</v>
      </c>
      <c r="D434" s="116"/>
      <c r="E434" s="116"/>
      <c r="F434" s="116"/>
      <c r="G434" s="108"/>
      <c r="H434" s="105" t="n">
        <f aca="false">'[2]$ лето'!j434-'[2]$ лето'!au434-'[2]$ лето'!at434-'[2]$ лето'!as434-'[2]$ лето'!ar434-'[2]$ лето'!aq434-'[2]$ лето'!ap434-'[2]$ лето'!an434-'[2]$ лето'!am434-'[2]$ лето'!al434-'[2]$ лето'!ak434-'[2]$ лето'!aj434-'[2]$ лето'!ah434-'[2]$ лето'!ag434-'[2]$ лето'!af434-'[2]$ лето'!ae434-'[2]$ лето'!ad434-'[2]$ лето'!ab434-'[2]$ лето'!aa434-'[2]$ лето'!z434-'[2]$ лето'!y434-'[2]$ лето'!x434-'[2]$ лето'!v434-'[2]$ лето'!u434-'[2]$ лето'!t434-'[2]$ лето'!s434-'[2]$ лето'!r434-'[2]$ лето'!p434-'[2]$ лето'!o434-'[2]$ лето'!n434-'[2]$ лето'!m434-'[2]$ лето'!l434+'[2]$ лето'!k434+'[2]$ лето'!q434+'[2]$ лето'!w434+'[2]$ лето'!ac434+'[2]$ лето'!ai434+'[2]$ лето'!ao434</f>
        <v>0</v>
      </c>
      <c r="I434" s="109" t="n">
        <f aca="false">'[2]$ лето'!ay434*1.1</f>
        <v>1293.6</v>
      </c>
    </row>
    <row r="435" customFormat="false" ht="15" hidden="true" customHeight="false" outlineLevel="0" collapsed="false">
      <c r="A435" s="115" t="s">
        <v>186</v>
      </c>
      <c r="B435" s="115" t="s">
        <v>762</v>
      </c>
      <c r="C435" s="116" t="s">
        <v>1018</v>
      </c>
      <c r="D435" s="116"/>
      <c r="E435" s="116"/>
      <c r="F435" s="116"/>
      <c r="G435" s="108" t="s">
        <v>888</v>
      </c>
      <c r="H435" s="105" t="n">
        <f aca="false">'[2]$ лето'!j435-'[2]$ лето'!au435-'[2]$ лето'!at435-'[2]$ лето'!as435-'[2]$ лето'!ar435-'[2]$ лето'!aq435-'[2]$ лето'!ap435-'[2]$ лето'!an435-'[2]$ лето'!am435-'[2]$ лето'!al435-'[2]$ лето'!ak435-'[2]$ лето'!aj435-'[2]$ лето'!ah435-'[2]$ лето'!ag435-'[2]$ лето'!af435-'[2]$ лето'!ae435-'[2]$ лето'!ad435-'[2]$ лето'!ab435-'[2]$ лето'!aa435-'[2]$ лето'!z435-'[2]$ лето'!y435-'[2]$ лето'!x435-'[2]$ лето'!v435-'[2]$ лето'!u435-'[2]$ лето'!t435-'[2]$ лето'!s435-'[2]$ лето'!r435-'[2]$ лето'!p435-'[2]$ лето'!o435-'[2]$ лето'!n435-'[2]$ лето'!m435-'[2]$ лето'!l435+'[2]$ лето'!k435+'[2]$ лето'!q435+'[2]$ лето'!w435+'[2]$ лето'!ac435+'[2]$ лето'!ai435+'[2]$ лето'!ao435</f>
        <v>0</v>
      </c>
      <c r="I435" s="109" t="n">
        <f aca="false">'[2]$ лето'!ay435*1.1</f>
        <v>1232</v>
      </c>
    </row>
    <row r="436" customFormat="false" ht="15" hidden="true" customHeight="false" outlineLevel="0" collapsed="false">
      <c r="A436" s="115" t="s">
        <v>186</v>
      </c>
      <c r="B436" s="115" t="s">
        <v>617</v>
      </c>
      <c r="C436" s="116" t="s">
        <v>1019</v>
      </c>
      <c r="D436" s="116"/>
      <c r="E436" s="116"/>
      <c r="F436" s="116"/>
      <c r="G436" s="108"/>
      <c r="H436" s="105" t="n">
        <f aca="false">'[2]$ лето'!j436-'[2]$ лето'!au436-'[2]$ лето'!at436-'[2]$ лето'!as436-'[2]$ лето'!ar436-'[2]$ лето'!aq436-'[2]$ лето'!ap436-'[2]$ лето'!an436-'[2]$ лето'!am436-'[2]$ лето'!al436-'[2]$ лето'!ak436-'[2]$ лето'!aj436-'[2]$ лето'!ah436-'[2]$ лето'!ag436-'[2]$ лето'!af436-'[2]$ лето'!ae436-'[2]$ лето'!ad436-'[2]$ лето'!ab436-'[2]$ лето'!aa436-'[2]$ лето'!z436-'[2]$ лето'!y436-'[2]$ лето'!x436-'[2]$ лето'!v436-'[2]$ лето'!u436-'[2]$ лето'!t436-'[2]$ лето'!s436-'[2]$ лето'!r436-'[2]$ лето'!p436-'[2]$ лето'!o436-'[2]$ лето'!n436-'[2]$ лето'!m436-'[2]$ лето'!l436+'[2]$ лето'!k436+'[2]$ лето'!q436+'[2]$ лето'!w436+'[2]$ лето'!ac436+'[2]$ лето'!ai436+'[2]$ лето'!ao436</f>
        <v>0</v>
      </c>
      <c r="I436" s="109" t="n">
        <f aca="false">'[2]$ лето'!ay436*1.1</f>
        <v>1232</v>
      </c>
      <c r="J436" s="85" t="n">
        <v>2018</v>
      </c>
    </row>
    <row r="437" customFormat="false" ht="15" hidden="true" customHeight="false" outlineLevel="0" collapsed="false">
      <c r="A437" s="115" t="s">
        <v>186</v>
      </c>
      <c r="B437" s="115" t="s">
        <v>617</v>
      </c>
      <c r="C437" s="116" t="s">
        <v>1020</v>
      </c>
      <c r="D437" s="116"/>
      <c r="E437" s="116"/>
      <c r="F437" s="116"/>
      <c r="G437" s="108"/>
      <c r="H437" s="105" t="n">
        <f aca="false">'[2]$ лето'!j437-'[2]$ лето'!au437-'[2]$ лето'!at437-'[2]$ лето'!as437-'[2]$ лето'!ar437-'[2]$ лето'!aq437-'[2]$ лето'!ap437-'[2]$ лето'!an437-'[2]$ лето'!am437-'[2]$ лето'!al437-'[2]$ лето'!ak437-'[2]$ лето'!aj437-'[2]$ лето'!ah437-'[2]$ лето'!ag437-'[2]$ лето'!af437-'[2]$ лето'!ae437-'[2]$ лето'!ad437-'[2]$ лето'!ab437-'[2]$ лето'!aa437-'[2]$ лето'!z437-'[2]$ лето'!y437-'[2]$ лето'!x437-'[2]$ лето'!v437-'[2]$ лето'!u437-'[2]$ лето'!t437-'[2]$ лето'!s437-'[2]$ лето'!r437-'[2]$ лето'!p437-'[2]$ лето'!o437-'[2]$ лето'!n437-'[2]$ лето'!m437-'[2]$ лето'!l437+'[2]$ лето'!k437+'[2]$ лето'!q437+'[2]$ лето'!w437+'[2]$ лето'!ac437+'[2]$ лето'!ai437+'[2]$ лето'!ao437</f>
        <v>0</v>
      </c>
      <c r="I437" s="109" t="n">
        <f aca="false">'[2]$ лето'!ay437*1.1</f>
        <v>1232</v>
      </c>
    </row>
    <row r="438" customFormat="false" ht="15" hidden="true" customHeight="false" outlineLevel="0" collapsed="false">
      <c r="A438" s="123" t="s">
        <v>186</v>
      </c>
      <c r="B438" s="115" t="s">
        <v>621</v>
      </c>
      <c r="C438" s="107" t="s">
        <v>1021</v>
      </c>
      <c r="D438" s="107"/>
      <c r="E438" s="116"/>
      <c r="F438" s="116"/>
      <c r="G438" s="108" t="s">
        <v>520</v>
      </c>
      <c r="H438" s="105" t="n">
        <f aca="false">'[2]$ лето'!j438-'[2]$ лето'!au438-'[2]$ лето'!at438-'[2]$ лето'!as438-'[2]$ лето'!ar438-'[2]$ лето'!aq438-'[2]$ лето'!ap438-'[2]$ лето'!an438-'[2]$ лето'!am438-'[2]$ лето'!al438-'[2]$ лето'!ak438-'[2]$ лето'!aj438-'[2]$ лето'!ah438-'[2]$ лето'!ag438-'[2]$ лето'!af438-'[2]$ лето'!ae438-'[2]$ лето'!ad438-'[2]$ лето'!ab438-'[2]$ лето'!aa438-'[2]$ лето'!z438-'[2]$ лето'!y438-'[2]$ лето'!x438-'[2]$ лето'!v438-'[2]$ лето'!u438-'[2]$ лето'!t438-'[2]$ лето'!s438-'[2]$ лето'!r438-'[2]$ лето'!p438-'[2]$ лето'!o438-'[2]$ лето'!n438-'[2]$ лето'!m438-'[2]$ лето'!l438+'[2]$ лето'!k438+'[2]$ лето'!q438+'[2]$ лето'!w438+'[2]$ лето'!ac438+'[2]$ лето'!ai438+'[2]$ лето'!ao438</f>
        <v>0</v>
      </c>
      <c r="I438" s="109" t="n">
        <f aca="false">'[2]$ лето'!ay438*1.1</f>
        <v>1100</v>
      </c>
    </row>
    <row r="439" customFormat="false" ht="15" hidden="false" customHeight="false" outlineLevel="0" collapsed="false">
      <c r="A439" s="123" t="s">
        <v>186</v>
      </c>
      <c r="B439" s="115" t="s">
        <v>621</v>
      </c>
      <c r="C439" s="107" t="s">
        <v>1022</v>
      </c>
      <c r="D439" s="107"/>
      <c r="E439" s="116"/>
      <c r="F439" s="116"/>
      <c r="G439" s="108" t="s">
        <v>520</v>
      </c>
      <c r="H439" s="105" t="n">
        <f aca="false">'[2]$ лето'!j439-'[2]$ лето'!au439-'[2]$ лето'!at439-'[2]$ лето'!as439-'[2]$ лето'!ar439-'[2]$ лето'!aq439-'[2]$ лето'!ap439-'[2]$ лето'!an439-'[2]$ лето'!am439-'[2]$ лето'!al439-'[2]$ лето'!ak439-'[2]$ лето'!aj439-'[2]$ лето'!ah439-'[2]$ лето'!ag439-'[2]$ лето'!af439-'[2]$ лето'!ae439-'[2]$ лето'!ad439-'[2]$ лето'!ab439-'[2]$ лето'!aa439-'[2]$ лето'!z439-'[2]$ лето'!y439-'[2]$ лето'!x439-'[2]$ лето'!v439-'[2]$ лето'!u439-'[2]$ лето'!t439-'[2]$ лето'!s439-'[2]$ лето'!r439-'[2]$ лето'!p439-'[2]$ лето'!o439-'[2]$ лето'!n439-'[2]$ лето'!m439-'[2]$ лето'!l439+'[2]$ лето'!k439+'[2]$ лето'!q439+'[2]$ лето'!w439+'[2]$ лето'!ac439+'[2]$ лето'!ai439+'[2]$ лето'!ao439</f>
        <v>14</v>
      </c>
      <c r="I439" s="109" t="n">
        <f aca="false">'[2]$ лето'!ay439*1.1</f>
        <v>1201.2</v>
      </c>
    </row>
    <row r="440" customFormat="false" ht="15" hidden="true" customHeight="false" outlineLevel="0" collapsed="false">
      <c r="A440" s="123" t="s">
        <v>186</v>
      </c>
      <c r="B440" s="115" t="s">
        <v>623</v>
      </c>
      <c r="C440" s="107" t="s">
        <v>1023</v>
      </c>
      <c r="D440" s="107"/>
      <c r="E440" s="107"/>
      <c r="F440" s="107"/>
      <c r="G440" s="108"/>
      <c r="H440" s="105" t="n">
        <f aca="false">'[2]$ лето'!j440-'[2]$ лето'!au440-'[2]$ лето'!at440-'[2]$ лето'!as440-'[2]$ лето'!ar440-'[2]$ лето'!aq440-'[2]$ лето'!ap440-'[2]$ лето'!an440-'[2]$ лето'!am440-'[2]$ лето'!al440-'[2]$ лето'!ak440-'[2]$ лето'!aj440-'[2]$ лето'!ah440-'[2]$ лето'!ag440-'[2]$ лето'!af440-'[2]$ лето'!ae440-'[2]$ лето'!ad440-'[2]$ лето'!ab440-'[2]$ лето'!aa440-'[2]$ лето'!z440-'[2]$ лето'!y440-'[2]$ лето'!x440-'[2]$ лето'!v440-'[2]$ лето'!u440-'[2]$ лето'!t440-'[2]$ лето'!s440-'[2]$ лето'!r440-'[2]$ лето'!p440-'[2]$ лето'!o440-'[2]$ лето'!n440-'[2]$ лето'!m440-'[2]$ лето'!l440+'[2]$ лето'!k440+'[2]$ лето'!q440+'[2]$ лето'!w440+'[2]$ лето'!ac440+'[2]$ лето'!ai440+'[2]$ лето'!ao440</f>
        <v>0</v>
      </c>
      <c r="I440" s="109" t="n">
        <f aca="false">'[2]$ лето'!ay440*1.1</f>
        <v>1262.8</v>
      </c>
    </row>
    <row r="441" customFormat="false" ht="15" hidden="false" customHeight="false" outlineLevel="0" collapsed="false">
      <c r="A441" s="123" t="s">
        <v>186</v>
      </c>
      <c r="B441" s="115" t="s">
        <v>589</v>
      </c>
      <c r="C441" s="116" t="s">
        <v>1024</v>
      </c>
      <c r="D441" s="116"/>
      <c r="E441" s="116"/>
      <c r="F441" s="116"/>
      <c r="G441" s="108" t="s">
        <v>927</v>
      </c>
      <c r="H441" s="105" t="n">
        <f aca="false">'[2]$ лето'!j441-'[2]$ лето'!au441-'[2]$ лето'!at441-'[2]$ лето'!as441-'[2]$ лето'!ar441-'[2]$ лето'!aq441-'[2]$ лето'!ap441-'[2]$ лето'!an441-'[2]$ лето'!am441-'[2]$ лето'!al441-'[2]$ лето'!ak441-'[2]$ лето'!aj441-'[2]$ лето'!ah441-'[2]$ лето'!ag441-'[2]$ лето'!af441-'[2]$ лето'!ae441-'[2]$ лето'!ad441-'[2]$ лето'!ab441-'[2]$ лето'!aa441-'[2]$ лето'!z441-'[2]$ лето'!y441-'[2]$ лето'!x441-'[2]$ лето'!v441-'[2]$ лето'!u441-'[2]$ лето'!t441-'[2]$ лето'!s441-'[2]$ лето'!r441-'[2]$ лето'!p441-'[2]$ лето'!o441-'[2]$ лето'!n441-'[2]$ лето'!m441-'[2]$ лето'!l441+'[2]$ лето'!k441+'[2]$ лето'!q441+'[2]$ лето'!w441+'[2]$ лето'!ac441+'[2]$ лето'!ai441+'[2]$ лето'!ao441</f>
        <v>4</v>
      </c>
      <c r="I441" s="109" t="n">
        <f aca="false">'[2]$ лето'!ay441*1.1</f>
        <v>1749.44</v>
      </c>
      <c r="J441" s="85" t="n">
        <v>2017</v>
      </c>
    </row>
    <row r="442" customFormat="false" ht="15" hidden="false" customHeight="false" outlineLevel="0" collapsed="false">
      <c r="A442" s="123" t="s">
        <v>186</v>
      </c>
      <c r="B442" s="115" t="s">
        <v>589</v>
      </c>
      <c r="C442" s="116" t="s">
        <v>1025</v>
      </c>
      <c r="D442" s="116"/>
      <c r="E442" s="116"/>
      <c r="F442" s="116"/>
      <c r="G442" s="108" t="s">
        <v>626</v>
      </c>
      <c r="H442" s="105" t="n">
        <f aca="false">'[2]$ лето'!j442-'[2]$ лето'!au442-'[2]$ лето'!at442-'[2]$ лето'!as442-'[2]$ лето'!ar442-'[2]$ лето'!aq442-'[2]$ лето'!ap442-'[2]$ лето'!an442-'[2]$ лето'!am442-'[2]$ лето'!al442-'[2]$ лето'!ak442-'[2]$ лето'!aj442-'[2]$ лето'!ah442-'[2]$ лето'!ag442-'[2]$ лето'!af442-'[2]$ лето'!ae442-'[2]$ лето'!ad442-'[2]$ лето'!ab442-'[2]$ лето'!aa442-'[2]$ лето'!z442-'[2]$ лето'!y442-'[2]$ лето'!x442-'[2]$ лето'!v442-'[2]$ лето'!u442-'[2]$ лето'!t442-'[2]$ лето'!s442-'[2]$ лето'!r442-'[2]$ лето'!p442-'[2]$ лето'!o442-'[2]$ лето'!n442-'[2]$ лето'!m442-'[2]$ лето'!l442+'[2]$ лето'!k442+'[2]$ лето'!q442+'[2]$ лето'!w442+'[2]$ лето'!ac442+'[2]$ лето'!ai442+'[2]$ лето'!ao442</f>
        <v>4</v>
      </c>
      <c r="I442" s="109" t="n">
        <f aca="false">'[2]$ лето'!ay442*1.1</f>
        <v>1843.16</v>
      </c>
      <c r="J442" s="85" t="n">
        <v>2017</v>
      </c>
    </row>
    <row r="443" customFormat="false" ht="15" hidden="false" customHeight="false" outlineLevel="0" collapsed="false">
      <c r="A443" s="123" t="s">
        <v>186</v>
      </c>
      <c r="B443" s="115" t="s">
        <v>564</v>
      </c>
      <c r="C443" s="116" t="s">
        <v>1026</v>
      </c>
      <c r="D443" s="116"/>
      <c r="E443" s="116"/>
      <c r="F443" s="116"/>
      <c r="G443" s="108" t="s">
        <v>520</v>
      </c>
      <c r="H443" s="105" t="n">
        <f aca="false">'[2]$ лето'!j443-'[2]$ лето'!au443-'[2]$ лето'!at443-'[2]$ лето'!as443-'[2]$ лето'!ar443-'[2]$ лето'!aq443-'[2]$ лето'!ap443-'[2]$ лето'!an443-'[2]$ лето'!am443-'[2]$ лето'!al443-'[2]$ лето'!ak443-'[2]$ лето'!aj443-'[2]$ лето'!ah443-'[2]$ лето'!ag443-'[2]$ лето'!af443-'[2]$ лето'!ae443-'[2]$ лето'!ad443-'[2]$ лето'!ab443-'[2]$ лето'!aa443-'[2]$ лето'!z443-'[2]$ лето'!y443-'[2]$ лето'!x443-'[2]$ лето'!v443-'[2]$ лето'!u443-'[2]$ лето'!t443-'[2]$ лето'!s443-'[2]$ лето'!r443-'[2]$ лето'!p443-'[2]$ лето'!o443-'[2]$ лето'!n443-'[2]$ лето'!m443-'[2]$ лето'!l443+'[2]$ лето'!k443+'[2]$ лето'!q443+'[2]$ лето'!w443+'[2]$ лето'!ac443+'[2]$ лето'!ai443+'[2]$ лето'!ao443</f>
        <v>4</v>
      </c>
      <c r="I443" s="109" t="n">
        <f aca="false">'[2]$ лето'!ay443*1.1</f>
        <v>1324.4</v>
      </c>
      <c r="J443" s="85" t="n">
        <v>2017</v>
      </c>
    </row>
    <row r="444" customFormat="false" ht="15" hidden="true" customHeight="false" outlineLevel="0" collapsed="false">
      <c r="A444" s="123" t="s">
        <v>186</v>
      </c>
      <c r="B444" s="115" t="s">
        <v>770</v>
      </c>
      <c r="C444" s="116" t="s">
        <v>1027</v>
      </c>
      <c r="D444" s="116"/>
      <c r="E444" s="116"/>
      <c r="F444" s="116"/>
      <c r="G444" s="108"/>
      <c r="H444" s="105" t="n">
        <f aca="false">'[2]$ лето'!j444-'[2]$ лето'!au444-'[2]$ лето'!at444-'[2]$ лето'!as444-'[2]$ лето'!ar444-'[2]$ лето'!aq444-'[2]$ лето'!ap444-'[2]$ лето'!an444-'[2]$ лето'!am444-'[2]$ лето'!al444-'[2]$ лето'!ak444-'[2]$ лето'!aj444-'[2]$ лето'!ah444-'[2]$ лето'!ag444-'[2]$ лето'!af444-'[2]$ лето'!ae444-'[2]$ лето'!ad444-'[2]$ лето'!ab444-'[2]$ лето'!aa444-'[2]$ лето'!z444-'[2]$ лето'!y444-'[2]$ лето'!x444-'[2]$ лето'!v444-'[2]$ лето'!u444-'[2]$ лето'!t444-'[2]$ лето'!s444-'[2]$ лето'!r444-'[2]$ лето'!p444-'[2]$ лето'!o444-'[2]$ лето'!n444-'[2]$ лето'!m444-'[2]$ лето'!l444+'[2]$ лето'!k444+'[2]$ лето'!q444+'[2]$ лето'!w444+'[2]$ лето'!ac444+'[2]$ лето'!ai444+'[2]$ лето'!ao444</f>
        <v>0</v>
      </c>
      <c r="I444" s="109" t="n">
        <f aca="false">'[2]$ лето'!ay444*1.1</f>
        <v>2248.4</v>
      </c>
    </row>
    <row r="445" customFormat="false" ht="15" hidden="true" customHeight="false" outlineLevel="0" collapsed="false">
      <c r="A445" s="115" t="s">
        <v>186</v>
      </c>
      <c r="B445" s="115" t="s">
        <v>1028</v>
      </c>
      <c r="C445" s="116" t="s">
        <v>1029</v>
      </c>
      <c r="D445" s="116"/>
      <c r="E445" s="116"/>
      <c r="F445" s="116"/>
      <c r="G445" s="108"/>
      <c r="H445" s="105" t="n">
        <f aca="false">'[2]$ лето'!j445-'[2]$ лето'!au445-'[2]$ лето'!at445-'[2]$ лето'!as445-'[2]$ лето'!ar445-'[2]$ лето'!aq445-'[2]$ лето'!ap445-'[2]$ лето'!an445-'[2]$ лето'!am445-'[2]$ лето'!al445-'[2]$ лето'!ak445-'[2]$ лето'!aj445-'[2]$ лето'!ah445-'[2]$ лето'!ag445-'[2]$ лето'!af445-'[2]$ лето'!ae445-'[2]$ лето'!ad445-'[2]$ лето'!ab445-'[2]$ лето'!aa445-'[2]$ лето'!z445-'[2]$ лето'!y445-'[2]$ лето'!x445-'[2]$ лето'!v445-'[2]$ лето'!u445-'[2]$ лето'!t445-'[2]$ лето'!s445-'[2]$ лето'!r445-'[2]$ лето'!p445-'[2]$ лето'!o445-'[2]$ лето'!n445-'[2]$ лето'!m445-'[2]$ лето'!l445+'[2]$ лето'!k445+'[2]$ лето'!q445+'[2]$ лето'!w445+'[2]$ лето'!ac445+'[2]$ лето'!ai445+'[2]$ лето'!ao445</f>
        <v>0</v>
      </c>
      <c r="I445" s="109" t="n">
        <f aca="false">'[2]$ лето'!ay445*1.1</f>
        <v>1386</v>
      </c>
      <c r="J445" s="85" t="s">
        <v>1030</v>
      </c>
    </row>
    <row r="446" customFormat="false" ht="15" hidden="true" customHeight="false" outlineLevel="0" collapsed="false">
      <c r="A446" s="115" t="s">
        <v>194</v>
      </c>
      <c r="B446" s="115" t="s">
        <v>991</v>
      </c>
      <c r="C446" s="116" t="s">
        <v>1031</v>
      </c>
      <c r="D446" s="116"/>
      <c r="E446" s="116"/>
      <c r="F446" s="116"/>
      <c r="G446" s="108" t="s">
        <v>520</v>
      </c>
      <c r="H446" s="105" t="n">
        <f aca="false">'[2]$ лето'!j446-'[2]$ лето'!au446-'[2]$ лето'!at446-'[2]$ лето'!as446-'[2]$ лето'!ar446-'[2]$ лето'!aq446-'[2]$ лето'!ap446-'[2]$ лето'!an446-'[2]$ лето'!am446-'[2]$ лето'!al446-'[2]$ лето'!ak446-'[2]$ лето'!aj446-'[2]$ лето'!ah446-'[2]$ лето'!ag446-'[2]$ лето'!af446-'[2]$ лето'!ae446-'[2]$ лето'!ad446-'[2]$ лето'!ab446-'[2]$ лето'!aa446-'[2]$ лето'!z446-'[2]$ лето'!y446-'[2]$ лето'!x446-'[2]$ лето'!v446-'[2]$ лето'!u446-'[2]$ лето'!t446-'[2]$ лето'!s446-'[2]$ лето'!r446-'[2]$ лето'!p446-'[2]$ лето'!o446-'[2]$ лето'!n446-'[2]$ лето'!m446-'[2]$ лето'!l446+'[2]$ лето'!k446+'[2]$ лето'!q446+'[2]$ лето'!w446+'[2]$ лето'!ac446+'[2]$ лето'!ai446+'[2]$ лето'!ao446</f>
        <v>0</v>
      </c>
      <c r="I446" s="109" t="n">
        <f aca="false">'[2]$ лето'!ay446*1.1</f>
        <v>1478.4</v>
      </c>
    </row>
    <row r="447" customFormat="false" ht="15" hidden="true" customHeight="false" outlineLevel="0" collapsed="false">
      <c r="A447" s="115" t="s">
        <v>194</v>
      </c>
      <c r="B447" s="115" t="s">
        <v>568</v>
      </c>
      <c r="C447" s="116" t="s">
        <v>1032</v>
      </c>
      <c r="D447" s="116"/>
      <c r="E447" s="116"/>
      <c r="F447" s="116"/>
      <c r="G447" s="108"/>
      <c r="H447" s="105" t="n">
        <f aca="false">'[2]$ лето'!j447-'[2]$ лето'!au447-'[2]$ лето'!at447-'[2]$ лето'!as447-'[2]$ лето'!ar447-'[2]$ лето'!aq447-'[2]$ лето'!ap447-'[2]$ лето'!an447-'[2]$ лето'!am447-'[2]$ лето'!al447-'[2]$ лето'!ak447-'[2]$ лето'!aj447-'[2]$ лето'!ah447-'[2]$ лето'!ag447-'[2]$ лето'!af447-'[2]$ лето'!ae447-'[2]$ лето'!ad447-'[2]$ лето'!ab447-'[2]$ лето'!aa447-'[2]$ лето'!z447-'[2]$ лето'!y447-'[2]$ лето'!x447-'[2]$ лето'!v447-'[2]$ лето'!u447-'[2]$ лето'!t447-'[2]$ лето'!s447-'[2]$ лето'!r447-'[2]$ лето'!p447-'[2]$ лето'!o447-'[2]$ лето'!n447-'[2]$ лето'!m447-'[2]$ лето'!l447+'[2]$ лето'!k447+'[2]$ лето'!q447+'[2]$ лето'!w447+'[2]$ лето'!ac447+'[2]$ лето'!ai447+'[2]$ лето'!ao447</f>
        <v>0</v>
      </c>
      <c r="I447" s="109" t="n">
        <f aca="false">'[2]$ лето'!ay447*1.1</f>
        <v>1570.8</v>
      </c>
      <c r="J447" s="85" t="n">
        <v>2017</v>
      </c>
    </row>
    <row r="448" customFormat="false" ht="15" hidden="false" customHeight="false" outlineLevel="0" collapsed="false">
      <c r="A448" s="115" t="s">
        <v>194</v>
      </c>
      <c r="B448" s="115" t="s">
        <v>601</v>
      </c>
      <c r="C448" s="107" t="s">
        <v>1033</v>
      </c>
      <c r="D448" s="107"/>
      <c r="E448" s="116"/>
      <c r="F448" s="116"/>
      <c r="G448" s="108" t="s">
        <v>563</v>
      </c>
      <c r="H448" s="105" t="n">
        <f aca="false">'[2]$ лето'!j448-'[2]$ лето'!au448-'[2]$ лето'!at448-'[2]$ лето'!as448-'[2]$ лето'!ar448-'[2]$ лето'!aq448-'[2]$ лето'!ap448-'[2]$ лето'!an448-'[2]$ лето'!am448-'[2]$ лето'!al448-'[2]$ лето'!ak448-'[2]$ лето'!aj448-'[2]$ лето'!ah448-'[2]$ лето'!ag448-'[2]$ лето'!af448-'[2]$ лето'!ae448-'[2]$ лето'!ad448-'[2]$ лето'!ab448-'[2]$ лето'!aa448-'[2]$ лето'!z448-'[2]$ лето'!y448-'[2]$ лето'!x448-'[2]$ лето'!v448-'[2]$ лето'!u448-'[2]$ лето'!t448-'[2]$ лето'!s448-'[2]$ лето'!r448-'[2]$ лето'!p448-'[2]$ лето'!o448-'[2]$ лето'!n448-'[2]$ лето'!m448-'[2]$ лето'!l448+'[2]$ лето'!k448+'[2]$ лето'!q448+'[2]$ лето'!w448+'[2]$ лето'!ac448+'[2]$ лето'!ai448+'[2]$ лето'!ao448</f>
        <v>4</v>
      </c>
      <c r="I448" s="109" t="n">
        <f aca="false">'[2]$ лето'!ay448*1.1</f>
        <v>1909.6</v>
      </c>
      <c r="J448" s="85" t="n">
        <v>2016</v>
      </c>
    </row>
    <row r="449" customFormat="false" ht="15" hidden="true" customHeight="false" outlineLevel="0" collapsed="false">
      <c r="A449" s="115" t="s">
        <v>194</v>
      </c>
      <c r="B449" s="115" t="s">
        <v>601</v>
      </c>
      <c r="C449" s="107" t="s">
        <v>1034</v>
      </c>
      <c r="D449" s="107"/>
      <c r="E449" s="107"/>
      <c r="F449" s="107"/>
      <c r="G449" s="108"/>
      <c r="H449" s="105" t="n">
        <f aca="false">'[2]$ лето'!j449-'[2]$ лето'!au449-'[2]$ лето'!at449-'[2]$ лето'!as449-'[2]$ лето'!ar449-'[2]$ лето'!aq449-'[2]$ лето'!ap449-'[2]$ лето'!an449-'[2]$ лето'!am449-'[2]$ лето'!al449-'[2]$ лето'!ak449-'[2]$ лето'!aj449-'[2]$ лето'!ah449-'[2]$ лето'!ag449-'[2]$ лето'!af449-'[2]$ лето'!ae449-'[2]$ лето'!ad449-'[2]$ лето'!ab449-'[2]$ лето'!aa449-'[2]$ лето'!z449-'[2]$ лето'!y449-'[2]$ лето'!x449-'[2]$ лето'!v449-'[2]$ лето'!u449-'[2]$ лето'!t449-'[2]$ лето'!s449-'[2]$ лето'!r449-'[2]$ лето'!p449-'[2]$ лето'!o449-'[2]$ лето'!n449-'[2]$ лето'!m449-'[2]$ лето'!l449+'[2]$ лето'!k449+'[2]$ лето'!q449+'[2]$ лето'!w449+'[2]$ лето'!ac449+'[2]$ лето'!ai449+'[2]$ лето'!ao449</f>
        <v>0</v>
      </c>
      <c r="I449" s="109" t="n">
        <f aca="false">'[2]$ лето'!ay449*1.1</f>
        <v>1815</v>
      </c>
    </row>
    <row r="450" customFormat="false" ht="15" hidden="true" customHeight="false" outlineLevel="0" collapsed="false">
      <c r="A450" s="115" t="s">
        <v>194</v>
      </c>
      <c r="B450" s="115" t="s">
        <v>658</v>
      </c>
      <c r="C450" s="107" t="s">
        <v>1035</v>
      </c>
      <c r="D450" s="107"/>
      <c r="E450" s="107"/>
      <c r="F450" s="107"/>
      <c r="G450" s="108"/>
      <c r="H450" s="105" t="n">
        <f aca="false">'[2]$ лето'!j450-'[2]$ лето'!au450-'[2]$ лето'!at450-'[2]$ лето'!as450-'[2]$ лето'!ar450-'[2]$ лето'!aq450-'[2]$ лето'!ap450-'[2]$ лето'!an450-'[2]$ лето'!am450-'[2]$ лето'!al450-'[2]$ лето'!ak450-'[2]$ лето'!aj450-'[2]$ лето'!ah450-'[2]$ лето'!ag450-'[2]$ лето'!af450-'[2]$ лето'!ae450-'[2]$ лето'!ad450-'[2]$ лето'!ab450-'[2]$ лето'!aa450-'[2]$ лето'!z450-'[2]$ лето'!y450-'[2]$ лето'!x450-'[2]$ лето'!v450-'[2]$ лето'!u450-'[2]$ лето'!t450-'[2]$ лето'!s450-'[2]$ лето'!r450-'[2]$ лето'!p450-'[2]$ лето'!o450-'[2]$ лето'!n450-'[2]$ лето'!m450-'[2]$ лето'!l450+'[2]$ лето'!k450+'[2]$ лето'!q450+'[2]$ лето'!w450+'[2]$ лето'!ac450+'[2]$ лето'!ai450+'[2]$ лето'!ao450</f>
        <v>0</v>
      </c>
      <c r="I450" s="109" t="n">
        <f aca="false">'[2]$ лето'!ay450*1.1</f>
        <v>1848</v>
      </c>
    </row>
    <row r="451" customFormat="false" ht="15" hidden="true" customHeight="false" outlineLevel="0" collapsed="false">
      <c r="A451" s="115" t="s">
        <v>194</v>
      </c>
      <c r="B451" s="115" t="s">
        <v>606</v>
      </c>
      <c r="C451" s="114" t="s">
        <v>1036</v>
      </c>
      <c r="D451" s="114"/>
      <c r="E451" s="114"/>
      <c r="F451" s="114"/>
      <c r="G451" s="108" t="s">
        <v>1037</v>
      </c>
      <c r="H451" s="105" t="n">
        <f aca="false">'[2]$ лето'!j451-'[2]$ лето'!au451-'[2]$ лето'!at451-'[2]$ лето'!as451-'[2]$ лето'!ar451-'[2]$ лето'!aq451-'[2]$ лето'!ap451-'[2]$ лето'!an451-'[2]$ лето'!am451-'[2]$ лето'!al451-'[2]$ лето'!ak451-'[2]$ лето'!aj451-'[2]$ лето'!ah451-'[2]$ лето'!ag451-'[2]$ лето'!af451-'[2]$ лето'!ae451-'[2]$ лето'!ad451-'[2]$ лето'!ab451-'[2]$ лето'!aa451-'[2]$ лето'!z451-'[2]$ лето'!y451-'[2]$ лето'!x451-'[2]$ лето'!v451-'[2]$ лето'!u451-'[2]$ лето'!t451-'[2]$ лето'!s451-'[2]$ лето'!r451-'[2]$ лето'!p451-'[2]$ лето'!o451-'[2]$ лето'!n451-'[2]$ лето'!m451-'[2]$ лето'!l451+'[2]$ лето'!k451+'[2]$ лето'!q451+'[2]$ лето'!w451+'[2]$ лето'!ac451+'[2]$ лето'!ai451+'[2]$ лето'!ao451</f>
        <v>0</v>
      </c>
      <c r="I451" s="109" t="n">
        <f aca="false">'[2]$ лето'!ay451*1.1</f>
        <v>1570.8</v>
      </c>
      <c r="J451" s="85" t="n">
        <v>2017</v>
      </c>
    </row>
    <row r="452" customFormat="false" ht="15" hidden="false" customHeight="false" outlineLevel="0" collapsed="false">
      <c r="A452" s="123" t="s">
        <v>194</v>
      </c>
      <c r="B452" s="123" t="s">
        <v>574</v>
      </c>
      <c r="C452" s="116" t="s">
        <v>1038</v>
      </c>
      <c r="D452" s="116"/>
      <c r="E452" s="116"/>
      <c r="F452" s="116"/>
      <c r="G452" s="108" t="s">
        <v>576</v>
      </c>
      <c r="H452" s="105" t="n">
        <f aca="false">'[2]$ лето'!j452-'[2]$ лето'!au452-'[2]$ лето'!at452-'[2]$ лето'!as452-'[2]$ лето'!ar452-'[2]$ лето'!aq452-'[2]$ лето'!ap452-'[2]$ лето'!an452-'[2]$ лето'!am452-'[2]$ лето'!al452-'[2]$ лето'!ak452-'[2]$ лето'!aj452-'[2]$ лето'!ah452-'[2]$ лето'!ag452-'[2]$ лето'!af452-'[2]$ лето'!ae452-'[2]$ лето'!ad452-'[2]$ лето'!ab452-'[2]$ лето'!aa452-'[2]$ лето'!z452-'[2]$ лето'!y452-'[2]$ лето'!x452-'[2]$ лето'!v452-'[2]$ лето'!u452-'[2]$ лето'!t452-'[2]$ лето'!s452-'[2]$ лето'!r452-'[2]$ лето'!p452-'[2]$ лето'!o452-'[2]$ лето'!n452-'[2]$ лето'!m452-'[2]$ лето'!l452+'[2]$ лето'!k452+'[2]$ лето'!q452+'[2]$ лето'!w452+'[2]$ лето'!ac452+'[2]$ лето'!ai452+'[2]$ лето'!ao452</f>
        <v>4</v>
      </c>
      <c r="I452" s="109" t="n">
        <f aca="false">'[2]$ лето'!ay452*1.1</f>
        <v>1843.16</v>
      </c>
      <c r="J452" s="113" t="n">
        <v>2018</v>
      </c>
    </row>
    <row r="453" customFormat="false" ht="15" hidden="false" customHeight="false" outlineLevel="0" collapsed="false">
      <c r="A453" s="123" t="s">
        <v>194</v>
      </c>
      <c r="B453" s="123" t="s">
        <v>574</v>
      </c>
      <c r="C453" s="116" t="s">
        <v>1039</v>
      </c>
      <c r="D453" s="116"/>
      <c r="E453" s="116"/>
      <c r="F453" s="116"/>
      <c r="G453" s="108" t="s">
        <v>576</v>
      </c>
      <c r="H453" s="105" t="n">
        <f aca="false">'[2]$ лето'!j453-'[2]$ лето'!au453-'[2]$ лето'!at453-'[2]$ лето'!as453-'[2]$ лето'!ar453-'[2]$ лето'!aq453-'[2]$ лето'!ap453-'[2]$ лето'!an453-'[2]$ лето'!am453-'[2]$ лето'!al453-'[2]$ лето'!ak453-'[2]$ лето'!aj453-'[2]$ лето'!ah453-'[2]$ лето'!ag453-'[2]$ лето'!af453-'[2]$ лето'!ae453-'[2]$ лето'!ad453-'[2]$ лето'!ab453-'[2]$ лето'!aa453-'[2]$ лето'!z453-'[2]$ лето'!y453-'[2]$ лето'!x453-'[2]$ лето'!v453-'[2]$ лето'!u453-'[2]$ лето'!t453-'[2]$ лето'!s453-'[2]$ лето'!r453-'[2]$ лето'!p453-'[2]$ лето'!o453-'[2]$ лето'!n453-'[2]$ лето'!m453-'[2]$ лето'!l453+'[2]$ лето'!k453+'[2]$ лето'!q453+'[2]$ лето'!w453+'[2]$ лето'!ac453+'[2]$ лето'!ai453+'[2]$ лето'!ao453</f>
        <v>8</v>
      </c>
      <c r="I453" s="109" t="n">
        <f aca="false">'[2]$ лето'!ay453*1.1</f>
        <v>1749.44</v>
      </c>
      <c r="J453" s="113" t="n">
        <v>2017</v>
      </c>
    </row>
    <row r="454" customFormat="false" ht="15" hidden="false" customHeight="false" outlineLevel="0" collapsed="false">
      <c r="A454" s="123" t="s">
        <v>194</v>
      </c>
      <c r="B454" s="123" t="s">
        <v>577</v>
      </c>
      <c r="C454" s="116" t="s">
        <v>1040</v>
      </c>
      <c r="D454" s="116"/>
      <c r="E454" s="116"/>
      <c r="F454" s="116"/>
      <c r="G454" s="108" t="s">
        <v>563</v>
      </c>
      <c r="H454" s="105" t="n">
        <f aca="false">'[2]$ лето'!j454-'[2]$ лето'!au454-'[2]$ лето'!at454-'[2]$ лето'!as454-'[2]$ лето'!ar454-'[2]$ лето'!aq454-'[2]$ лето'!ap454-'[2]$ лето'!an454-'[2]$ лето'!am454-'[2]$ лето'!al454-'[2]$ лето'!ak454-'[2]$ лето'!aj454-'[2]$ лето'!ah454-'[2]$ лето'!ag454-'[2]$ лето'!af454-'[2]$ лето'!ae454-'[2]$ лето'!ad454-'[2]$ лето'!ab454-'[2]$ лето'!aa454-'[2]$ лето'!z454-'[2]$ лето'!y454-'[2]$ лето'!x454-'[2]$ лето'!v454-'[2]$ лето'!u454-'[2]$ лето'!t454-'[2]$ лето'!s454-'[2]$ лето'!r454-'[2]$ лето'!p454-'[2]$ лето'!o454-'[2]$ лето'!n454-'[2]$ лето'!m454-'[2]$ лето'!l454+'[2]$ лето'!k454+'[2]$ лето'!q454+'[2]$ лето'!w454+'[2]$ лето'!ac454+'[2]$ лето'!ai454+'[2]$ лето'!ao454</f>
        <v>4</v>
      </c>
      <c r="I454" s="109" t="n">
        <f aca="false">'[2]$ лето'!ay454*1.1</f>
        <v>1478.4</v>
      </c>
      <c r="J454" s="113" t="n">
        <v>2016</v>
      </c>
    </row>
    <row r="455" customFormat="false" ht="15" hidden="true" customHeight="false" outlineLevel="0" collapsed="false">
      <c r="A455" s="123" t="s">
        <v>194</v>
      </c>
      <c r="B455" s="123" t="s">
        <v>583</v>
      </c>
      <c r="C455" s="116" t="s">
        <v>1041</v>
      </c>
      <c r="D455" s="116"/>
      <c r="E455" s="116"/>
      <c r="F455" s="116"/>
      <c r="G455" s="108"/>
      <c r="H455" s="105" t="n">
        <f aca="false">'[2]$ лето'!j455-'[2]$ лето'!au455-'[2]$ лето'!at455-'[2]$ лето'!as455-'[2]$ лето'!ar455-'[2]$ лето'!aq455-'[2]$ лето'!ap455-'[2]$ лето'!an455-'[2]$ лето'!am455-'[2]$ лето'!al455-'[2]$ лето'!ak455-'[2]$ лето'!aj455-'[2]$ лето'!ah455-'[2]$ лето'!ag455-'[2]$ лето'!af455-'[2]$ лето'!ae455-'[2]$ лето'!ad455-'[2]$ лето'!ab455-'[2]$ лето'!aa455-'[2]$ лето'!z455-'[2]$ лето'!y455-'[2]$ лето'!x455-'[2]$ лето'!v455-'[2]$ лето'!u455-'[2]$ лето'!t455-'[2]$ лето'!s455-'[2]$ лето'!r455-'[2]$ лето'!p455-'[2]$ лето'!o455-'[2]$ лето'!n455-'[2]$ лето'!m455-'[2]$ лето'!l455+'[2]$ лето'!k455+'[2]$ лето'!q455+'[2]$ лето'!w455+'[2]$ лето'!ac455+'[2]$ лето'!ai455+'[2]$ лето'!ao455</f>
        <v>0</v>
      </c>
      <c r="I455" s="109" t="n">
        <f aca="false">'[2]$ лето'!ay455*1.1</f>
        <v>1694</v>
      </c>
      <c r="J455" s="113"/>
    </row>
    <row r="456" customFormat="false" ht="15" hidden="true" customHeight="false" outlineLevel="0" collapsed="false">
      <c r="A456" s="123" t="s">
        <v>194</v>
      </c>
      <c r="B456" s="123" t="s">
        <v>583</v>
      </c>
      <c r="C456" s="116" t="s">
        <v>1042</v>
      </c>
      <c r="D456" s="116"/>
      <c r="E456" s="116"/>
      <c r="F456" s="116"/>
      <c r="G456" s="108"/>
      <c r="H456" s="105" t="n">
        <f aca="false">'[2]$ лето'!j456-'[2]$ лето'!au456-'[2]$ лето'!at456-'[2]$ лето'!as456-'[2]$ лето'!ar456-'[2]$ лето'!aq456-'[2]$ лето'!ap456-'[2]$ лето'!an456-'[2]$ лето'!am456-'[2]$ лето'!al456-'[2]$ лето'!ak456-'[2]$ лето'!aj456-'[2]$ лето'!ah456-'[2]$ лето'!ag456-'[2]$ лето'!af456-'[2]$ лето'!ae456-'[2]$ лето'!ad456-'[2]$ лето'!ab456-'[2]$ лето'!aa456-'[2]$ лето'!z456-'[2]$ лето'!y456-'[2]$ лето'!x456-'[2]$ лето'!v456-'[2]$ лето'!u456-'[2]$ лето'!t456-'[2]$ лето'!s456-'[2]$ лето'!r456-'[2]$ лето'!p456-'[2]$ лето'!o456-'[2]$ лето'!n456-'[2]$ лето'!m456-'[2]$ лето'!l456+'[2]$ лето'!k456+'[2]$ лето'!q456+'[2]$ лето'!w456+'[2]$ лето'!ac456+'[2]$ лето'!ai456+'[2]$ лето'!ao456</f>
        <v>0</v>
      </c>
      <c r="I456" s="109" t="n">
        <f aca="false">'[2]$ лето'!ay456*1.1</f>
        <v>1478.4</v>
      </c>
      <c r="J456" s="113" t="n">
        <v>2016</v>
      </c>
    </row>
    <row r="457" customFormat="false" ht="15" hidden="false" customHeight="false" outlineLevel="0" collapsed="false">
      <c r="A457" s="115" t="s">
        <v>194</v>
      </c>
      <c r="B457" s="115" t="s">
        <v>593</v>
      </c>
      <c r="C457" s="116" t="s">
        <v>1043</v>
      </c>
      <c r="D457" s="116"/>
      <c r="E457" s="116"/>
      <c r="F457" s="116"/>
      <c r="G457" s="108" t="s">
        <v>933</v>
      </c>
      <c r="H457" s="105" t="n">
        <f aca="false">'[2]$ лето'!j457-'[2]$ лето'!au457-'[2]$ лето'!at457-'[2]$ лето'!as457-'[2]$ лето'!ar457-'[2]$ лето'!aq457-'[2]$ лето'!ap457-'[2]$ лето'!an457-'[2]$ лето'!am457-'[2]$ лето'!al457-'[2]$ лето'!ak457-'[2]$ лето'!aj457-'[2]$ лето'!ah457-'[2]$ лето'!ag457-'[2]$ лето'!af457-'[2]$ лето'!ae457-'[2]$ лето'!ad457-'[2]$ лето'!ab457-'[2]$ лето'!aa457-'[2]$ лето'!z457-'[2]$ лето'!y457-'[2]$ лето'!x457-'[2]$ лето'!v457-'[2]$ лето'!u457-'[2]$ лето'!t457-'[2]$ лето'!s457-'[2]$ лето'!r457-'[2]$ лето'!p457-'[2]$ лето'!o457-'[2]$ лето'!n457-'[2]$ лето'!m457-'[2]$ лето'!l457+'[2]$ лето'!k457+'[2]$ лето'!q457+'[2]$ лето'!w457+'[2]$ лето'!ac457+'[2]$ лето'!ai457+'[2]$ лето'!ao457</f>
        <v>6</v>
      </c>
      <c r="I457" s="109" t="n">
        <f aca="false">'[2]$ лето'!ay457*1.1</f>
        <v>2956.8</v>
      </c>
      <c r="J457" s="113" t="n">
        <v>2018</v>
      </c>
    </row>
    <row r="458" customFormat="false" ht="15" hidden="true" customHeight="false" outlineLevel="0" collapsed="false">
      <c r="A458" s="115" t="s">
        <v>194</v>
      </c>
      <c r="B458" s="115" t="s">
        <v>593</v>
      </c>
      <c r="C458" s="116" t="s">
        <v>1044</v>
      </c>
      <c r="D458" s="116"/>
      <c r="E458" s="116"/>
      <c r="F458" s="116"/>
      <c r="G458" s="108"/>
      <c r="H458" s="105" t="n">
        <f aca="false">'[2]$ лето'!j458-'[2]$ лето'!au458-'[2]$ лето'!at458-'[2]$ лето'!as458-'[2]$ лето'!ar458-'[2]$ лето'!aq458-'[2]$ лето'!ap458-'[2]$ лето'!an458-'[2]$ лето'!am458-'[2]$ лето'!al458-'[2]$ лето'!ak458-'[2]$ лето'!aj458-'[2]$ лето'!ah458-'[2]$ лето'!ag458-'[2]$ лето'!af458-'[2]$ лето'!ae458-'[2]$ лето'!ad458-'[2]$ лето'!ab458-'[2]$ лето'!aa458-'[2]$ лето'!z458-'[2]$ лето'!y458-'[2]$ лето'!x458-'[2]$ лето'!v458-'[2]$ лето'!u458-'[2]$ лето'!t458-'[2]$ лето'!s458-'[2]$ лето'!r458-'[2]$ лето'!p458-'[2]$ лето'!o458-'[2]$ лето'!n458-'[2]$ лето'!m458-'[2]$ лето'!l458+'[2]$ лето'!k458+'[2]$ лето'!q458+'[2]$ лето'!w458+'[2]$ лето'!ac458+'[2]$ лето'!ai458+'[2]$ лето'!ao458</f>
        <v>0</v>
      </c>
      <c r="I458" s="109" t="n">
        <f aca="false">'[2]$ лето'!ay458*1.1</f>
        <v>3080</v>
      </c>
      <c r="J458" s="113"/>
    </row>
    <row r="459" customFormat="false" ht="15" hidden="true" customHeight="false" outlineLevel="0" collapsed="false">
      <c r="A459" s="115" t="s">
        <v>194</v>
      </c>
      <c r="B459" s="115" t="s">
        <v>615</v>
      </c>
      <c r="C459" s="116" t="s">
        <v>1045</v>
      </c>
      <c r="D459" s="116"/>
      <c r="E459" s="116"/>
      <c r="F459" s="116"/>
      <c r="G459" s="108"/>
      <c r="H459" s="105" t="n">
        <f aca="false">'[2]$ лето'!j459-'[2]$ лето'!au459-'[2]$ лето'!at459-'[2]$ лето'!as459-'[2]$ лето'!ar459-'[2]$ лето'!aq459-'[2]$ лето'!ap459-'[2]$ лето'!an459-'[2]$ лето'!am459-'[2]$ лето'!al459-'[2]$ лето'!ak459-'[2]$ лето'!aj459-'[2]$ лето'!ah459-'[2]$ лето'!ag459-'[2]$ лето'!af459-'[2]$ лето'!ae459-'[2]$ лето'!ad459-'[2]$ лето'!ab459-'[2]$ лето'!aa459-'[2]$ лето'!z459-'[2]$ лето'!y459-'[2]$ лето'!x459-'[2]$ лето'!v459-'[2]$ лето'!u459-'[2]$ лето'!t459-'[2]$ лето'!s459-'[2]$ лето'!r459-'[2]$ лето'!p459-'[2]$ лето'!o459-'[2]$ лето'!n459-'[2]$ лето'!m459-'[2]$ лето'!l459+'[2]$ лето'!k459+'[2]$ лето'!q459+'[2]$ лето'!w459+'[2]$ лето'!ac459+'[2]$ лето'!ai459+'[2]$ лето'!ao459</f>
        <v>0</v>
      </c>
      <c r="I459" s="109" t="n">
        <f aca="false">'[2]$ лето'!ay459*1.1</f>
        <v>1324.4</v>
      </c>
      <c r="J459" s="113"/>
    </row>
    <row r="460" customFormat="false" ht="15" hidden="false" customHeight="false" outlineLevel="0" collapsed="false">
      <c r="A460" s="115" t="s">
        <v>194</v>
      </c>
      <c r="B460" s="115" t="s">
        <v>621</v>
      </c>
      <c r="C460" s="116" t="s">
        <v>1046</v>
      </c>
      <c r="D460" s="116"/>
      <c r="E460" s="116"/>
      <c r="F460" s="116"/>
      <c r="G460" s="108" t="s">
        <v>520</v>
      </c>
      <c r="H460" s="105" t="n">
        <f aca="false">'[2]$ лето'!j460-'[2]$ лето'!au460-'[2]$ лето'!at460-'[2]$ лето'!as460-'[2]$ лето'!ar460-'[2]$ лето'!aq460-'[2]$ лето'!ap460-'[2]$ лето'!an460-'[2]$ лето'!am460-'[2]$ лето'!al460-'[2]$ лето'!ak460-'[2]$ лето'!aj460-'[2]$ лето'!ah460-'[2]$ лето'!ag460-'[2]$ лето'!af460-'[2]$ лето'!ae460-'[2]$ лето'!ad460-'[2]$ лето'!ab460-'[2]$ лето'!aa460-'[2]$ лето'!z460-'[2]$ лето'!y460-'[2]$ лето'!x460-'[2]$ лето'!v460-'[2]$ лето'!u460-'[2]$ лето'!t460-'[2]$ лето'!s460-'[2]$ лето'!r460-'[2]$ лето'!p460-'[2]$ лето'!o460-'[2]$ лето'!n460-'[2]$ лето'!m460-'[2]$ лето'!l460+'[2]$ лето'!k460+'[2]$ лето'!q460+'[2]$ лето'!w460+'[2]$ лето'!ac460+'[2]$ лето'!ai460+'[2]$ лето'!ao460</f>
        <v>6</v>
      </c>
      <c r="I460" s="109" t="n">
        <f aca="false">'[2]$ лето'!ay460*1.1</f>
        <v>1324.4</v>
      </c>
      <c r="J460" s="113"/>
    </row>
    <row r="461" customFormat="false" ht="15" hidden="false" customHeight="false" outlineLevel="0" collapsed="false">
      <c r="A461" s="115" t="s">
        <v>194</v>
      </c>
      <c r="B461" s="115" t="s">
        <v>589</v>
      </c>
      <c r="C461" s="116" t="s">
        <v>1047</v>
      </c>
      <c r="D461" s="116"/>
      <c r="E461" s="116"/>
      <c r="F461" s="116"/>
      <c r="G461" s="108" t="s">
        <v>626</v>
      </c>
      <c r="H461" s="105" t="n">
        <f aca="false">'[2]$ лето'!j461-'[2]$ лето'!au461-'[2]$ лето'!at461-'[2]$ лето'!as461-'[2]$ лето'!ar461-'[2]$ лето'!aq461-'[2]$ лето'!ap461-'[2]$ лето'!an461-'[2]$ лето'!am461-'[2]$ лето'!al461-'[2]$ лето'!ak461-'[2]$ лето'!aj461-'[2]$ лето'!ah461-'[2]$ лето'!ag461-'[2]$ лето'!af461-'[2]$ лето'!ae461-'[2]$ лето'!ad461-'[2]$ лето'!ab461-'[2]$ лето'!aa461-'[2]$ лето'!z461-'[2]$ лето'!y461-'[2]$ лето'!x461-'[2]$ лето'!v461-'[2]$ лето'!u461-'[2]$ лето'!t461-'[2]$ лето'!s461-'[2]$ лето'!r461-'[2]$ лето'!p461-'[2]$ лето'!o461-'[2]$ лето'!n461-'[2]$ лето'!m461-'[2]$ лето'!l461+'[2]$ лето'!k461+'[2]$ лето'!q461+'[2]$ лето'!w461+'[2]$ лето'!ac461+'[2]$ лето'!ai461+'[2]$ лето'!ao461</f>
        <v>2</v>
      </c>
      <c r="I461" s="109" t="n">
        <f aca="false">'[2]$ лето'!ay461*1.1</f>
        <v>1968.12</v>
      </c>
      <c r="J461" s="113" t="n">
        <v>2017</v>
      </c>
    </row>
    <row r="462" customFormat="false" ht="15" hidden="true" customHeight="false" outlineLevel="0" collapsed="false">
      <c r="A462" s="115" t="s">
        <v>194</v>
      </c>
      <c r="B462" s="115" t="s">
        <v>589</v>
      </c>
      <c r="C462" s="116" t="s">
        <v>1048</v>
      </c>
      <c r="D462" s="116"/>
      <c r="E462" s="116"/>
      <c r="F462" s="116"/>
      <c r="G462" s="108" t="s">
        <v>626</v>
      </c>
      <c r="H462" s="105" t="n">
        <f aca="false">'[2]$ лето'!j462-'[2]$ лето'!au462-'[2]$ лето'!at462-'[2]$ лето'!as462-'[2]$ лето'!ar462-'[2]$ лето'!aq462-'[2]$ лето'!ap462-'[2]$ лето'!an462-'[2]$ лето'!am462-'[2]$ лето'!al462-'[2]$ лето'!ak462-'[2]$ лето'!aj462-'[2]$ лето'!ah462-'[2]$ лето'!ag462-'[2]$ лето'!af462-'[2]$ лето'!ae462-'[2]$ лето'!ad462-'[2]$ лето'!ab462-'[2]$ лето'!aa462-'[2]$ лето'!z462-'[2]$ лето'!y462-'[2]$ лето'!x462-'[2]$ лето'!v462-'[2]$ лето'!u462-'[2]$ лето'!t462-'[2]$ лето'!s462-'[2]$ лето'!r462-'[2]$ лето'!p462-'[2]$ лето'!o462-'[2]$ лето'!n462-'[2]$ лето'!m462-'[2]$ лето'!l462+'[2]$ лето'!k462+'[2]$ лето'!q462+'[2]$ лето'!w462+'[2]$ лето'!ac462+'[2]$ лето'!ai462+'[2]$ лето'!ao462</f>
        <v>0</v>
      </c>
      <c r="I462" s="109" t="n">
        <f aca="false">'[2]$ лето'!ay462*1.1</f>
        <v>2186.8</v>
      </c>
      <c r="J462" s="113" t="n">
        <v>2017</v>
      </c>
    </row>
    <row r="463" customFormat="false" ht="15" hidden="true" customHeight="false" outlineLevel="0" collapsed="false">
      <c r="A463" s="115" t="s">
        <v>194</v>
      </c>
      <c r="B463" s="115" t="s">
        <v>589</v>
      </c>
      <c r="C463" s="116" t="s">
        <v>1049</v>
      </c>
      <c r="D463" s="116"/>
      <c r="E463" s="116"/>
      <c r="F463" s="116"/>
      <c r="G463" s="108" t="s">
        <v>876</v>
      </c>
      <c r="H463" s="105" t="n">
        <f aca="false">'[2]$ лето'!j463-'[2]$ лето'!au463-'[2]$ лето'!at463-'[2]$ лето'!as463-'[2]$ лето'!ar463-'[2]$ лето'!aq463-'[2]$ лето'!ap463-'[2]$ лето'!an463-'[2]$ лето'!am463-'[2]$ лето'!al463-'[2]$ лето'!ak463-'[2]$ лето'!aj463-'[2]$ лето'!ah463-'[2]$ лето'!ag463-'[2]$ лето'!af463-'[2]$ лето'!ae463-'[2]$ лето'!ad463-'[2]$ лето'!ab463-'[2]$ лето'!aa463-'[2]$ лето'!z463-'[2]$ лето'!y463-'[2]$ лето'!x463-'[2]$ лето'!v463-'[2]$ лето'!u463-'[2]$ лето'!t463-'[2]$ лето'!s463-'[2]$ лето'!r463-'[2]$ лето'!p463-'[2]$ лето'!o463-'[2]$ лето'!n463-'[2]$ лето'!m463-'[2]$ лето'!l463+'[2]$ лето'!k463+'[2]$ лето'!q463+'[2]$ лето'!w463+'[2]$ лето'!ac463+'[2]$ лето'!ai463+'[2]$ лето'!ao463</f>
        <v>0</v>
      </c>
      <c r="I463" s="109" t="n">
        <f aca="false">'[2]$ лето'!ay463*1.1</f>
        <v>2063.6</v>
      </c>
      <c r="J463" s="113"/>
    </row>
    <row r="464" customFormat="false" ht="15" hidden="false" customHeight="false" outlineLevel="0" collapsed="false">
      <c r="A464" s="115" t="s">
        <v>194</v>
      </c>
      <c r="B464" s="115" t="s">
        <v>564</v>
      </c>
      <c r="C464" s="116" t="s">
        <v>1050</v>
      </c>
      <c r="D464" s="116"/>
      <c r="E464" s="116"/>
      <c r="F464" s="116"/>
      <c r="G464" s="108" t="s">
        <v>520</v>
      </c>
      <c r="H464" s="105" t="n">
        <f aca="false">'[2]$ лето'!j464-'[2]$ лето'!au464-'[2]$ лето'!at464-'[2]$ лето'!as464-'[2]$ лето'!ar464-'[2]$ лето'!aq464-'[2]$ лето'!ap464-'[2]$ лето'!an464-'[2]$ лето'!am464-'[2]$ лето'!al464-'[2]$ лето'!ak464-'[2]$ лето'!aj464-'[2]$ лето'!ah464-'[2]$ лето'!ag464-'[2]$ лето'!af464-'[2]$ лето'!ae464-'[2]$ лето'!ad464-'[2]$ лето'!ab464-'[2]$ лето'!aa464-'[2]$ лето'!z464-'[2]$ лето'!y464-'[2]$ лето'!x464-'[2]$ лето'!v464-'[2]$ лето'!u464-'[2]$ лето'!t464-'[2]$ лето'!s464-'[2]$ лето'!r464-'[2]$ лето'!p464-'[2]$ лето'!o464-'[2]$ лето'!n464-'[2]$ лето'!m464-'[2]$ лето'!l464+'[2]$ лето'!k464+'[2]$ лето'!q464+'[2]$ лето'!w464+'[2]$ лето'!ac464+'[2]$ лето'!ai464+'[2]$ лето'!ao464</f>
        <v>4</v>
      </c>
      <c r="I464" s="109" t="n">
        <f aca="false">'[2]$ лето'!ay464*1.1</f>
        <v>1416.8</v>
      </c>
      <c r="J464" s="113" t="n">
        <v>2017</v>
      </c>
    </row>
    <row r="465" customFormat="false" ht="15" hidden="true" customHeight="false" outlineLevel="0" collapsed="false">
      <c r="A465" s="115" t="s">
        <v>198</v>
      </c>
      <c r="B465" s="115" t="s">
        <v>668</v>
      </c>
      <c r="C465" s="107" t="s">
        <v>796</v>
      </c>
      <c r="D465" s="107"/>
      <c r="E465" s="107"/>
      <c r="F465" s="107"/>
      <c r="G465" s="108" t="s">
        <v>609</v>
      </c>
      <c r="H465" s="105" t="n">
        <f aca="false">'[2]$ лето'!j465-'[2]$ лето'!au465-'[2]$ лето'!at465-'[2]$ лето'!as465-'[2]$ лето'!ar465-'[2]$ лето'!aq465-'[2]$ лето'!ap465-'[2]$ лето'!an465-'[2]$ лето'!am465-'[2]$ лето'!al465-'[2]$ лето'!ak465-'[2]$ лето'!aj465-'[2]$ лето'!ah465-'[2]$ лето'!ag465-'[2]$ лето'!af465-'[2]$ лето'!ae465-'[2]$ лето'!ad465-'[2]$ лето'!ab465-'[2]$ лето'!aa465-'[2]$ лето'!z465-'[2]$ лето'!y465-'[2]$ лето'!x465-'[2]$ лето'!v465-'[2]$ лето'!u465-'[2]$ лето'!t465-'[2]$ лето'!s465-'[2]$ лето'!r465-'[2]$ лето'!p465-'[2]$ лето'!o465-'[2]$ лето'!n465-'[2]$ лето'!m465-'[2]$ лето'!l465+'[2]$ лето'!k465+'[2]$ лето'!q465+'[2]$ лето'!w465+'[2]$ лето'!ac465+'[2]$ лето'!ai465+'[2]$ лето'!ao465</f>
        <v>0</v>
      </c>
      <c r="I465" s="109" t="n">
        <f aca="false">'[2]$ лето'!ay465*1.1</f>
        <v>1601.6</v>
      </c>
    </row>
    <row r="466" customFormat="false" ht="15" hidden="true" customHeight="false" outlineLevel="0" collapsed="false">
      <c r="A466" s="115" t="s">
        <v>198</v>
      </c>
      <c r="B466" s="115" t="s">
        <v>1051</v>
      </c>
      <c r="C466" s="107" t="s">
        <v>1052</v>
      </c>
      <c r="D466" s="107"/>
      <c r="E466" s="107"/>
      <c r="F466" s="107"/>
      <c r="G466" s="108"/>
      <c r="H466" s="105" t="n">
        <f aca="false">'[2]$ лето'!j466-'[2]$ лето'!au466-'[2]$ лето'!at466-'[2]$ лето'!as466-'[2]$ лето'!ar466-'[2]$ лето'!aq466-'[2]$ лето'!ap466-'[2]$ лето'!an466-'[2]$ лето'!am466-'[2]$ лето'!al466-'[2]$ лето'!ak466-'[2]$ лето'!aj466-'[2]$ лето'!ah466-'[2]$ лето'!ag466-'[2]$ лето'!af466-'[2]$ лето'!ae466-'[2]$ лето'!ad466-'[2]$ лето'!ab466-'[2]$ лето'!aa466-'[2]$ лето'!z466-'[2]$ лето'!y466-'[2]$ лето'!x466-'[2]$ лето'!v466-'[2]$ лето'!u466-'[2]$ лето'!t466-'[2]$ лето'!s466-'[2]$ лето'!r466-'[2]$ лето'!p466-'[2]$ лето'!o466-'[2]$ лето'!n466-'[2]$ лето'!m466-'[2]$ лето'!l466+'[2]$ лето'!k466+'[2]$ лето'!q466+'[2]$ лето'!w466+'[2]$ лето'!ac466+'[2]$ лето'!ai466+'[2]$ лето'!ao466</f>
        <v>0</v>
      </c>
      <c r="I466" s="109" t="n">
        <f aca="false">'[2]$ лето'!ay466*1.1</f>
        <v>1324.4</v>
      </c>
    </row>
    <row r="467" customFormat="false" ht="15" hidden="true" customHeight="false" outlineLevel="0" collapsed="false">
      <c r="A467" s="115" t="s">
        <v>1053</v>
      </c>
      <c r="B467" s="115" t="s">
        <v>568</v>
      </c>
      <c r="C467" s="107" t="s">
        <v>993</v>
      </c>
      <c r="D467" s="107"/>
      <c r="E467" s="107"/>
      <c r="F467" s="107"/>
      <c r="G467" s="108"/>
      <c r="H467" s="105" t="n">
        <f aca="false">'[2]$ лето'!j467-'[2]$ лето'!au467-'[2]$ лето'!at467-'[2]$ лето'!as467-'[2]$ лето'!ar467-'[2]$ лето'!aq467-'[2]$ лето'!ap467-'[2]$ лето'!an467-'[2]$ лето'!am467-'[2]$ лето'!al467-'[2]$ лето'!ak467-'[2]$ лето'!aj467-'[2]$ лето'!ah467-'[2]$ лето'!ag467-'[2]$ лето'!af467-'[2]$ лето'!ae467-'[2]$ лето'!ad467-'[2]$ лето'!ab467-'[2]$ лето'!aa467-'[2]$ лето'!z467-'[2]$ лето'!y467-'[2]$ лето'!x467-'[2]$ лето'!v467-'[2]$ лето'!u467-'[2]$ лето'!t467-'[2]$ лето'!s467-'[2]$ лето'!r467-'[2]$ лето'!p467-'[2]$ лето'!o467-'[2]$ лето'!n467-'[2]$ лето'!m467-'[2]$ лето'!l467+'[2]$ лето'!k467+'[2]$ лето'!q467+'[2]$ лето'!w467+'[2]$ лето'!ac467+'[2]$ лето'!ai467+'[2]$ лето'!ao467</f>
        <v>0</v>
      </c>
      <c r="I467" s="109" t="n">
        <f aca="false">'[2]$ лето'!ay467*1.1</f>
        <v>1386</v>
      </c>
    </row>
    <row r="468" customFormat="false" ht="15" hidden="true" customHeight="false" outlineLevel="0" collapsed="false">
      <c r="A468" s="115" t="s">
        <v>1053</v>
      </c>
      <c r="B468" s="115" t="s">
        <v>557</v>
      </c>
      <c r="C468" s="107" t="s">
        <v>1054</v>
      </c>
      <c r="D468" s="107"/>
      <c r="E468" s="107"/>
      <c r="F468" s="107"/>
      <c r="G468" s="108"/>
      <c r="H468" s="105" t="n">
        <f aca="false">'[2]$ лето'!j468-'[2]$ лето'!au468-'[2]$ лето'!at468-'[2]$ лето'!as468-'[2]$ лето'!ar468-'[2]$ лето'!aq468-'[2]$ лето'!ap468-'[2]$ лето'!an468-'[2]$ лето'!am468-'[2]$ лето'!al468-'[2]$ лето'!ak468-'[2]$ лето'!aj468-'[2]$ лето'!ah468-'[2]$ лето'!ag468-'[2]$ лето'!af468-'[2]$ лето'!ae468-'[2]$ лето'!ad468-'[2]$ лето'!ab468-'[2]$ лето'!aa468-'[2]$ лето'!z468-'[2]$ лето'!y468-'[2]$ лето'!x468-'[2]$ лето'!v468-'[2]$ лето'!u468-'[2]$ лето'!t468-'[2]$ лето'!s468-'[2]$ лето'!r468-'[2]$ лето'!p468-'[2]$ лето'!o468-'[2]$ лето'!n468-'[2]$ лето'!m468-'[2]$ лето'!l468+'[2]$ лето'!k468+'[2]$ лето'!q468+'[2]$ лето'!w468+'[2]$ лето'!ac468+'[2]$ лето'!ai468+'[2]$ лето'!ao468</f>
        <v>0</v>
      </c>
      <c r="I468" s="109" t="n">
        <f aca="false">'[2]$ лето'!ay468*1.1</f>
        <v>1540</v>
      </c>
    </row>
    <row r="469" customFormat="false" ht="15" hidden="true" customHeight="false" outlineLevel="0" collapsed="false">
      <c r="A469" s="115" t="s">
        <v>1053</v>
      </c>
      <c r="B469" s="115" t="s">
        <v>593</v>
      </c>
      <c r="C469" s="116" t="s">
        <v>1055</v>
      </c>
      <c r="D469" s="116"/>
      <c r="E469" s="116"/>
      <c r="F469" s="116"/>
      <c r="G469" s="108"/>
      <c r="H469" s="105" t="n">
        <f aca="false">'[2]$ лето'!j469-'[2]$ лето'!au469-'[2]$ лето'!at469-'[2]$ лето'!as469-'[2]$ лето'!ar469-'[2]$ лето'!aq469-'[2]$ лето'!ap469-'[2]$ лето'!an469-'[2]$ лето'!am469-'[2]$ лето'!al469-'[2]$ лето'!ak469-'[2]$ лето'!aj469-'[2]$ лето'!ah469-'[2]$ лето'!ag469-'[2]$ лето'!af469-'[2]$ лето'!ae469-'[2]$ лето'!ad469-'[2]$ лето'!ab469-'[2]$ лето'!aa469-'[2]$ лето'!z469-'[2]$ лето'!y469-'[2]$ лето'!x469-'[2]$ лето'!v469-'[2]$ лето'!u469-'[2]$ лето'!t469-'[2]$ лето'!s469-'[2]$ лето'!r469-'[2]$ лето'!p469-'[2]$ лето'!o469-'[2]$ лето'!n469-'[2]$ лето'!m469-'[2]$ лето'!l469+'[2]$ лето'!k469+'[2]$ лето'!q469+'[2]$ лето'!w469+'[2]$ лето'!ac469+'[2]$ лето'!ai469+'[2]$ лето'!ao469</f>
        <v>0</v>
      </c>
      <c r="I469" s="109" t="n">
        <f aca="false">'[2]$ лето'!ay469*1.1</f>
        <v>1078</v>
      </c>
    </row>
    <row r="470" customFormat="false" ht="15" hidden="true" customHeight="false" outlineLevel="0" collapsed="false">
      <c r="A470" s="115" t="s">
        <v>1053</v>
      </c>
      <c r="B470" s="115" t="s">
        <v>621</v>
      </c>
      <c r="C470" s="116" t="s">
        <v>1056</v>
      </c>
      <c r="D470" s="116"/>
      <c r="E470" s="116"/>
      <c r="F470" s="116"/>
      <c r="G470" s="108" t="s">
        <v>520</v>
      </c>
      <c r="H470" s="105" t="n">
        <f aca="false">'[2]$ лето'!j470-'[2]$ лето'!au470-'[2]$ лето'!at470-'[2]$ лето'!as470-'[2]$ лето'!ar470-'[2]$ лето'!aq470-'[2]$ лето'!ap470-'[2]$ лето'!an470-'[2]$ лето'!am470-'[2]$ лето'!al470-'[2]$ лето'!ak470-'[2]$ лето'!aj470-'[2]$ лето'!ah470-'[2]$ лето'!ag470-'[2]$ лето'!af470-'[2]$ лето'!ae470-'[2]$ лето'!ad470-'[2]$ лето'!ab470-'[2]$ лето'!aa470-'[2]$ лето'!z470-'[2]$ лето'!y470-'[2]$ лето'!x470-'[2]$ лето'!v470-'[2]$ лето'!u470-'[2]$ лето'!t470-'[2]$ лето'!s470-'[2]$ лето'!r470-'[2]$ лето'!p470-'[2]$ лето'!o470-'[2]$ лето'!n470-'[2]$ лето'!m470-'[2]$ лето'!l470+'[2]$ лето'!k470+'[2]$ лето'!q470+'[2]$ лето'!w470+'[2]$ лето'!ac470+'[2]$ лето'!ai470+'[2]$ лето'!ao470</f>
        <v>0</v>
      </c>
      <c r="I470" s="109" t="n">
        <f aca="false">'[2]$ лето'!ay470*1.1</f>
        <v>1078</v>
      </c>
    </row>
    <row r="471" customFormat="false" ht="15" hidden="true" customHeight="false" outlineLevel="0" collapsed="false">
      <c r="A471" s="115" t="s">
        <v>1057</v>
      </c>
      <c r="B471" s="115" t="s">
        <v>568</v>
      </c>
      <c r="C471" s="107" t="s">
        <v>1058</v>
      </c>
      <c r="D471" s="107"/>
      <c r="E471" s="107"/>
      <c r="F471" s="107"/>
      <c r="G471" s="108"/>
      <c r="H471" s="105" t="n">
        <f aca="false">'[2]$ лето'!j471-'[2]$ лето'!au471-'[2]$ лето'!at471-'[2]$ лето'!as471-'[2]$ лето'!ar471-'[2]$ лето'!aq471-'[2]$ лето'!ap471-'[2]$ лето'!an471-'[2]$ лето'!am471-'[2]$ лето'!al471-'[2]$ лето'!ak471-'[2]$ лето'!aj471-'[2]$ лето'!ah471-'[2]$ лето'!ag471-'[2]$ лето'!af471-'[2]$ лето'!ae471-'[2]$ лето'!ad471-'[2]$ лето'!ab471-'[2]$ лето'!aa471-'[2]$ лето'!z471-'[2]$ лето'!y471-'[2]$ лето'!x471-'[2]$ лето'!v471-'[2]$ лето'!u471-'[2]$ лето'!t471-'[2]$ лето'!s471-'[2]$ лето'!r471-'[2]$ лето'!p471-'[2]$ лето'!o471-'[2]$ лето'!n471-'[2]$ лето'!m471-'[2]$ лето'!l471+'[2]$ лето'!k471+'[2]$ лето'!q471+'[2]$ лето'!w471+'[2]$ лето'!ac471+'[2]$ лето'!ai471+'[2]$ лето'!ao471</f>
        <v>0</v>
      </c>
      <c r="I471" s="109" t="n">
        <f aca="false">'[2]$ лето'!ay471*1.1</f>
        <v>1663.2</v>
      </c>
      <c r="J471" s="85" t="n">
        <v>2017</v>
      </c>
    </row>
    <row r="472" customFormat="false" ht="15" hidden="true" customHeight="false" outlineLevel="0" collapsed="false">
      <c r="A472" s="115" t="s">
        <v>1057</v>
      </c>
      <c r="B472" s="115" t="s">
        <v>574</v>
      </c>
      <c r="C472" s="116" t="s">
        <v>1059</v>
      </c>
      <c r="D472" s="116"/>
      <c r="E472" s="116"/>
      <c r="F472" s="116"/>
      <c r="G472" s="108" t="s">
        <v>576</v>
      </c>
      <c r="H472" s="105" t="n">
        <f aca="false">'[2]$ лето'!j472-'[2]$ лето'!au472-'[2]$ лето'!at472-'[2]$ лето'!as472-'[2]$ лето'!ar472-'[2]$ лето'!aq472-'[2]$ лето'!ap472-'[2]$ лето'!an472-'[2]$ лето'!am472-'[2]$ лето'!al472-'[2]$ лето'!ak472-'[2]$ лето'!aj472-'[2]$ лето'!ah472-'[2]$ лето'!ag472-'[2]$ лето'!af472-'[2]$ лето'!ae472-'[2]$ лето'!ad472-'[2]$ лето'!ab472-'[2]$ лето'!aa472-'[2]$ лето'!z472-'[2]$ лето'!y472-'[2]$ лето'!x472-'[2]$ лето'!v472-'[2]$ лето'!u472-'[2]$ лето'!t472-'[2]$ лето'!s472-'[2]$ лето'!r472-'[2]$ лето'!p472-'[2]$ лето'!o472-'[2]$ лето'!n472-'[2]$ лето'!m472-'[2]$ лето'!l472+'[2]$ лето'!k472+'[2]$ лето'!q472+'[2]$ лето'!w472+'[2]$ лето'!ac472+'[2]$ лето'!ai472+'[2]$ лето'!ao472</f>
        <v>0</v>
      </c>
      <c r="I472" s="109" t="n">
        <f aca="false">'[2]$ лето'!ay472*1.1</f>
        <v>1848</v>
      </c>
      <c r="J472" s="85" t="n">
        <v>2017</v>
      </c>
    </row>
    <row r="473" customFormat="false" ht="15" hidden="false" customHeight="false" outlineLevel="0" collapsed="false">
      <c r="A473" s="115" t="s">
        <v>1057</v>
      </c>
      <c r="B473" s="115" t="s">
        <v>577</v>
      </c>
      <c r="C473" s="116" t="s">
        <v>1060</v>
      </c>
      <c r="D473" s="116"/>
      <c r="E473" s="116"/>
      <c r="F473" s="116"/>
      <c r="G473" s="108" t="s">
        <v>563</v>
      </c>
      <c r="H473" s="105" t="n">
        <f aca="false">'[2]$ лето'!j473-'[2]$ лето'!au473-'[2]$ лето'!at473-'[2]$ лето'!as473-'[2]$ лето'!ar473-'[2]$ лето'!aq473-'[2]$ лето'!ap473-'[2]$ лето'!an473-'[2]$ лето'!am473-'[2]$ лето'!al473-'[2]$ лето'!ak473-'[2]$ лето'!aj473-'[2]$ лето'!ah473-'[2]$ лето'!ag473-'[2]$ лето'!af473-'[2]$ лето'!ae473-'[2]$ лето'!ad473-'[2]$ лето'!ab473-'[2]$ лето'!aa473-'[2]$ лето'!z473-'[2]$ лето'!y473-'[2]$ лето'!x473-'[2]$ лето'!v473-'[2]$ лето'!u473-'[2]$ лето'!t473-'[2]$ лето'!s473-'[2]$ лето'!r473-'[2]$ лето'!p473-'[2]$ лето'!o473-'[2]$ лето'!n473-'[2]$ лето'!m473-'[2]$ лето'!l473+'[2]$ лето'!k473+'[2]$ лето'!q473+'[2]$ лето'!w473+'[2]$ лето'!ac473+'[2]$ лето'!ai473+'[2]$ лето'!ao473</f>
        <v>4</v>
      </c>
      <c r="I473" s="109" t="n">
        <f aca="false">'[2]$ лето'!ay473*1.1</f>
        <v>1601.6</v>
      </c>
    </row>
    <row r="474" customFormat="false" ht="15" hidden="true" customHeight="false" outlineLevel="0" collapsed="false">
      <c r="A474" s="115" t="s">
        <v>1057</v>
      </c>
      <c r="B474" s="115" t="s">
        <v>593</v>
      </c>
      <c r="C474" s="116" t="s">
        <v>1061</v>
      </c>
      <c r="D474" s="116"/>
      <c r="E474" s="116"/>
      <c r="F474" s="116"/>
      <c r="G474" s="108"/>
      <c r="H474" s="105" t="n">
        <f aca="false">'[2]$ лето'!j474-'[2]$ лето'!au474-'[2]$ лето'!at474-'[2]$ лето'!as474-'[2]$ лето'!ar474-'[2]$ лето'!aq474-'[2]$ лето'!ap474-'[2]$ лето'!an474-'[2]$ лето'!am474-'[2]$ лето'!al474-'[2]$ лето'!ak474-'[2]$ лето'!aj474-'[2]$ лето'!ah474-'[2]$ лето'!ag474-'[2]$ лето'!af474-'[2]$ лето'!ae474-'[2]$ лето'!ad474-'[2]$ лето'!ab474-'[2]$ лето'!aa474-'[2]$ лето'!z474-'[2]$ лето'!y474-'[2]$ лето'!x474-'[2]$ лето'!v474-'[2]$ лето'!u474-'[2]$ лето'!t474-'[2]$ лето'!s474-'[2]$ лето'!r474-'[2]$ лето'!p474-'[2]$ лето'!o474-'[2]$ лето'!n474-'[2]$ лето'!m474-'[2]$ лето'!l474+'[2]$ лето'!k474+'[2]$ лето'!q474+'[2]$ лето'!w474+'[2]$ лето'!ac474+'[2]$ лето'!ai474+'[2]$ лето'!ao474</f>
        <v>0</v>
      </c>
      <c r="I474" s="109" t="n">
        <f aca="false">'[2]$ лето'!ay474*1.1</f>
        <v>2618</v>
      </c>
      <c r="J474" s="85" t="s">
        <v>1062</v>
      </c>
    </row>
    <row r="475" customFormat="false" ht="15" hidden="true" customHeight="false" outlineLevel="0" collapsed="false">
      <c r="A475" s="115" t="s">
        <v>1057</v>
      </c>
      <c r="B475" s="115" t="s">
        <v>615</v>
      </c>
      <c r="C475" s="107" t="s">
        <v>1063</v>
      </c>
      <c r="D475" s="107"/>
      <c r="E475" s="107"/>
      <c r="F475" s="107"/>
      <c r="G475" s="108"/>
      <c r="H475" s="105" t="n">
        <f aca="false">'[2]$ лето'!j475-'[2]$ лето'!au475-'[2]$ лето'!at475-'[2]$ лето'!as475-'[2]$ лето'!ar475-'[2]$ лето'!aq475-'[2]$ лето'!ap475-'[2]$ лето'!an475-'[2]$ лето'!am475-'[2]$ лето'!al475-'[2]$ лето'!ak475-'[2]$ лето'!aj475-'[2]$ лето'!ah475-'[2]$ лето'!ag475-'[2]$ лето'!af475-'[2]$ лето'!ae475-'[2]$ лето'!ad475-'[2]$ лето'!ab475-'[2]$ лето'!aa475-'[2]$ лето'!z475-'[2]$ лето'!y475-'[2]$ лето'!x475-'[2]$ лето'!v475-'[2]$ лето'!u475-'[2]$ лето'!t475-'[2]$ лето'!s475-'[2]$ лето'!r475-'[2]$ лето'!p475-'[2]$ лето'!o475-'[2]$ лето'!n475-'[2]$ лето'!m475-'[2]$ лето'!l475+'[2]$ лето'!k475+'[2]$ лето'!q475+'[2]$ лето'!w475+'[2]$ лето'!ac475+'[2]$ лето'!ai475+'[2]$ лето'!ao475</f>
        <v>0</v>
      </c>
      <c r="I475" s="109" t="n">
        <f aca="false">'[2]$ лето'!ay475*1.1</f>
        <v>1632.4</v>
      </c>
      <c r="J475" s="85" t="n">
        <v>2016</v>
      </c>
    </row>
    <row r="476" customFormat="false" ht="15" hidden="true" customHeight="false" outlineLevel="0" collapsed="false">
      <c r="A476" s="115" t="s">
        <v>1057</v>
      </c>
      <c r="B476" s="115" t="s">
        <v>615</v>
      </c>
      <c r="C476" s="107" t="s">
        <v>1064</v>
      </c>
      <c r="D476" s="107"/>
      <c r="E476" s="107"/>
      <c r="F476" s="107"/>
      <c r="G476" s="108"/>
      <c r="H476" s="105" t="n">
        <f aca="false">'[2]$ лето'!j476-'[2]$ лето'!au476-'[2]$ лето'!at476-'[2]$ лето'!as476-'[2]$ лето'!ar476-'[2]$ лето'!aq476-'[2]$ лето'!ap476-'[2]$ лето'!an476-'[2]$ лето'!am476-'[2]$ лето'!al476-'[2]$ лето'!ak476-'[2]$ лето'!aj476-'[2]$ лето'!ah476-'[2]$ лето'!ag476-'[2]$ лето'!af476-'[2]$ лето'!ae476-'[2]$ лето'!ad476-'[2]$ лето'!ab476-'[2]$ лето'!aa476-'[2]$ лето'!z476-'[2]$ лето'!y476-'[2]$ лето'!x476-'[2]$ лето'!v476-'[2]$ лето'!u476-'[2]$ лето'!t476-'[2]$ лето'!s476-'[2]$ лето'!r476-'[2]$ лето'!p476-'[2]$ лето'!o476-'[2]$ лето'!n476-'[2]$ лето'!m476-'[2]$ лето'!l476+'[2]$ лето'!k476+'[2]$ лето'!q476+'[2]$ лето'!w476+'[2]$ лето'!ac476+'[2]$ лето'!ai476+'[2]$ лето'!ao476</f>
        <v>0</v>
      </c>
      <c r="I476" s="109" t="n">
        <f aca="false">'[2]$ лето'!ay476*1.1</f>
        <v>2186.8</v>
      </c>
    </row>
    <row r="477" customFormat="false" ht="15" hidden="true" customHeight="false" outlineLevel="0" collapsed="false">
      <c r="A477" s="115" t="s">
        <v>1057</v>
      </c>
      <c r="B477" s="115" t="s">
        <v>617</v>
      </c>
      <c r="C477" s="107" t="s">
        <v>1065</v>
      </c>
      <c r="D477" s="107"/>
      <c r="E477" s="107"/>
      <c r="F477" s="107"/>
      <c r="G477" s="108" t="s">
        <v>837</v>
      </c>
      <c r="H477" s="105" t="n">
        <f aca="false">'[2]$ лето'!j477-'[2]$ лето'!au477-'[2]$ лето'!at477-'[2]$ лето'!as477-'[2]$ лето'!ar477-'[2]$ лето'!aq477-'[2]$ лето'!ap477-'[2]$ лето'!an477-'[2]$ лето'!am477-'[2]$ лето'!al477-'[2]$ лето'!ak477-'[2]$ лето'!aj477-'[2]$ лето'!ah477-'[2]$ лето'!ag477-'[2]$ лето'!af477-'[2]$ лето'!ae477-'[2]$ лето'!ad477-'[2]$ лето'!ab477-'[2]$ лето'!aa477-'[2]$ лето'!z477-'[2]$ лето'!y477-'[2]$ лето'!x477-'[2]$ лето'!v477-'[2]$ лето'!u477-'[2]$ лето'!t477-'[2]$ лето'!s477-'[2]$ лето'!r477-'[2]$ лето'!p477-'[2]$ лето'!o477-'[2]$ лето'!n477-'[2]$ лето'!m477-'[2]$ лето'!l477+'[2]$ лето'!k477+'[2]$ лето'!q477+'[2]$ лето'!w477+'[2]$ лето'!ac477+'[2]$ лето'!ai477+'[2]$ лето'!ao477</f>
        <v>0</v>
      </c>
      <c r="I477" s="109" t="n">
        <f aca="false">'[2]$ лето'!ay477*1.1</f>
        <v>1447.6</v>
      </c>
      <c r="J477" s="85" t="n">
        <v>2018</v>
      </c>
    </row>
    <row r="478" customFormat="false" ht="15" hidden="false" customHeight="false" outlineLevel="0" collapsed="false">
      <c r="A478" s="115" t="s">
        <v>1057</v>
      </c>
      <c r="B478" s="115" t="s">
        <v>564</v>
      </c>
      <c r="C478" s="107" t="s">
        <v>1066</v>
      </c>
      <c r="D478" s="107"/>
      <c r="E478" s="116"/>
      <c r="F478" s="116"/>
      <c r="G478" s="108" t="s">
        <v>520</v>
      </c>
      <c r="H478" s="105" t="n">
        <f aca="false">'[2]$ лето'!j478-'[2]$ лето'!au478-'[2]$ лето'!at478-'[2]$ лето'!as478-'[2]$ лето'!ar478-'[2]$ лето'!aq478-'[2]$ лето'!ap478-'[2]$ лето'!an478-'[2]$ лето'!am478-'[2]$ лето'!al478-'[2]$ лето'!ak478-'[2]$ лето'!aj478-'[2]$ лето'!ah478-'[2]$ лето'!ag478-'[2]$ лето'!af478-'[2]$ лето'!ae478-'[2]$ лето'!ad478-'[2]$ лето'!ab478-'[2]$ лето'!aa478-'[2]$ лето'!z478-'[2]$ лето'!y478-'[2]$ лето'!x478-'[2]$ лето'!v478-'[2]$ лето'!u478-'[2]$ лето'!t478-'[2]$ лето'!s478-'[2]$ лето'!r478-'[2]$ лето'!p478-'[2]$ лето'!o478-'[2]$ лето'!n478-'[2]$ лето'!m478-'[2]$ лето'!l478+'[2]$ лето'!k478+'[2]$ лето'!q478+'[2]$ лето'!w478+'[2]$ лето'!ac478+'[2]$ лето'!ai478+'[2]$ лето'!ao478</f>
        <v>4</v>
      </c>
      <c r="I478" s="109" t="n">
        <f aca="false">'[2]$ лето'!ay478*1.1</f>
        <v>1447.6</v>
      </c>
      <c r="J478" s="85" t="n">
        <v>2017</v>
      </c>
    </row>
    <row r="479" customFormat="false" ht="15" hidden="true" customHeight="false" outlineLevel="0" collapsed="false">
      <c r="A479" s="115" t="s">
        <v>1067</v>
      </c>
      <c r="B479" s="115" t="s">
        <v>566</v>
      </c>
      <c r="C479" s="107" t="s">
        <v>1068</v>
      </c>
      <c r="D479" s="107"/>
      <c r="E479" s="107"/>
      <c r="F479" s="107"/>
      <c r="G479" s="108" t="s">
        <v>563</v>
      </c>
      <c r="H479" s="105" t="n">
        <f aca="false">'[2]$ лето'!j479-'[2]$ лето'!au479-'[2]$ лето'!at479-'[2]$ лето'!as479-'[2]$ лето'!ar479-'[2]$ лето'!aq479-'[2]$ лето'!ap479-'[2]$ лето'!an479-'[2]$ лето'!am479-'[2]$ лето'!al479-'[2]$ лето'!ak479-'[2]$ лето'!aj479-'[2]$ лето'!ah479-'[2]$ лето'!ag479-'[2]$ лето'!af479-'[2]$ лето'!ae479-'[2]$ лето'!ad479-'[2]$ лето'!ab479-'[2]$ лето'!aa479-'[2]$ лето'!z479-'[2]$ лето'!y479-'[2]$ лето'!x479-'[2]$ лето'!v479-'[2]$ лето'!u479-'[2]$ лето'!t479-'[2]$ лето'!s479-'[2]$ лето'!r479-'[2]$ лето'!p479-'[2]$ лето'!o479-'[2]$ лето'!n479-'[2]$ лето'!m479-'[2]$ лето'!l479+'[2]$ лето'!k479+'[2]$ лето'!q479+'[2]$ лето'!w479+'[2]$ лето'!ac479+'[2]$ лето'!ai479+'[2]$ лето'!ao479</f>
        <v>0</v>
      </c>
      <c r="I479" s="109" t="n">
        <f aca="false">'[2]$ лето'!ay479*1.1</f>
        <v>1601.6</v>
      </c>
      <c r="J479" s="85" t="n">
        <v>2016</v>
      </c>
    </row>
    <row r="480" customFormat="false" ht="15" hidden="true" customHeight="false" outlineLevel="0" collapsed="false">
      <c r="A480" s="115" t="s">
        <v>1067</v>
      </c>
      <c r="B480" s="115" t="s">
        <v>586</v>
      </c>
      <c r="C480" s="107" t="s">
        <v>1069</v>
      </c>
      <c r="D480" s="107"/>
      <c r="E480" s="107"/>
      <c r="F480" s="107"/>
      <c r="G480" s="108" t="s">
        <v>520</v>
      </c>
      <c r="H480" s="105" t="n">
        <f aca="false">'[2]$ лето'!j480-'[2]$ лето'!au480-'[2]$ лето'!at480-'[2]$ лето'!as480-'[2]$ лето'!ar480-'[2]$ лето'!aq480-'[2]$ лето'!ap480-'[2]$ лето'!an480-'[2]$ лето'!am480-'[2]$ лето'!al480-'[2]$ лето'!ak480-'[2]$ лето'!aj480-'[2]$ лето'!ah480-'[2]$ лето'!ag480-'[2]$ лето'!af480-'[2]$ лето'!ae480-'[2]$ лето'!ad480-'[2]$ лето'!ab480-'[2]$ лето'!aa480-'[2]$ лето'!z480-'[2]$ лето'!y480-'[2]$ лето'!x480-'[2]$ лето'!v480-'[2]$ лето'!u480-'[2]$ лето'!t480-'[2]$ лето'!s480-'[2]$ лето'!r480-'[2]$ лето'!p480-'[2]$ лето'!o480-'[2]$ лето'!n480-'[2]$ лето'!m480-'[2]$ лето'!l480+'[2]$ лето'!k480+'[2]$ лето'!q480+'[2]$ лето'!w480+'[2]$ лето'!ac480+'[2]$ лето'!ai480+'[2]$ лето'!ao480</f>
        <v>0</v>
      </c>
      <c r="I480" s="109" t="n">
        <f aca="false">'[2]$ лето'!ay480*1.1</f>
        <v>1293.6</v>
      </c>
    </row>
    <row r="481" customFormat="false" ht="15" hidden="false" customHeight="false" outlineLevel="0" collapsed="false">
      <c r="A481" s="115" t="s">
        <v>1067</v>
      </c>
      <c r="B481" s="115" t="s">
        <v>621</v>
      </c>
      <c r="C481" s="107" t="s">
        <v>1070</v>
      </c>
      <c r="D481" s="107"/>
      <c r="E481" s="116"/>
      <c r="F481" s="116"/>
      <c r="G481" s="108" t="s">
        <v>520</v>
      </c>
      <c r="H481" s="105" t="n">
        <f aca="false">'[2]$ лето'!j481-'[2]$ лето'!au481-'[2]$ лето'!at481-'[2]$ лето'!as481-'[2]$ лето'!ar481-'[2]$ лето'!aq481-'[2]$ лето'!ap481-'[2]$ лето'!an481-'[2]$ лето'!am481-'[2]$ лето'!al481-'[2]$ лето'!ak481-'[2]$ лето'!aj481-'[2]$ лето'!ah481-'[2]$ лето'!ag481-'[2]$ лето'!af481-'[2]$ лето'!ae481-'[2]$ лето'!ad481-'[2]$ лето'!ab481-'[2]$ лето'!aa481-'[2]$ лето'!z481-'[2]$ лето'!y481-'[2]$ лето'!x481-'[2]$ лето'!v481-'[2]$ лето'!u481-'[2]$ лето'!t481-'[2]$ лето'!s481-'[2]$ лето'!r481-'[2]$ лето'!p481-'[2]$ лето'!o481-'[2]$ лето'!n481-'[2]$ лето'!m481-'[2]$ лето'!l481+'[2]$ лето'!k481+'[2]$ лето'!q481+'[2]$ лето'!w481+'[2]$ лето'!ac481+'[2]$ лето'!ai481+'[2]$ лето'!ao481</f>
        <v>8</v>
      </c>
      <c r="I481" s="109" t="n">
        <f aca="false">'[2]$ лето'!ay481*1.1</f>
        <v>1386</v>
      </c>
    </row>
    <row r="482" customFormat="false" ht="15" hidden="false" customHeight="false" outlineLevel="0" collapsed="false">
      <c r="A482" s="115" t="s">
        <v>1067</v>
      </c>
      <c r="B482" s="115" t="s">
        <v>564</v>
      </c>
      <c r="C482" s="107" t="s">
        <v>1071</v>
      </c>
      <c r="D482" s="107"/>
      <c r="E482" s="116"/>
      <c r="F482" s="116"/>
      <c r="G482" s="108" t="s">
        <v>520</v>
      </c>
      <c r="H482" s="105" t="n">
        <f aca="false">'[2]$ лето'!j482-'[2]$ лето'!au482-'[2]$ лето'!at482-'[2]$ лето'!as482-'[2]$ лето'!ar482-'[2]$ лето'!aq482-'[2]$ лето'!ap482-'[2]$ лето'!an482-'[2]$ лето'!am482-'[2]$ лето'!al482-'[2]$ лето'!ak482-'[2]$ лето'!aj482-'[2]$ лето'!ah482-'[2]$ лето'!ag482-'[2]$ лето'!af482-'[2]$ лето'!ae482-'[2]$ лето'!ad482-'[2]$ лето'!ab482-'[2]$ лето'!aa482-'[2]$ лето'!z482-'[2]$ лето'!y482-'[2]$ лето'!x482-'[2]$ лето'!v482-'[2]$ лето'!u482-'[2]$ лето'!t482-'[2]$ лето'!s482-'[2]$ лето'!r482-'[2]$ лето'!p482-'[2]$ лето'!o482-'[2]$ лето'!n482-'[2]$ лето'!m482-'[2]$ лето'!l482+'[2]$ лето'!k482+'[2]$ лето'!q482+'[2]$ лето'!w482+'[2]$ лето'!ac482+'[2]$ лето'!ai482+'[2]$ лето'!ao482</f>
        <v>12</v>
      </c>
      <c r="I482" s="109" t="n">
        <f aca="false">'[2]$ лето'!ay482*1.1</f>
        <v>1478.4</v>
      </c>
      <c r="J482" s="85" t="n">
        <v>2017</v>
      </c>
    </row>
    <row r="483" customFormat="false" ht="15" hidden="true" customHeight="false" outlineLevel="0" collapsed="false">
      <c r="A483" s="115" t="s">
        <v>203</v>
      </c>
      <c r="B483" s="115" t="s">
        <v>844</v>
      </c>
      <c r="C483" s="107" t="s">
        <v>1072</v>
      </c>
      <c r="D483" s="107"/>
      <c r="E483" s="107"/>
      <c r="F483" s="107"/>
      <c r="G483" s="108"/>
      <c r="H483" s="105" t="n">
        <f aca="false">'[2]$ лето'!j483-'[2]$ лето'!au483-'[2]$ лето'!at483-'[2]$ лето'!as483-'[2]$ лето'!ar483-'[2]$ лето'!aq483-'[2]$ лето'!ap483-'[2]$ лето'!an483-'[2]$ лето'!am483-'[2]$ лето'!al483-'[2]$ лето'!ak483-'[2]$ лето'!aj483-'[2]$ лето'!ah483-'[2]$ лето'!ag483-'[2]$ лето'!af483-'[2]$ лето'!ae483-'[2]$ лето'!ad483-'[2]$ лето'!ab483-'[2]$ лето'!aa483-'[2]$ лето'!z483-'[2]$ лето'!y483-'[2]$ лето'!x483-'[2]$ лето'!v483-'[2]$ лето'!u483-'[2]$ лето'!t483-'[2]$ лето'!s483-'[2]$ лето'!r483-'[2]$ лето'!p483-'[2]$ лето'!o483-'[2]$ лето'!n483-'[2]$ лето'!m483-'[2]$ лето'!l483+'[2]$ лето'!k483+'[2]$ лето'!q483+'[2]$ лето'!w483+'[2]$ лето'!ac483+'[2]$ лето'!ai483+'[2]$ лето'!ao483</f>
        <v>0</v>
      </c>
      <c r="I483" s="109" t="n">
        <f aca="false">'[2]$ лето'!ay483*1.1</f>
        <v>3850</v>
      </c>
    </row>
    <row r="484" customFormat="false" ht="15" hidden="true" customHeight="false" outlineLevel="0" collapsed="false">
      <c r="A484" s="115" t="s">
        <v>1073</v>
      </c>
      <c r="B484" s="115" t="s">
        <v>568</v>
      </c>
      <c r="C484" s="107" t="s">
        <v>1074</v>
      </c>
      <c r="D484" s="107"/>
      <c r="E484" s="107"/>
      <c r="F484" s="107"/>
      <c r="G484" s="108"/>
      <c r="H484" s="105" t="n">
        <f aca="false">'[2]$ лето'!j484-'[2]$ лето'!au484-'[2]$ лето'!at484-'[2]$ лето'!as484-'[2]$ лето'!ar484-'[2]$ лето'!aq484-'[2]$ лето'!ap484-'[2]$ лето'!an484-'[2]$ лето'!am484-'[2]$ лето'!al484-'[2]$ лето'!ak484-'[2]$ лето'!aj484-'[2]$ лето'!ah484-'[2]$ лето'!ag484-'[2]$ лето'!af484-'[2]$ лето'!ae484-'[2]$ лето'!ad484-'[2]$ лето'!ab484-'[2]$ лето'!aa484-'[2]$ лето'!z484-'[2]$ лето'!y484-'[2]$ лето'!x484-'[2]$ лето'!v484-'[2]$ лето'!u484-'[2]$ лето'!t484-'[2]$ лето'!s484-'[2]$ лето'!r484-'[2]$ лето'!p484-'[2]$ лето'!o484-'[2]$ лето'!n484-'[2]$ лето'!m484-'[2]$ лето'!l484+'[2]$ лето'!k484+'[2]$ лето'!q484+'[2]$ лето'!w484+'[2]$ лето'!ac484+'[2]$ лето'!ai484+'[2]$ лето'!ao484</f>
        <v>0</v>
      </c>
      <c r="I484" s="109" t="n">
        <f aca="false">'[2]$ лето'!ay484*1.1</f>
        <v>1694</v>
      </c>
      <c r="J484" s="85" t="s">
        <v>1075</v>
      </c>
    </row>
    <row r="485" customFormat="false" ht="15" hidden="false" customHeight="false" outlineLevel="0" collapsed="false">
      <c r="A485" s="115" t="s">
        <v>1073</v>
      </c>
      <c r="B485" s="115" t="s">
        <v>574</v>
      </c>
      <c r="C485" s="107" t="s">
        <v>1076</v>
      </c>
      <c r="D485" s="107"/>
      <c r="E485" s="116"/>
      <c r="F485" s="116"/>
      <c r="G485" s="108" t="s">
        <v>576</v>
      </c>
      <c r="H485" s="105" t="n">
        <f aca="false">'[2]$ лето'!j485-'[2]$ лето'!au485-'[2]$ лето'!at485-'[2]$ лето'!as485-'[2]$ лето'!ar485-'[2]$ лето'!aq485-'[2]$ лето'!ap485-'[2]$ лето'!an485-'[2]$ лето'!am485-'[2]$ лето'!al485-'[2]$ лето'!ak485-'[2]$ лето'!aj485-'[2]$ лето'!ah485-'[2]$ лето'!ag485-'[2]$ лето'!af485-'[2]$ лето'!ae485-'[2]$ лето'!ad485-'[2]$ лето'!ab485-'[2]$ лето'!aa485-'[2]$ лето'!z485-'[2]$ лето'!y485-'[2]$ лето'!x485-'[2]$ лето'!v485-'[2]$ лето'!u485-'[2]$ лето'!t485-'[2]$ лето'!s485-'[2]$ лето'!r485-'[2]$ лето'!p485-'[2]$ лето'!o485-'[2]$ лето'!n485-'[2]$ лето'!m485-'[2]$ лето'!l485+'[2]$ лето'!k485+'[2]$ лето'!q485+'[2]$ лето'!w485+'[2]$ лето'!ac485+'[2]$ лето'!ai485+'[2]$ лето'!ao485</f>
        <v>4</v>
      </c>
      <c r="I485" s="109" t="n">
        <f aca="false">'[2]$ лето'!ay485*1.1</f>
        <v>1905.64</v>
      </c>
    </row>
    <row r="486" customFormat="false" ht="15" hidden="false" customHeight="false" outlineLevel="0" collapsed="false">
      <c r="A486" s="115" t="s">
        <v>1073</v>
      </c>
      <c r="B486" s="115" t="s">
        <v>725</v>
      </c>
      <c r="C486" s="116" t="s">
        <v>1077</v>
      </c>
      <c r="D486" s="116"/>
      <c r="E486" s="116"/>
      <c r="F486" s="116"/>
      <c r="G486" s="108"/>
      <c r="H486" s="105" t="n">
        <f aca="false">'[2]$ лето'!j486-'[2]$ лето'!au486-'[2]$ лето'!at486-'[2]$ лето'!as486-'[2]$ лето'!ar486-'[2]$ лето'!aq486-'[2]$ лето'!ap486-'[2]$ лето'!an486-'[2]$ лето'!am486-'[2]$ лето'!al486-'[2]$ лето'!ak486-'[2]$ лето'!aj486-'[2]$ лето'!ah486-'[2]$ лето'!ag486-'[2]$ лето'!af486-'[2]$ лето'!ae486-'[2]$ лето'!ad486-'[2]$ лето'!ab486-'[2]$ лето'!aa486-'[2]$ лето'!z486-'[2]$ лето'!y486-'[2]$ лето'!x486-'[2]$ лето'!v486-'[2]$ лето'!u486-'[2]$ лето'!t486-'[2]$ лето'!s486-'[2]$ лето'!r486-'[2]$ лето'!p486-'[2]$ лето'!o486-'[2]$ лето'!n486-'[2]$ лето'!m486-'[2]$ лето'!l486+'[2]$ лето'!k486+'[2]$ лето'!q486+'[2]$ лето'!w486+'[2]$ лето'!ac486+'[2]$ лето'!ai486+'[2]$ лето'!ao486</f>
        <v>2</v>
      </c>
      <c r="I486" s="109" t="n">
        <f aca="false">'[2]$ лето'!ay486*1.1</f>
        <v>1540</v>
      </c>
    </row>
    <row r="487" customFormat="false" ht="15" hidden="false" customHeight="false" outlineLevel="0" collapsed="false">
      <c r="A487" s="115" t="s">
        <v>1078</v>
      </c>
      <c r="B487" s="115" t="s">
        <v>577</v>
      </c>
      <c r="C487" s="116" t="s">
        <v>1079</v>
      </c>
      <c r="D487" s="116"/>
      <c r="E487" s="116"/>
      <c r="F487" s="116"/>
      <c r="G487" s="108" t="s">
        <v>563</v>
      </c>
      <c r="H487" s="105" t="n">
        <f aca="false">'[2]$ лето'!j487-'[2]$ лето'!au487-'[2]$ лето'!at487-'[2]$ лето'!as487-'[2]$ лето'!ar487-'[2]$ лето'!aq487-'[2]$ лето'!ap487-'[2]$ лето'!an487-'[2]$ лето'!am487-'[2]$ лето'!al487-'[2]$ лето'!ak487-'[2]$ лето'!aj487-'[2]$ лето'!ah487-'[2]$ лето'!ag487-'[2]$ лето'!af487-'[2]$ лето'!ae487-'[2]$ лето'!ad487-'[2]$ лето'!ab487-'[2]$ лето'!aa487-'[2]$ лето'!z487-'[2]$ лето'!y487-'[2]$ лето'!x487-'[2]$ лето'!v487-'[2]$ лето'!u487-'[2]$ лето'!t487-'[2]$ лето'!s487-'[2]$ лето'!r487-'[2]$ лето'!p487-'[2]$ лето'!o487-'[2]$ лето'!n487-'[2]$ лето'!m487-'[2]$ лето'!l487+'[2]$ лето'!k487+'[2]$ лето'!q487+'[2]$ лето'!w487+'[2]$ лето'!ac487+'[2]$ лето'!ai487+'[2]$ лето'!ao487</f>
        <v>8</v>
      </c>
      <c r="I487" s="109" t="n">
        <f aca="false">'[2]$ лето'!ay487*1.1</f>
        <v>880</v>
      </c>
    </row>
    <row r="488" customFormat="false" ht="15" hidden="true" customHeight="false" outlineLevel="0" collapsed="false">
      <c r="A488" s="115" t="s">
        <v>1078</v>
      </c>
      <c r="B488" s="115" t="s">
        <v>593</v>
      </c>
      <c r="C488" s="116" t="s">
        <v>1080</v>
      </c>
      <c r="D488" s="116"/>
      <c r="E488" s="116"/>
      <c r="F488" s="116"/>
      <c r="G488" s="108"/>
      <c r="H488" s="105" t="n">
        <f aca="false">'[2]$ лето'!j488-'[2]$ лето'!au488-'[2]$ лето'!at488-'[2]$ лето'!as488-'[2]$ лето'!ar488-'[2]$ лето'!aq488-'[2]$ лето'!ap488-'[2]$ лето'!an488-'[2]$ лето'!am488-'[2]$ лето'!al488-'[2]$ лето'!ak488-'[2]$ лето'!aj488-'[2]$ лето'!ah488-'[2]$ лето'!ag488-'[2]$ лето'!af488-'[2]$ лето'!ae488-'[2]$ лето'!ad488-'[2]$ лето'!ab488-'[2]$ лето'!aa488-'[2]$ лето'!z488-'[2]$ лето'!y488-'[2]$ лето'!x488-'[2]$ лето'!v488-'[2]$ лето'!u488-'[2]$ лето'!t488-'[2]$ лето'!s488-'[2]$ лето'!r488-'[2]$ лето'!p488-'[2]$ лето'!o488-'[2]$ лето'!n488-'[2]$ лето'!m488-'[2]$ лето'!l488+'[2]$ лето'!k488+'[2]$ лето'!q488+'[2]$ лето'!w488+'[2]$ лето'!ac488+'[2]$ лето'!ai488+'[2]$ лето'!ao488</f>
        <v>0</v>
      </c>
      <c r="I488" s="109" t="n">
        <f aca="false">'[2]$ лето'!ay488*1.1</f>
        <v>2156</v>
      </c>
    </row>
    <row r="489" customFormat="false" ht="15" hidden="true" customHeight="false" outlineLevel="0" collapsed="false">
      <c r="A489" s="115" t="s">
        <v>1081</v>
      </c>
      <c r="B489" s="115" t="s">
        <v>593</v>
      </c>
      <c r="C489" s="107" t="s">
        <v>1082</v>
      </c>
      <c r="D489" s="107"/>
      <c r="E489" s="107"/>
      <c r="F489" s="107"/>
      <c r="G489" s="108"/>
      <c r="H489" s="105" t="n">
        <f aca="false">'[2]$ лето'!j489-'[2]$ лето'!au489-'[2]$ лето'!at489-'[2]$ лето'!as489-'[2]$ лето'!ar489-'[2]$ лето'!aq489-'[2]$ лето'!ap489-'[2]$ лето'!an489-'[2]$ лето'!am489-'[2]$ лето'!al489-'[2]$ лето'!ak489-'[2]$ лето'!aj489-'[2]$ лето'!ah489-'[2]$ лето'!ag489-'[2]$ лето'!af489-'[2]$ лето'!ae489-'[2]$ лето'!ad489-'[2]$ лето'!ab489-'[2]$ лето'!aa489-'[2]$ лето'!z489-'[2]$ лето'!y489-'[2]$ лето'!x489-'[2]$ лето'!v489-'[2]$ лето'!u489-'[2]$ лето'!t489-'[2]$ лето'!s489-'[2]$ лето'!r489-'[2]$ лето'!p489-'[2]$ лето'!o489-'[2]$ лето'!n489-'[2]$ лето'!m489-'[2]$ лето'!l489+'[2]$ лето'!k489+'[2]$ лето'!q489+'[2]$ лето'!w489+'[2]$ лето'!ac489+'[2]$ лето'!ai489+'[2]$ лето'!ao489</f>
        <v>0</v>
      </c>
      <c r="I489" s="109" t="n">
        <f aca="false">'[2]$ лето'!ay489*1.1</f>
        <v>2618</v>
      </c>
      <c r="J489" s="113"/>
    </row>
    <row r="490" customFormat="false" ht="15" hidden="true" customHeight="false" outlineLevel="0" collapsed="false">
      <c r="A490" s="115" t="s">
        <v>1081</v>
      </c>
      <c r="B490" s="115" t="s">
        <v>668</v>
      </c>
      <c r="C490" s="116" t="s">
        <v>1083</v>
      </c>
      <c r="D490" s="116"/>
      <c r="E490" s="116"/>
      <c r="F490" s="116"/>
      <c r="G490" s="108" t="s">
        <v>609</v>
      </c>
      <c r="H490" s="105" t="n">
        <f aca="false">'[2]$ лето'!j490-'[2]$ лето'!au490-'[2]$ лето'!at490-'[2]$ лето'!as490-'[2]$ лето'!ar490-'[2]$ лето'!aq490-'[2]$ лето'!ap490-'[2]$ лето'!an490-'[2]$ лето'!am490-'[2]$ лето'!al490-'[2]$ лето'!ak490-'[2]$ лето'!aj490-'[2]$ лето'!ah490-'[2]$ лето'!ag490-'[2]$ лето'!af490-'[2]$ лето'!ae490-'[2]$ лето'!ad490-'[2]$ лето'!ab490-'[2]$ лето'!aa490-'[2]$ лето'!z490-'[2]$ лето'!y490-'[2]$ лето'!x490-'[2]$ лето'!v490-'[2]$ лето'!u490-'[2]$ лето'!t490-'[2]$ лето'!s490-'[2]$ лето'!r490-'[2]$ лето'!p490-'[2]$ лето'!o490-'[2]$ лето'!n490-'[2]$ лето'!m490-'[2]$ лето'!l490+'[2]$ лето'!k490+'[2]$ лето'!q490+'[2]$ лето'!w490+'[2]$ лето'!ac490+'[2]$ лето'!ai490+'[2]$ лето'!ao490</f>
        <v>0</v>
      </c>
      <c r="I490" s="109" t="n">
        <f aca="false">'[2]$ лето'!ay490*1.1</f>
        <v>2156</v>
      </c>
      <c r="J490" s="113"/>
    </row>
    <row r="491" customFormat="false" ht="15" hidden="true" customHeight="false" outlineLevel="0" collapsed="false">
      <c r="A491" s="115" t="s">
        <v>206</v>
      </c>
      <c r="B491" s="115" t="s">
        <v>844</v>
      </c>
      <c r="C491" s="116" t="s">
        <v>1084</v>
      </c>
      <c r="D491" s="116"/>
      <c r="E491" s="116"/>
      <c r="F491" s="116"/>
      <c r="G491" s="108"/>
      <c r="H491" s="105" t="n">
        <f aca="false">'[2]$ лето'!j491-'[2]$ лето'!au491-'[2]$ лето'!at491-'[2]$ лето'!as491-'[2]$ лето'!ar491-'[2]$ лето'!aq491-'[2]$ лето'!ap491-'[2]$ лето'!an491-'[2]$ лето'!am491-'[2]$ лето'!al491-'[2]$ лето'!ak491-'[2]$ лето'!aj491-'[2]$ лето'!ah491-'[2]$ лето'!ag491-'[2]$ лето'!af491-'[2]$ лето'!ae491-'[2]$ лето'!ad491-'[2]$ лето'!ab491-'[2]$ лето'!aa491-'[2]$ лето'!z491-'[2]$ лето'!y491-'[2]$ лето'!x491-'[2]$ лето'!v491-'[2]$ лето'!u491-'[2]$ лето'!t491-'[2]$ лето'!s491-'[2]$ лето'!r491-'[2]$ лето'!p491-'[2]$ лето'!o491-'[2]$ лето'!n491-'[2]$ лето'!m491-'[2]$ лето'!l491+'[2]$ лето'!k491+'[2]$ лето'!q491+'[2]$ лето'!w491+'[2]$ лето'!ac491+'[2]$ лето'!ai491+'[2]$ лето'!ao491</f>
        <v>0</v>
      </c>
      <c r="I491" s="109" t="n">
        <f aca="false">'[2]$ лето'!ay491*1.1</f>
        <v>3449.6</v>
      </c>
      <c r="J491" s="113"/>
    </row>
    <row r="492" customFormat="false" ht="15" hidden="true" customHeight="false" outlineLevel="0" collapsed="false">
      <c r="A492" s="115" t="s">
        <v>206</v>
      </c>
      <c r="B492" s="115" t="s">
        <v>606</v>
      </c>
      <c r="C492" s="107" t="s">
        <v>1085</v>
      </c>
      <c r="D492" s="107"/>
      <c r="E492" s="107"/>
      <c r="F492" s="107"/>
      <c r="G492" s="108"/>
      <c r="H492" s="105" t="n">
        <f aca="false">'[2]$ лето'!j492-'[2]$ лето'!au492-'[2]$ лето'!at492-'[2]$ лето'!as492-'[2]$ лето'!ar492-'[2]$ лето'!aq492-'[2]$ лето'!ap492-'[2]$ лето'!an492-'[2]$ лето'!am492-'[2]$ лето'!al492-'[2]$ лето'!ak492-'[2]$ лето'!aj492-'[2]$ лето'!ah492-'[2]$ лето'!ag492-'[2]$ лето'!af492-'[2]$ лето'!ae492-'[2]$ лето'!ad492-'[2]$ лето'!ab492-'[2]$ лето'!aa492-'[2]$ лето'!z492-'[2]$ лето'!y492-'[2]$ лето'!x492-'[2]$ лето'!v492-'[2]$ лето'!u492-'[2]$ лето'!t492-'[2]$ лето'!s492-'[2]$ лето'!r492-'[2]$ лето'!p492-'[2]$ лето'!o492-'[2]$ лето'!n492-'[2]$ лето'!m492-'[2]$ лето'!l492+'[2]$ лето'!k492+'[2]$ лето'!q492+'[2]$ лето'!w492+'[2]$ лето'!ac492+'[2]$ лето'!ai492+'[2]$ лето'!ao492</f>
        <v>0</v>
      </c>
      <c r="I492" s="109" t="n">
        <f aca="false">'[2]$ лето'!ay492*1.1</f>
        <v>0</v>
      </c>
      <c r="J492" s="113"/>
    </row>
    <row r="493" customFormat="false" ht="15" hidden="true" customHeight="false" outlineLevel="0" collapsed="false">
      <c r="A493" s="115" t="s">
        <v>206</v>
      </c>
      <c r="B493" s="115" t="s">
        <v>574</v>
      </c>
      <c r="C493" s="107" t="s">
        <v>1086</v>
      </c>
      <c r="D493" s="107"/>
      <c r="E493" s="107"/>
      <c r="F493" s="107"/>
      <c r="G493" s="108" t="s">
        <v>576</v>
      </c>
      <c r="H493" s="105" t="n">
        <f aca="false">'[2]$ лето'!j493-'[2]$ лето'!au493-'[2]$ лето'!at493-'[2]$ лето'!as493-'[2]$ лето'!ar493-'[2]$ лето'!aq493-'[2]$ лето'!ap493-'[2]$ лето'!an493-'[2]$ лето'!am493-'[2]$ лето'!al493-'[2]$ лето'!ak493-'[2]$ лето'!aj493-'[2]$ лето'!ah493-'[2]$ лето'!ag493-'[2]$ лето'!af493-'[2]$ лето'!ae493-'[2]$ лето'!ad493-'[2]$ лето'!ab493-'[2]$ лето'!aa493-'[2]$ лето'!z493-'[2]$ лето'!y493-'[2]$ лето'!x493-'[2]$ лето'!v493-'[2]$ лето'!u493-'[2]$ лето'!t493-'[2]$ лето'!s493-'[2]$ лето'!r493-'[2]$ лето'!p493-'[2]$ лето'!o493-'[2]$ лето'!n493-'[2]$ лето'!m493-'[2]$ лето'!l493+'[2]$ лето'!k493+'[2]$ лето'!q493+'[2]$ лето'!w493+'[2]$ лето'!ac493+'[2]$ лето'!ai493+'[2]$ лето'!ao493</f>
        <v>0</v>
      </c>
      <c r="I493" s="109" t="n">
        <f aca="false">'[2]$ лето'!ay493*1.1</f>
        <v>2895.2</v>
      </c>
      <c r="J493" s="113"/>
    </row>
    <row r="494" customFormat="false" ht="15" hidden="false" customHeight="false" outlineLevel="0" collapsed="false">
      <c r="A494" s="115" t="s">
        <v>206</v>
      </c>
      <c r="B494" s="115" t="s">
        <v>583</v>
      </c>
      <c r="C494" s="107" t="s">
        <v>1087</v>
      </c>
      <c r="D494" s="107"/>
      <c r="E494" s="116"/>
      <c r="F494" s="116"/>
      <c r="G494" s="108"/>
      <c r="H494" s="105" t="n">
        <f aca="false">'[2]$ лето'!j494-'[2]$ лето'!au494-'[2]$ лето'!at494-'[2]$ лето'!as494-'[2]$ лето'!ar494-'[2]$ лето'!aq494-'[2]$ лето'!ap494-'[2]$ лето'!an494-'[2]$ лето'!am494-'[2]$ лето'!al494-'[2]$ лето'!ak494-'[2]$ лето'!aj494-'[2]$ лето'!ah494-'[2]$ лето'!ag494-'[2]$ лето'!af494-'[2]$ лето'!ae494-'[2]$ лето'!ad494-'[2]$ лето'!ab494-'[2]$ лето'!aa494-'[2]$ лето'!z494-'[2]$ лето'!y494-'[2]$ лето'!x494-'[2]$ лето'!v494-'[2]$ лето'!u494-'[2]$ лето'!t494-'[2]$ лето'!s494-'[2]$ лето'!r494-'[2]$ лето'!p494-'[2]$ лето'!o494-'[2]$ лето'!n494-'[2]$ лето'!m494-'[2]$ лето'!l494+'[2]$ лето'!k494+'[2]$ лето'!q494+'[2]$ лето'!w494+'[2]$ лето'!ac494+'[2]$ лето'!ai494+'[2]$ лето'!ao494</f>
        <v>4</v>
      </c>
      <c r="I494" s="109" t="n">
        <f aca="false">'[2]$ лето'!ay494*1.1</f>
        <v>2156</v>
      </c>
      <c r="J494" s="113"/>
    </row>
    <row r="495" customFormat="false" ht="15" hidden="true" customHeight="false" outlineLevel="0" collapsed="false">
      <c r="A495" s="115" t="s">
        <v>206</v>
      </c>
      <c r="B495" s="115" t="s">
        <v>593</v>
      </c>
      <c r="C495" s="107" t="s">
        <v>1082</v>
      </c>
      <c r="D495" s="107"/>
      <c r="E495" s="107"/>
      <c r="F495" s="107"/>
      <c r="G495" s="108"/>
      <c r="H495" s="105" t="n">
        <f aca="false">'[2]$ лето'!j495-'[2]$ лето'!au495-'[2]$ лето'!at495-'[2]$ лето'!as495-'[2]$ лето'!ar495-'[2]$ лето'!aq495-'[2]$ лето'!ap495-'[2]$ лето'!an495-'[2]$ лето'!am495-'[2]$ лето'!al495-'[2]$ лето'!ak495-'[2]$ лето'!aj495-'[2]$ лето'!ah495-'[2]$ лето'!ag495-'[2]$ лето'!af495-'[2]$ лето'!ae495-'[2]$ лето'!ad495-'[2]$ лето'!ab495-'[2]$ лето'!aa495-'[2]$ лето'!z495-'[2]$ лето'!y495-'[2]$ лето'!x495-'[2]$ лето'!v495-'[2]$ лето'!u495-'[2]$ лето'!t495-'[2]$ лето'!s495-'[2]$ лето'!r495-'[2]$ лето'!p495-'[2]$ лето'!o495-'[2]$ лето'!n495-'[2]$ лето'!m495-'[2]$ лето'!l495+'[2]$ лето'!k495+'[2]$ лето'!q495+'[2]$ лето'!w495+'[2]$ лето'!ac495+'[2]$ лето'!ai495+'[2]$ лето'!ao495</f>
        <v>0</v>
      </c>
      <c r="I495" s="109" t="n">
        <f aca="false">'[2]$ лето'!ay495*1.1</f>
        <v>2833.6</v>
      </c>
    </row>
    <row r="496" customFormat="false" ht="15" hidden="false" customHeight="false" outlineLevel="0" collapsed="false">
      <c r="A496" s="115" t="s">
        <v>206</v>
      </c>
      <c r="B496" s="115" t="s">
        <v>586</v>
      </c>
      <c r="C496" s="107" t="s">
        <v>1088</v>
      </c>
      <c r="D496" s="107"/>
      <c r="E496" s="116"/>
      <c r="F496" s="116"/>
      <c r="G496" s="108" t="s">
        <v>520</v>
      </c>
      <c r="H496" s="105" t="n">
        <f aca="false">'[2]$ лето'!j496-'[2]$ лето'!au496-'[2]$ лето'!at496-'[2]$ лето'!as496-'[2]$ лето'!ar496-'[2]$ лето'!aq496-'[2]$ лето'!ap496-'[2]$ лето'!an496-'[2]$ лето'!am496-'[2]$ лето'!al496-'[2]$ лето'!ak496-'[2]$ лето'!aj496-'[2]$ лето'!ah496-'[2]$ лето'!ag496-'[2]$ лето'!af496-'[2]$ лето'!ae496-'[2]$ лето'!ad496-'[2]$ лето'!ab496-'[2]$ лето'!aa496-'[2]$ лето'!z496-'[2]$ лето'!y496-'[2]$ лето'!x496-'[2]$ лето'!v496-'[2]$ лето'!u496-'[2]$ лето'!t496-'[2]$ лето'!s496-'[2]$ лето'!r496-'[2]$ лето'!p496-'[2]$ лето'!o496-'[2]$ лето'!n496-'[2]$ лето'!m496-'[2]$ лето'!l496+'[2]$ лето'!k496+'[2]$ лето'!q496+'[2]$ лето'!w496+'[2]$ лето'!ac496+'[2]$ лето'!ai496+'[2]$ лето'!ao496</f>
        <v>4</v>
      </c>
      <c r="I496" s="109" t="n">
        <f aca="false">'[2]$ лето'!ay496*1.1</f>
        <v>1601.6</v>
      </c>
    </row>
    <row r="497" customFormat="false" ht="15" hidden="false" customHeight="false" outlineLevel="0" collapsed="false">
      <c r="A497" s="115" t="s">
        <v>206</v>
      </c>
      <c r="B497" s="115" t="s">
        <v>621</v>
      </c>
      <c r="C497" s="107" t="s">
        <v>1089</v>
      </c>
      <c r="D497" s="107"/>
      <c r="E497" s="116"/>
      <c r="F497" s="116"/>
      <c r="G497" s="108" t="s">
        <v>520</v>
      </c>
      <c r="H497" s="105" t="n">
        <f aca="false">'[2]$ лето'!j497-'[2]$ лето'!au497-'[2]$ лето'!at497-'[2]$ лето'!as497-'[2]$ лето'!ar497-'[2]$ лето'!aq497-'[2]$ лето'!ap497-'[2]$ лето'!an497-'[2]$ лето'!am497-'[2]$ лето'!al497-'[2]$ лето'!ak497-'[2]$ лето'!aj497-'[2]$ лето'!ah497-'[2]$ лето'!ag497-'[2]$ лето'!af497-'[2]$ лето'!ae497-'[2]$ лето'!ad497-'[2]$ лето'!ab497-'[2]$ лето'!aa497-'[2]$ лето'!z497-'[2]$ лето'!y497-'[2]$ лето'!x497-'[2]$ лето'!v497-'[2]$ лето'!u497-'[2]$ лето'!t497-'[2]$ лето'!s497-'[2]$ лето'!r497-'[2]$ лето'!p497-'[2]$ лето'!o497-'[2]$ лето'!n497-'[2]$ лето'!m497-'[2]$ лето'!l497+'[2]$ лето'!k497+'[2]$ лето'!q497+'[2]$ лето'!w497+'[2]$ лето'!ac497+'[2]$ лето'!ai497+'[2]$ лето'!ao497</f>
        <v>4</v>
      </c>
      <c r="I497" s="109" t="n">
        <f aca="false">'[2]$ лето'!ay497*1.1</f>
        <v>2032.8</v>
      </c>
    </row>
    <row r="498" customFormat="false" ht="15" hidden="false" customHeight="false" outlineLevel="0" collapsed="false">
      <c r="A498" s="115" t="s">
        <v>1090</v>
      </c>
      <c r="B498" s="115" t="s">
        <v>583</v>
      </c>
      <c r="C498" s="107" t="s">
        <v>1091</v>
      </c>
      <c r="D498" s="107"/>
      <c r="E498" s="116"/>
      <c r="F498" s="116"/>
      <c r="G498" s="108" t="s">
        <v>640</v>
      </c>
      <c r="H498" s="105" t="n">
        <f aca="false">'[2]$ лето'!j498-'[2]$ лето'!au498-'[2]$ лето'!at498-'[2]$ лето'!as498-'[2]$ лето'!ar498-'[2]$ лето'!aq498-'[2]$ лето'!ap498-'[2]$ лето'!an498-'[2]$ лето'!am498-'[2]$ лето'!al498-'[2]$ лето'!ak498-'[2]$ лето'!aj498-'[2]$ лето'!ah498-'[2]$ лето'!ag498-'[2]$ лето'!af498-'[2]$ лето'!ae498-'[2]$ лето'!ad498-'[2]$ лето'!ab498-'[2]$ лето'!aa498-'[2]$ лето'!z498-'[2]$ лето'!y498-'[2]$ лето'!x498-'[2]$ лето'!v498-'[2]$ лето'!u498-'[2]$ лето'!t498-'[2]$ лето'!s498-'[2]$ лето'!r498-'[2]$ лето'!p498-'[2]$ лето'!o498-'[2]$ лето'!n498-'[2]$ лето'!m498-'[2]$ лето'!l498+'[2]$ лето'!k498+'[2]$ лето'!q498+'[2]$ лето'!w498+'[2]$ лето'!ac498+'[2]$ лето'!ai498+'[2]$ лето'!ao498</f>
        <v>4</v>
      </c>
      <c r="I498" s="109" t="n">
        <f aca="false">'[2]$ лето'!ay498*1.1</f>
        <v>2556.4</v>
      </c>
      <c r="J498" s="85" t="n">
        <v>2018</v>
      </c>
    </row>
    <row r="499" customFormat="false" ht="15" hidden="true" customHeight="false" outlineLevel="0" collapsed="false">
      <c r="A499" s="115" t="s">
        <v>1090</v>
      </c>
      <c r="B499" s="115" t="s">
        <v>615</v>
      </c>
      <c r="C499" s="116" t="s">
        <v>1092</v>
      </c>
      <c r="D499" s="116"/>
      <c r="E499" s="116"/>
      <c r="F499" s="116"/>
      <c r="G499" s="108"/>
      <c r="H499" s="105" t="n">
        <f aca="false">'[2]$ лето'!j499-'[2]$ лето'!au499-'[2]$ лето'!at499-'[2]$ лето'!as499-'[2]$ лето'!ar499-'[2]$ лето'!aq499-'[2]$ лето'!ap499-'[2]$ лето'!an499-'[2]$ лето'!am499-'[2]$ лето'!al499-'[2]$ лето'!ak499-'[2]$ лето'!aj499-'[2]$ лето'!ah499-'[2]$ лето'!ag499-'[2]$ лето'!af499-'[2]$ лето'!ae499-'[2]$ лето'!ad499-'[2]$ лето'!ab499-'[2]$ лето'!aa499-'[2]$ лето'!z499-'[2]$ лето'!y499-'[2]$ лето'!x499-'[2]$ лето'!v499-'[2]$ лето'!u499-'[2]$ лето'!t499-'[2]$ лето'!s499-'[2]$ лето'!r499-'[2]$ лето'!p499-'[2]$ лето'!o499-'[2]$ лето'!n499-'[2]$ лето'!m499-'[2]$ лето'!l499+'[2]$ лето'!k499+'[2]$ лето'!q499+'[2]$ лето'!w499+'[2]$ лето'!ac499+'[2]$ лето'!ai499+'[2]$ лето'!ao499</f>
        <v>0</v>
      </c>
      <c r="I499" s="109" t="n">
        <f aca="false">'[2]$ лето'!ay499*1.1</f>
        <v>2618</v>
      </c>
      <c r="J499" s="113"/>
    </row>
    <row r="500" customFormat="false" ht="15" hidden="true" customHeight="false" outlineLevel="0" collapsed="false">
      <c r="A500" s="115" t="s">
        <v>1093</v>
      </c>
      <c r="B500" s="115" t="s">
        <v>844</v>
      </c>
      <c r="C500" s="114" t="s">
        <v>1094</v>
      </c>
      <c r="D500" s="114"/>
      <c r="E500" s="114"/>
      <c r="F500" s="114"/>
      <c r="G500" s="108"/>
      <c r="H500" s="105" t="n">
        <f aca="false">'[2]$ лето'!j500-'[2]$ лето'!au500-'[2]$ лето'!at500-'[2]$ лето'!as500-'[2]$ лето'!ar500-'[2]$ лето'!aq500-'[2]$ лето'!ap500-'[2]$ лето'!an500-'[2]$ лето'!am500-'[2]$ лето'!al500-'[2]$ лето'!ak500-'[2]$ лето'!aj500-'[2]$ лето'!ah500-'[2]$ лето'!ag500-'[2]$ лето'!af500-'[2]$ лето'!ae500-'[2]$ лето'!ad500-'[2]$ лето'!ab500-'[2]$ лето'!aa500-'[2]$ лето'!z500-'[2]$ лето'!y500-'[2]$ лето'!x500-'[2]$ лето'!v500-'[2]$ лето'!u500-'[2]$ лето'!t500-'[2]$ лето'!s500-'[2]$ лето'!r500-'[2]$ лето'!p500-'[2]$ лето'!o500-'[2]$ лето'!n500-'[2]$ лето'!m500-'[2]$ лето'!l500+'[2]$ лето'!k500+'[2]$ лето'!q500+'[2]$ лето'!w500+'[2]$ лето'!ac500+'[2]$ лето'!ai500+'[2]$ лето'!ao500</f>
        <v>0</v>
      </c>
      <c r="I500" s="109" t="n">
        <f aca="false">'[2]$ лето'!ay500*1.1</f>
        <v>3696</v>
      </c>
      <c r="J500" s="113"/>
    </row>
    <row r="501" customFormat="false" ht="15" hidden="false" customHeight="false" outlineLevel="0" collapsed="false">
      <c r="A501" s="110" t="s">
        <v>214</v>
      </c>
      <c r="B501" s="111"/>
      <c r="C501" s="112"/>
      <c r="D501" s="112"/>
      <c r="E501" s="112"/>
      <c r="F501" s="112"/>
      <c r="G501" s="104"/>
      <c r="H501" s="105"/>
      <c r="I501" s="105" t="n">
        <f aca="false">'[2]$ лето'!ay501*1.1</f>
        <v>0</v>
      </c>
      <c r="J501" s="113"/>
    </row>
    <row r="502" customFormat="false" ht="15" hidden="true" customHeight="false" outlineLevel="0" collapsed="false">
      <c r="A502" s="115" t="s">
        <v>1095</v>
      </c>
      <c r="B502" s="115" t="s">
        <v>568</v>
      </c>
      <c r="C502" s="107" t="s">
        <v>993</v>
      </c>
      <c r="D502" s="107"/>
      <c r="E502" s="107"/>
      <c r="F502" s="107"/>
      <c r="G502" s="108"/>
      <c r="H502" s="105" t="n">
        <f aca="false">'[2]$ лето'!j502-'[2]$ лето'!au502-'[2]$ лето'!at502-'[2]$ лето'!as502-'[2]$ лето'!ar502-'[2]$ лето'!aq502-'[2]$ лето'!ap502-'[2]$ лето'!an502-'[2]$ лето'!am502-'[2]$ лето'!al502-'[2]$ лето'!ak502-'[2]$ лето'!aj502-'[2]$ лето'!ah502-'[2]$ лето'!ag502-'[2]$ лето'!af502-'[2]$ лето'!ae502-'[2]$ лето'!ad502-'[2]$ лето'!ab502-'[2]$ лето'!aa502-'[2]$ лето'!z502-'[2]$ лето'!y502-'[2]$ лето'!x502-'[2]$ лето'!v502-'[2]$ лето'!u502-'[2]$ лето'!t502-'[2]$ лето'!s502-'[2]$ лето'!r502-'[2]$ лето'!p502-'[2]$ лето'!o502-'[2]$ лето'!n502-'[2]$ лето'!m502-'[2]$ лето'!l502+'[2]$ лето'!k502+'[2]$ лето'!q502+'[2]$ лето'!w502+'[2]$ лето'!ac502+'[2]$ лето'!ai502+'[2]$ лето'!ao502</f>
        <v>0</v>
      </c>
      <c r="I502" s="109" t="n">
        <f aca="false">'[2]$ лето'!ay502*1.1</f>
        <v>2156</v>
      </c>
    </row>
    <row r="503" customFormat="false" ht="15" hidden="true" customHeight="false" outlineLevel="0" collapsed="false">
      <c r="A503" s="115" t="s">
        <v>1095</v>
      </c>
      <c r="B503" s="115" t="s">
        <v>583</v>
      </c>
      <c r="C503" s="107" t="s">
        <v>1096</v>
      </c>
      <c r="D503" s="107"/>
      <c r="E503" s="107"/>
      <c r="F503" s="107"/>
      <c r="G503" s="108"/>
      <c r="H503" s="105" t="n">
        <f aca="false">'[2]$ лето'!j503-'[2]$ лето'!au503-'[2]$ лето'!at503-'[2]$ лето'!as503-'[2]$ лето'!ar503-'[2]$ лето'!aq503-'[2]$ лето'!ap503-'[2]$ лето'!an503-'[2]$ лето'!am503-'[2]$ лето'!al503-'[2]$ лето'!ak503-'[2]$ лето'!aj503-'[2]$ лето'!ah503-'[2]$ лето'!ag503-'[2]$ лето'!af503-'[2]$ лето'!ae503-'[2]$ лето'!ad503-'[2]$ лето'!ab503-'[2]$ лето'!aa503-'[2]$ лето'!z503-'[2]$ лето'!y503-'[2]$ лето'!x503-'[2]$ лето'!v503-'[2]$ лето'!u503-'[2]$ лето'!t503-'[2]$ лето'!s503-'[2]$ лето'!r503-'[2]$ лето'!p503-'[2]$ лето'!o503-'[2]$ лето'!n503-'[2]$ лето'!m503-'[2]$ лето'!l503+'[2]$ лето'!k503+'[2]$ лето'!q503+'[2]$ лето'!w503+'[2]$ лето'!ac503+'[2]$ лето'!ai503+'[2]$ лето'!ao503</f>
        <v>0</v>
      </c>
      <c r="I503" s="109" t="n">
        <f aca="false">'[2]$ лето'!ay503*1.1</f>
        <v>1540</v>
      </c>
    </row>
    <row r="504" customFormat="false" ht="15" hidden="false" customHeight="false" outlineLevel="0" collapsed="false">
      <c r="A504" s="115" t="s">
        <v>227</v>
      </c>
      <c r="B504" s="115" t="s">
        <v>658</v>
      </c>
      <c r="C504" s="107" t="s">
        <v>1097</v>
      </c>
      <c r="D504" s="107"/>
      <c r="E504" s="116"/>
      <c r="F504" s="116"/>
      <c r="G504" s="108" t="s">
        <v>843</v>
      </c>
      <c r="H504" s="105" t="n">
        <f aca="false">'[2]$ лето'!j504-'[2]$ лето'!au504-'[2]$ лето'!at504-'[2]$ лето'!as504-'[2]$ лето'!ar504-'[2]$ лето'!aq504-'[2]$ лето'!ap504-'[2]$ лето'!an504-'[2]$ лето'!am504-'[2]$ лето'!al504-'[2]$ лето'!ak504-'[2]$ лето'!aj504-'[2]$ лето'!ah504-'[2]$ лето'!ag504-'[2]$ лето'!af504-'[2]$ лето'!ae504-'[2]$ лето'!ad504-'[2]$ лето'!ab504-'[2]$ лето'!aa504-'[2]$ лето'!z504-'[2]$ лето'!y504-'[2]$ лето'!x504-'[2]$ лето'!v504-'[2]$ лето'!u504-'[2]$ лето'!t504-'[2]$ лето'!s504-'[2]$ лето'!r504-'[2]$ лето'!p504-'[2]$ лето'!o504-'[2]$ лето'!n504-'[2]$ лето'!m504-'[2]$ лето'!l504+'[2]$ лето'!k504+'[2]$ лето'!q504+'[2]$ лето'!w504+'[2]$ лето'!ac504+'[2]$ лето'!ai504+'[2]$ лето'!ao504</f>
        <v>4</v>
      </c>
      <c r="I504" s="109" t="n">
        <f aca="false">'[2]$ лето'!ay504*1.1</f>
        <v>2679.6</v>
      </c>
      <c r="J504" s="85" t="n">
        <v>2018</v>
      </c>
    </row>
    <row r="505" customFormat="false" ht="15" hidden="true" customHeight="false" outlineLevel="0" collapsed="false">
      <c r="A505" s="115" t="s">
        <v>227</v>
      </c>
      <c r="B505" s="115" t="s">
        <v>568</v>
      </c>
      <c r="C505" s="107" t="s">
        <v>1098</v>
      </c>
      <c r="D505" s="107"/>
      <c r="E505" s="107"/>
      <c r="F505" s="107"/>
      <c r="G505" s="108"/>
      <c r="H505" s="105" t="n">
        <f aca="false">'[2]$ лето'!j505-'[2]$ лето'!au505-'[2]$ лето'!at505-'[2]$ лето'!as505-'[2]$ лето'!ar505-'[2]$ лето'!aq505-'[2]$ лето'!ap505-'[2]$ лето'!an505-'[2]$ лето'!am505-'[2]$ лето'!al505-'[2]$ лето'!ak505-'[2]$ лето'!aj505-'[2]$ лето'!ah505-'[2]$ лето'!ag505-'[2]$ лето'!af505-'[2]$ лето'!ae505-'[2]$ лето'!ad505-'[2]$ лето'!ab505-'[2]$ лето'!aa505-'[2]$ лето'!z505-'[2]$ лето'!y505-'[2]$ лето'!x505-'[2]$ лето'!v505-'[2]$ лето'!u505-'[2]$ лето'!t505-'[2]$ лето'!s505-'[2]$ лето'!r505-'[2]$ лето'!p505-'[2]$ лето'!o505-'[2]$ лето'!n505-'[2]$ лето'!m505-'[2]$ лето'!l505+'[2]$ лето'!k505+'[2]$ лето'!q505+'[2]$ лето'!w505+'[2]$ лето'!ac505+'[2]$ лето'!ai505+'[2]$ лето'!ao505</f>
        <v>0</v>
      </c>
      <c r="I505" s="109" t="n">
        <f aca="false">'[2]$ лето'!ay505*1.1</f>
        <v>1632.4</v>
      </c>
    </row>
    <row r="506" customFormat="false" ht="15" hidden="true" customHeight="false" outlineLevel="0" collapsed="false">
      <c r="A506" s="27" t="s">
        <v>227</v>
      </c>
      <c r="B506" s="27" t="s">
        <v>601</v>
      </c>
      <c r="C506" s="27" t="s">
        <v>1099</v>
      </c>
      <c r="D506" s="27"/>
      <c r="E506" s="27"/>
      <c r="F506" s="27"/>
      <c r="G506" s="137"/>
      <c r="H506" s="105" t="n">
        <f aca="false">'[2]$ лето'!j506-'[2]$ лето'!au506-'[2]$ лето'!at506-'[2]$ лето'!as506-'[2]$ лето'!ar506-'[2]$ лето'!aq506-'[2]$ лето'!ap506-'[2]$ лето'!an506-'[2]$ лето'!am506-'[2]$ лето'!al506-'[2]$ лето'!ak506-'[2]$ лето'!aj506-'[2]$ лето'!ah506-'[2]$ лето'!ag506-'[2]$ лето'!af506-'[2]$ лето'!ae506-'[2]$ лето'!ad506-'[2]$ лето'!ab506-'[2]$ лето'!aa506-'[2]$ лето'!z506-'[2]$ лето'!y506-'[2]$ лето'!x506-'[2]$ лето'!v506-'[2]$ лето'!u506-'[2]$ лето'!t506-'[2]$ лето'!s506-'[2]$ лето'!r506-'[2]$ лето'!p506-'[2]$ лето'!o506-'[2]$ лето'!n506-'[2]$ лето'!m506-'[2]$ лето'!l506+'[2]$ лето'!k506+'[2]$ лето'!q506+'[2]$ лето'!w506+'[2]$ лето'!ac506+'[2]$ лето'!ai506+'[2]$ лето'!ao506</f>
        <v>0</v>
      </c>
      <c r="I506" s="109" t="n">
        <f aca="false">'[2]$ лето'!ay506*1.1</f>
        <v>2002</v>
      </c>
      <c r="J506" s="138"/>
    </row>
    <row r="507" customFormat="false" ht="15" hidden="true" customHeight="false" outlineLevel="0" collapsed="false">
      <c r="A507" s="115" t="s">
        <v>227</v>
      </c>
      <c r="B507" s="27" t="s">
        <v>666</v>
      </c>
      <c r="C507" s="27" t="s">
        <v>1100</v>
      </c>
      <c r="D507" s="27"/>
      <c r="E507" s="27"/>
      <c r="F507" s="27"/>
      <c r="G507" s="139"/>
      <c r="H507" s="105" t="n">
        <f aca="false">'[2]$ лето'!j507-'[2]$ лето'!au507-'[2]$ лето'!at507-'[2]$ лето'!as507-'[2]$ лето'!ar507-'[2]$ лето'!aq507-'[2]$ лето'!ap507-'[2]$ лето'!an507-'[2]$ лето'!am507-'[2]$ лето'!al507-'[2]$ лето'!ak507-'[2]$ лето'!aj507-'[2]$ лето'!ah507-'[2]$ лето'!ag507-'[2]$ лето'!af507-'[2]$ лето'!ae507-'[2]$ лето'!ad507-'[2]$ лето'!ab507-'[2]$ лето'!aa507-'[2]$ лето'!z507-'[2]$ лето'!y507-'[2]$ лето'!x507-'[2]$ лето'!v507-'[2]$ лето'!u507-'[2]$ лето'!t507-'[2]$ лето'!s507-'[2]$ лето'!r507-'[2]$ лето'!p507-'[2]$ лето'!o507-'[2]$ лето'!n507-'[2]$ лето'!m507-'[2]$ лето'!l507+'[2]$ лето'!k507+'[2]$ лето'!q507+'[2]$ лето'!w507+'[2]$ лето'!ac507+'[2]$ лето'!ai507+'[2]$ лето'!ao507</f>
        <v>0</v>
      </c>
      <c r="I507" s="109" t="n">
        <f aca="false">'[2]$ лето'!ay507*1.1</f>
        <v>2125.2</v>
      </c>
      <c r="J507" s="140"/>
    </row>
    <row r="508" customFormat="false" ht="15" hidden="false" customHeight="false" outlineLevel="0" collapsed="false">
      <c r="A508" s="115" t="s">
        <v>227</v>
      </c>
      <c r="B508" s="115" t="s">
        <v>583</v>
      </c>
      <c r="C508" s="116" t="s">
        <v>1101</v>
      </c>
      <c r="D508" s="116"/>
      <c r="E508" s="116"/>
      <c r="F508" s="116"/>
      <c r="G508" s="108" t="s">
        <v>585</v>
      </c>
      <c r="H508" s="105" t="n">
        <f aca="false">'[2]$ лето'!j508-'[2]$ лето'!au508-'[2]$ лето'!at508-'[2]$ лето'!as508-'[2]$ лето'!ar508-'[2]$ лето'!aq508-'[2]$ лето'!ap508-'[2]$ лето'!an508-'[2]$ лето'!am508-'[2]$ лето'!al508-'[2]$ лето'!ak508-'[2]$ лето'!aj508-'[2]$ лето'!ah508-'[2]$ лето'!ag508-'[2]$ лето'!af508-'[2]$ лето'!ae508-'[2]$ лето'!ad508-'[2]$ лето'!ab508-'[2]$ лето'!aa508-'[2]$ лето'!z508-'[2]$ лето'!y508-'[2]$ лето'!x508-'[2]$ лето'!v508-'[2]$ лето'!u508-'[2]$ лето'!t508-'[2]$ лето'!s508-'[2]$ лето'!r508-'[2]$ лето'!p508-'[2]$ лето'!o508-'[2]$ лето'!n508-'[2]$ лето'!m508-'[2]$ лето'!l508+'[2]$ лето'!k508+'[2]$ лето'!q508+'[2]$ лето'!w508+'[2]$ лето'!ac508+'[2]$ лето'!ai508+'[2]$ лето'!ao508</f>
        <v>4</v>
      </c>
      <c r="I508" s="109" t="n">
        <f aca="false">'[2]$ лето'!ay508*1.1</f>
        <v>1570.8</v>
      </c>
      <c r="J508" s="85" t="n">
        <v>2018</v>
      </c>
    </row>
    <row r="509" customFormat="false" ht="15" hidden="true" customHeight="false" outlineLevel="0" collapsed="false">
      <c r="A509" s="115" t="s">
        <v>227</v>
      </c>
      <c r="B509" s="115" t="s">
        <v>586</v>
      </c>
      <c r="C509" s="107" t="s">
        <v>899</v>
      </c>
      <c r="D509" s="107"/>
      <c r="E509" s="107"/>
      <c r="F509" s="107"/>
      <c r="G509" s="108" t="s">
        <v>520</v>
      </c>
      <c r="H509" s="105" t="n">
        <f aca="false">'[2]$ лето'!j509-'[2]$ лето'!au509-'[2]$ лето'!at509-'[2]$ лето'!as509-'[2]$ лето'!ar509-'[2]$ лето'!aq509-'[2]$ лето'!ap509-'[2]$ лето'!an509-'[2]$ лето'!am509-'[2]$ лето'!al509-'[2]$ лето'!ak509-'[2]$ лето'!aj509-'[2]$ лето'!ah509-'[2]$ лето'!ag509-'[2]$ лето'!af509-'[2]$ лето'!ae509-'[2]$ лето'!ad509-'[2]$ лето'!ab509-'[2]$ лето'!aa509-'[2]$ лето'!z509-'[2]$ лето'!y509-'[2]$ лето'!x509-'[2]$ лето'!v509-'[2]$ лето'!u509-'[2]$ лето'!t509-'[2]$ лето'!s509-'[2]$ лето'!r509-'[2]$ лето'!p509-'[2]$ лето'!o509-'[2]$ лето'!n509-'[2]$ лето'!m509-'[2]$ лето'!l509+'[2]$ лето'!k509+'[2]$ лето'!q509+'[2]$ лето'!w509+'[2]$ лето'!ac509+'[2]$ лето'!ai509+'[2]$ лето'!ao509</f>
        <v>0</v>
      </c>
      <c r="I509" s="109" t="n">
        <f aca="false">'[2]$ лето'!ay509*1.1</f>
        <v>1170.4</v>
      </c>
    </row>
    <row r="510" customFormat="false" ht="15" hidden="true" customHeight="false" outlineLevel="0" collapsed="false">
      <c r="A510" s="115" t="s">
        <v>227</v>
      </c>
      <c r="B510" s="115" t="s">
        <v>589</v>
      </c>
      <c r="C510" s="107" t="s">
        <v>1102</v>
      </c>
      <c r="D510" s="107"/>
      <c r="E510" s="107"/>
      <c r="F510" s="107"/>
      <c r="G510" s="108"/>
      <c r="H510" s="105" t="n">
        <f aca="false">'[2]$ лето'!j510-'[2]$ лето'!au510-'[2]$ лето'!at510-'[2]$ лето'!as510-'[2]$ лето'!ar510-'[2]$ лето'!aq510-'[2]$ лето'!ap510-'[2]$ лето'!an510-'[2]$ лето'!am510-'[2]$ лето'!al510-'[2]$ лето'!ak510-'[2]$ лето'!aj510-'[2]$ лето'!ah510-'[2]$ лето'!ag510-'[2]$ лето'!af510-'[2]$ лето'!ae510-'[2]$ лето'!ad510-'[2]$ лето'!ab510-'[2]$ лето'!aa510-'[2]$ лето'!z510-'[2]$ лето'!y510-'[2]$ лето'!x510-'[2]$ лето'!v510-'[2]$ лето'!u510-'[2]$ лето'!t510-'[2]$ лето'!s510-'[2]$ лето'!r510-'[2]$ лето'!p510-'[2]$ лето'!o510-'[2]$ лето'!n510-'[2]$ лето'!m510-'[2]$ лето'!l510+'[2]$ лето'!k510+'[2]$ лето'!q510+'[2]$ лето'!w510+'[2]$ лето'!ac510+'[2]$ лето'!ai510+'[2]$ лето'!ao510</f>
        <v>0</v>
      </c>
      <c r="I510" s="109" t="n">
        <f aca="false">'[2]$ лето'!ay510*1.1</f>
        <v>2063.6</v>
      </c>
    </row>
    <row r="511" customFormat="false" ht="15" hidden="true" customHeight="false" outlineLevel="0" collapsed="false">
      <c r="A511" s="115" t="s">
        <v>227</v>
      </c>
      <c r="B511" s="115" t="s">
        <v>981</v>
      </c>
      <c r="C511" s="107" t="s">
        <v>1103</v>
      </c>
      <c r="D511" s="107"/>
      <c r="E511" s="107"/>
      <c r="F511" s="107"/>
      <c r="G511" s="108" t="s">
        <v>843</v>
      </c>
      <c r="H511" s="105" t="n">
        <f aca="false">'[2]$ лето'!j511-'[2]$ лето'!au511-'[2]$ лето'!at511-'[2]$ лето'!as511-'[2]$ лето'!ar511-'[2]$ лето'!aq511-'[2]$ лето'!ap511-'[2]$ лето'!an511-'[2]$ лето'!am511-'[2]$ лето'!al511-'[2]$ лето'!ak511-'[2]$ лето'!aj511-'[2]$ лето'!ah511-'[2]$ лето'!ag511-'[2]$ лето'!af511-'[2]$ лето'!ae511-'[2]$ лето'!ad511-'[2]$ лето'!ab511-'[2]$ лето'!aa511-'[2]$ лето'!z511-'[2]$ лето'!y511-'[2]$ лето'!x511-'[2]$ лето'!v511-'[2]$ лето'!u511-'[2]$ лето'!t511-'[2]$ лето'!s511-'[2]$ лето'!r511-'[2]$ лето'!p511-'[2]$ лето'!o511-'[2]$ лето'!n511-'[2]$ лето'!m511-'[2]$ лето'!l511+'[2]$ лето'!k511+'[2]$ лето'!q511+'[2]$ лето'!w511+'[2]$ лето'!ac511+'[2]$ лето'!ai511+'[2]$ лето'!ao511</f>
        <v>0</v>
      </c>
      <c r="I511" s="109" t="n">
        <f aca="false">'[2]$ лето'!ay511*1.1</f>
        <v>2032.8</v>
      </c>
      <c r="J511" s="85" t="n">
        <v>2018</v>
      </c>
    </row>
    <row r="512" customFormat="false" ht="15" hidden="true" customHeight="false" outlineLevel="0" collapsed="false">
      <c r="A512" s="115" t="s">
        <v>1104</v>
      </c>
      <c r="B512" s="115" t="s">
        <v>568</v>
      </c>
      <c r="C512" s="107" t="s">
        <v>1105</v>
      </c>
      <c r="D512" s="107"/>
      <c r="E512" s="107"/>
      <c r="F512" s="107"/>
      <c r="G512" s="108"/>
      <c r="H512" s="105" t="n">
        <f aca="false">'[2]$ лето'!j512-'[2]$ лето'!au512-'[2]$ лето'!at512-'[2]$ лето'!as512-'[2]$ лето'!ar512-'[2]$ лето'!aq512-'[2]$ лето'!ap512-'[2]$ лето'!an512-'[2]$ лето'!am512-'[2]$ лето'!al512-'[2]$ лето'!ak512-'[2]$ лето'!aj512-'[2]$ лето'!ah512-'[2]$ лето'!ag512-'[2]$ лето'!af512-'[2]$ лето'!ae512-'[2]$ лето'!ad512-'[2]$ лето'!ab512-'[2]$ лето'!aa512-'[2]$ лето'!z512-'[2]$ лето'!y512-'[2]$ лето'!x512-'[2]$ лето'!v512-'[2]$ лето'!u512-'[2]$ лето'!t512-'[2]$ лето'!s512-'[2]$ лето'!r512-'[2]$ лето'!p512-'[2]$ лето'!o512-'[2]$ лето'!n512-'[2]$ лето'!m512-'[2]$ лето'!l512+'[2]$ лето'!k512+'[2]$ лето'!q512+'[2]$ лето'!w512+'[2]$ лето'!ac512+'[2]$ лето'!ai512+'[2]$ лето'!ao512</f>
        <v>0</v>
      </c>
      <c r="I512" s="109" t="n">
        <f aca="false">'[2]$ лето'!ay512*1.1</f>
        <v>1724.8</v>
      </c>
    </row>
    <row r="513" customFormat="false" ht="15" hidden="true" customHeight="false" outlineLevel="0" collapsed="false">
      <c r="A513" s="115" t="s">
        <v>1104</v>
      </c>
      <c r="B513" s="115" t="s">
        <v>707</v>
      </c>
      <c r="C513" s="107" t="s">
        <v>1106</v>
      </c>
      <c r="D513" s="107"/>
      <c r="E513" s="107"/>
      <c r="F513" s="107"/>
      <c r="G513" s="108"/>
      <c r="H513" s="105" t="n">
        <f aca="false">'[2]$ лето'!j513-'[2]$ лето'!au513-'[2]$ лето'!at513-'[2]$ лето'!as513-'[2]$ лето'!ar513-'[2]$ лето'!aq513-'[2]$ лето'!ap513-'[2]$ лето'!an513-'[2]$ лето'!am513-'[2]$ лето'!al513-'[2]$ лето'!ak513-'[2]$ лето'!aj513-'[2]$ лето'!ah513-'[2]$ лето'!ag513-'[2]$ лето'!af513-'[2]$ лето'!ae513-'[2]$ лето'!ad513-'[2]$ лето'!ab513-'[2]$ лето'!aa513-'[2]$ лето'!z513-'[2]$ лето'!y513-'[2]$ лето'!x513-'[2]$ лето'!v513-'[2]$ лето'!u513-'[2]$ лето'!t513-'[2]$ лето'!s513-'[2]$ лето'!r513-'[2]$ лето'!p513-'[2]$ лето'!o513-'[2]$ лето'!n513-'[2]$ лето'!m513-'[2]$ лето'!l513+'[2]$ лето'!k513+'[2]$ лето'!q513+'[2]$ лето'!w513+'[2]$ лето'!ac513+'[2]$ лето'!ai513+'[2]$ лето'!ao513</f>
        <v>0</v>
      </c>
      <c r="I513" s="109" t="n">
        <f aca="false">'[2]$ лето'!ay513*1.1</f>
        <v>2525.6</v>
      </c>
    </row>
    <row r="514" customFormat="false" ht="15" hidden="true" customHeight="false" outlineLevel="0" collapsed="false">
      <c r="A514" s="115" t="s">
        <v>1104</v>
      </c>
      <c r="B514" s="115" t="s">
        <v>593</v>
      </c>
      <c r="C514" s="107" t="s">
        <v>1107</v>
      </c>
      <c r="D514" s="107"/>
      <c r="E514" s="107"/>
      <c r="F514" s="107"/>
      <c r="G514" s="108"/>
      <c r="H514" s="105" t="n">
        <f aca="false">'[2]$ лето'!j514-'[2]$ лето'!au514-'[2]$ лето'!at514-'[2]$ лето'!as514-'[2]$ лето'!ar514-'[2]$ лето'!aq514-'[2]$ лето'!ap514-'[2]$ лето'!an514-'[2]$ лето'!am514-'[2]$ лето'!al514-'[2]$ лето'!ak514-'[2]$ лето'!aj514-'[2]$ лето'!ah514-'[2]$ лето'!ag514-'[2]$ лето'!af514-'[2]$ лето'!ae514-'[2]$ лето'!ad514-'[2]$ лето'!ab514-'[2]$ лето'!aa514-'[2]$ лето'!z514-'[2]$ лето'!y514-'[2]$ лето'!x514-'[2]$ лето'!v514-'[2]$ лето'!u514-'[2]$ лето'!t514-'[2]$ лето'!s514-'[2]$ лето'!r514-'[2]$ лето'!p514-'[2]$ лето'!o514-'[2]$ лето'!n514-'[2]$ лето'!m514-'[2]$ лето'!l514+'[2]$ лето'!k514+'[2]$ лето'!q514+'[2]$ лето'!w514+'[2]$ лето'!ac514+'[2]$ лето'!ai514+'[2]$ лето'!ao514</f>
        <v>0</v>
      </c>
      <c r="I514" s="109" t="n">
        <f aca="false">'[2]$ лето'!ay514*1.1</f>
        <v>2156</v>
      </c>
    </row>
    <row r="515" customFormat="false" ht="15" hidden="true" customHeight="false" outlineLevel="0" collapsed="false">
      <c r="A515" s="115" t="s">
        <v>228</v>
      </c>
      <c r="B515" s="115" t="s">
        <v>991</v>
      </c>
      <c r="C515" s="107" t="s">
        <v>992</v>
      </c>
      <c r="D515" s="107"/>
      <c r="E515" s="107"/>
      <c r="F515" s="107"/>
      <c r="G515" s="108" t="s">
        <v>520</v>
      </c>
      <c r="H515" s="105" t="n">
        <f aca="false">'[2]$ лето'!j515-'[2]$ лето'!au515-'[2]$ лето'!at515-'[2]$ лето'!as515-'[2]$ лето'!ar515-'[2]$ лето'!aq515-'[2]$ лето'!ap515-'[2]$ лето'!an515-'[2]$ лето'!am515-'[2]$ лето'!al515-'[2]$ лето'!ak515-'[2]$ лето'!aj515-'[2]$ лето'!ah515-'[2]$ лето'!ag515-'[2]$ лето'!af515-'[2]$ лето'!ae515-'[2]$ лето'!ad515-'[2]$ лето'!ab515-'[2]$ лето'!aa515-'[2]$ лето'!z515-'[2]$ лето'!y515-'[2]$ лето'!x515-'[2]$ лето'!v515-'[2]$ лето'!u515-'[2]$ лето'!t515-'[2]$ лето'!s515-'[2]$ лето'!r515-'[2]$ лето'!p515-'[2]$ лето'!o515-'[2]$ лето'!n515-'[2]$ лето'!m515-'[2]$ лето'!l515+'[2]$ лето'!k515+'[2]$ лето'!q515+'[2]$ лето'!w515+'[2]$ лето'!ac515+'[2]$ лето'!ai515+'[2]$ лето'!ao515</f>
        <v>0</v>
      </c>
      <c r="I515" s="109" t="n">
        <f aca="false">'[2]$ лето'!ay515*1.1</f>
        <v>1016.4</v>
      </c>
    </row>
    <row r="516" customFormat="false" ht="15" hidden="true" customHeight="false" outlineLevel="0" collapsed="false">
      <c r="A516" s="115" t="s">
        <v>228</v>
      </c>
      <c r="B516" s="115" t="s">
        <v>991</v>
      </c>
      <c r="C516" s="107" t="s">
        <v>1108</v>
      </c>
      <c r="D516" s="107"/>
      <c r="E516" s="107"/>
      <c r="F516" s="107"/>
      <c r="G516" s="108" t="s">
        <v>520</v>
      </c>
      <c r="H516" s="105" t="n">
        <f aca="false">'[2]$ лето'!j516-'[2]$ лето'!au516-'[2]$ лето'!at516-'[2]$ лето'!as516-'[2]$ лето'!ar516-'[2]$ лето'!aq516-'[2]$ лето'!ap516-'[2]$ лето'!an516-'[2]$ лето'!am516-'[2]$ лето'!al516-'[2]$ лето'!ak516-'[2]$ лето'!aj516-'[2]$ лето'!ah516-'[2]$ лето'!ag516-'[2]$ лето'!af516-'[2]$ лето'!ae516-'[2]$ лето'!ad516-'[2]$ лето'!ab516-'[2]$ лето'!aa516-'[2]$ лето'!z516-'[2]$ лето'!y516-'[2]$ лето'!x516-'[2]$ лето'!v516-'[2]$ лето'!u516-'[2]$ лето'!t516-'[2]$ лето'!s516-'[2]$ лето'!r516-'[2]$ лето'!p516-'[2]$ лето'!o516-'[2]$ лето'!n516-'[2]$ лето'!m516-'[2]$ лето'!l516+'[2]$ лето'!k516+'[2]$ лето'!q516+'[2]$ лето'!w516+'[2]$ лето'!ac516+'[2]$ лето'!ai516+'[2]$ лето'!ao516</f>
        <v>0</v>
      </c>
      <c r="I516" s="109" t="n">
        <f aca="false">'[2]$ лето'!ay516*1.1</f>
        <v>1047.2</v>
      </c>
    </row>
    <row r="517" customFormat="false" ht="15" hidden="true" customHeight="false" outlineLevel="0" collapsed="false">
      <c r="A517" s="115" t="s">
        <v>228</v>
      </c>
      <c r="B517" s="115" t="s">
        <v>566</v>
      </c>
      <c r="C517" s="116" t="s">
        <v>1109</v>
      </c>
      <c r="D517" s="116"/>
      <c r="E517" s="116"/>
      <c r="F517" s="116"/>
      <c r="G517" s="108" t="s">
        <v>563</v>
      </c>
      <c r="H517" s="105" t="n">
        <f aca="false">'[2]$ лето'!j517-'[2]$ лето'!au517-'[2]$ лето'!at517-'[2]$ лето'!as517-'[2]$ лето'!ar517-'[2]$ лето'!aq517-'[2]$ лето'!ap517-'[2]$ лето'!an517-'[2]$ лето'!am517-'[2]$ лето'!al517-'[2]$ лето'!ak517-'[2]$ лето'!aj517-'[2]$ лето'!ah517-'[2]$ лето'!ag517-'[2]$ лето'!af517-'[2]$ лето'!ae517-'[2]$ лето'!ad517-'[2]$ лето'!ab517-'[2]$ лето'!aa517-'[2]$ лето'!z517-'[2]$ лето'!y517-'[2]$ лето'!x517-'[2]$ лето'!v517-'[2]$ лето'!u517-'[2]$ лето'!t517-'[2]$ лето'!s517-'[2]$ лето'!r517-'[2]$ лето'!p517-'[2]$ лето'!o517-'[2]$ лето'!n517-'[2]$ лето'!m517-'[2]$ лето'!l517+'[2]$ лето'!k517+'[2]$ лето'!q517+'[2]$ лето'!w517+'[2]$ лето'!ac517+'[2]$ лето'!ai517+'[2]$ лето'!ao517</f>
        <v>0</v>
      </c>
      <c r="I517" s="109" t="n">
        <f aca="false">'[2]$ лето'!ay517*1.1</f>
        <v>1108.8</v>
      </c>
      <c r="J517" s="85" t="n">
        <v>2017</v>
      </c>
    </row>
    <row r="518" customFormat="false" ht="15" hidden="true" customHeight="false" outlineLevel="0" collapsed="false">
      <c r="A518" s="115" t="s">
        <v>228</v>
      </c>
      <c r="B518" s="115" t="s">
        <v>566</v>
      </c>
      <c r="C518" s="116" t="s">
        <v>1110</v>
      </c>
      <c r="D518" s="116"/>
      <c r="E518" s="116"/>
      <c r="F518" s="116"/>
      <c r="G518" s="108" t="s">
        <v>563</v>
      </c>
      <c r="H518" s="105" t="n">
        <f aca="false">'[2]$ лето'!j518-'[2]$ лето'!au518-'[2]$ лето'!at518-'[2]$ лето'!as518-'[2]$ лето'!ar518-'[2]$ лето'!aq518-'[2]$ лето'!ap518-'[2]$ лето'!an518-'[2]$ лето'!am518-'[2]$ лето'!al518-'[2]$ лето'!ak518-'[2]$ лето'!aj518-'[2]$ лето'!ah518-'[2]$ лето'!ag518-'[2]$ лето'!af518-'[2]$ лето'!ae518-'[2]$ лето'!ad518-'[2]$ лето'!ab518-'[2]$ лето'!aa518-'[2]$ лето'!z518-'[2]$ лето'!y518-'[2]$ лето'!x518-'[2]$ лето'!v518-'[2]$ лето'!u518-'[2]$ лето'!t518-'[2]$ лето'!s518-'[2]$ лето'!r518-'[2]$ лето'!p518-'[2]$ лето'!o518-'[2]$ лето'!n518-'[2]$ лето'!m518-'[2]$ лето'!l518+'[2]$ лето'!k518+'[2]$ лето'!q518+'[2]$ лето'!w518+'[2]$ лето'!ac518+'[2]$ лето'!ai518+'[2]$ лето'!ao518</f>
        <v>0</v>
      </c>
      <c r="I518" s="109" t="n">
        <f aca="false">'[2]$ лето'!ay518*1.1</f>
        <v>1139.6</v>
      </c>
      <c r="J518" s="85" t="n">
        <v>2017</v>
      </c>
    </row>
    <row r="519" customFormat="false" ht="15" hidden="true" customHeight="false" outlineLevel="0" collapsed="false">
      <c r="A519" s="115" t="s">
        <v>228</v>
      </c>
      <c r="B519" s="115" t="s">
        <v>568</v>
      </c>
      <c r="C519" s="116" t="s">
        <v>1111</v>
      </c>
      <c r="D519" s="116"/>
      <c r="E519" s="116"/>
      <c r="F519" s="116"/>
      <c r="G519" s="108" t="s">
        <v>1112</v>
      </c>
      <c r="H519" s="105" t="n">
        <f aca="false">'[2]$ лето'!j519-'[2]$ лето'!au519-'[2]$ лето'!at519-'[2]$ лето'!as519-'[2]$ лето'!ar519-'[2]$ лето'!aq519-'[2]$ лето'!ap519-'[2]$ лето'!an519-'[2]$ лето'!am519-'[2]$ лето'!al519-'[2]$ лето'!ak519-'[2]$ лето'!aj519-'[2]$ лето'!ah519-'[2]$ лето'!ag519-'[2]$ лето'!af519-'[2]$ лето'!ae519-'[2]$ лето'!ad519-'[2]$ лето'!ab519-'[2]$ лето'!aa519-'[2]$ лето'!z519-'[2]$ лето'!y519-'[2]$ лето'!x519-'[2]$ лето'!v519-'[2]$ лето'!u519-'[2]$ лето'!t519-'[2]$ лето'!s519-'[2]$ лето'!r519-'[2]$ лето'!p519-'[2]$ лето'!o519-'[2]$ лето'!n519-'[2]$ лето'!m519-'[2]$ лето'!l519+'[2]$ лето'!k519+'[2]$ лето'!q519+'[2]$ лето'!w519+'[2]$ лето'!ac519+'[2]$ лето'!ai519+'[2]$ лето'!ao519</f>
        <v>0</v>
      </c>
      <c r="I519" s="109" t="n">
        <f aca="false">'[2]$ лето'!ay519*1.1</f>
        <v>1447.6</v>
      </c>
      <c r="J519" s="85" t="n">
        <v>2018</v>
      </c>
    </row>
    <row r="520" customFormat="false" ht="15" hidden="false" customHeight="false" outlineLevel="0" collapsed="false">
      <c r="A520" s="115" t="s">
        <v>228</v>
      </c>
      <c r="B520" s="115" t="s">
        <v>601</v>
      </c>
      <c r="C520" s="116" t="s">
        <v>1113</v>
      </c>
      <c r="D520" s="116"/>
      <c r="E520" s="116"/>
      <c r="F520" s="116"/>
      <c r="G520" s="108" t="s">
        <v>576</v>
      </c>
      <c r="H520" s="105" t="n">
        <f aca="false">'[2]$ лето'!j520-'[2]$ лето'!au520-'[2]$ лето'!at520-'[2]$ лето'!as520-'[2]$ лето'!ar520-'[2]$ лето'!aq520-'[2]$ лето'!ap520-'[2]$ лето'!an520-'[2]$ лето'!am520-'[2]$ лето'!al520-'[2]$ лето'!ak520-'[2]$ лето'!aj520-'[2]$ лето'!ah520-'[2]$ лето'!ag520-'[2]$ лето'!af520-'[2]$ лето'!ae520-'[2]$ лето'!ad520-'[2]$ лето'!ab520-'[2]$ лето'!aa520-'[2]$ лето'!z520-'[2]$ лето'!y520-'[2]$ лето'!x520-'[2]$ лето'!v520-'[2]$ лето'!u520-'[2]$ лето'!t520-'[2]$ лето'!s520-'[2]$ лето'!r520-'[2]$ лето'!p520-'[2]$ лето'!o520-'[2]$ лето'!n520-'[2]$ лето'!m520-'[2]$ лето'!l520+'[2]$ лето'!k520+'[2]$ лето'!q520+'[2]$ лето'!w520+'[2]$ лето'!ac520+'[2]$ лето'!ai520+'[2]$ лето'!ao520</f>
        <v>6</v>
      </c>
      <c r="I520" s="109" t="n">
        <f aca="false">'[2]$ лето'!ay520*1.1</f>
        <v>1724.8</v>
      </c>
      <c r="J520" s="85" t="n">
        <v>2017</v>
      </c>
    </row>
    <row r="521" customFormat="false" ht="15" hidden="false" customHeight="false" outlineLevel="0" collapsed="false">
      <c r="A521" s="123" t="s">
        <v>228</v>
      </c>
      <c r="B521" s="123" t="s">
        <v>601</v>
      </c>
      <c r="C521" s="107" t="s">
        <v>1114</v>
      </c>
      <c r="D521" s="107"/>
      <c r="E521" s="116" t="n">
        <v>91</v>
      </c>
      <c r="F521" s="116" t="s">
        <v>1115</v>
      </c>
      <c r="G521" s="108" t="s">
        <v>933</v>
      </c>
      <c r="H521" s="105" t="n">
        <f aca="false">'[2]$ лето'!j521-'[2]$ лето'!au521-'[2]$ лето'!at521-'[2]$ лето'!as521-'[2]$ лето'!ar521-'[2]$ лето'!aq521-'[2]$ лето'!ap521-'[2]$ лето'!an521-'[2]$ лето'!am521-'[2]$ лето'!al521-'[2]$ лето'!ak521-'[2]$ лето'!aj521-'[2]$ лето'!ah521-'[2]$ лето'!ag521-'[2]$ лето'!af521-'[2]$ лето'!ae521-'[2]$ лето'!ad521-'[2]$ лето'!ab521-'[2]$ лето'!aa521-'[2]$ лето'!z521-'[2]$ лето'!y521-'[2]$ лето'!x521-'[2]$ лето'!v521-'[2]$ лето'!u521-'[2]$ лето'!t521-'[2]$ лето'!s521-'[2]$ лето'!r521-'[2]$ лето'!p521-'[2]$ лето'!o521-'[2]$ лето'!n521-'[2]$ лето'!m521-'[2]$ лето'!l521+'[2]$ лето'!k521+'[2]$ лето'!q521+'[2]$ лето'!w521+'[2]$ лето'!ac521+'[2]$ лето'!ai521+'[2]$ лето'!ao521</f>
        <v>4</v>
      </c>
      <c r="I521" s="109" t="n">
        <f aca="false">'[2]$ лето'!ay521*1.1</f>
        <v>1971.2</v>
      </c>
      <c r="J521" s="85" t="n">
        <v>2017</v>
      </c>
    </row>
    <row r="522" customFormat="false" ht="15" hidden="false" customHeight="false" outlineLevel="0" collapsed="false">
      <c r="A522" s="123" t="s">
        <v>228</v>
      </c>
      <c r="B522" s="123" t="s">
        <v>601</v>
      </c>
      <c r="C522" s="107" t="s">
        <v>1116</v>
      </c>
      <c r="D522" s="107"/>
      <c r="E522" s="116"/>
      <c r="F522" s="116"/>
      <c r="G522" s="108" t="s">
        <v>663</v>
      </c>
      <c r="H522" s="105" t="n">
        <f aca="false">'[2]$ лето'!j522-'[2]$ лето'!au522-'[2]$ лето'!at522-'[2]$ лето'!as522-'[2]$ лето'!ar522-'[2]$ лето'!aq522-'[2]$ лето'!ap522-'[2]$ лето'!an522-'[2]$ лето'!am522-'[2]$ лето'!al522-'[2]$ лето'!ak522-'[2]$ лето'!aj522-'[2]$ лето'!ah522-'[2]$ лето'!ag522-'[2]$ лето'!af522-'[2]$ лето'!ae522-'[2]$ лето'!ad522-'[2]$ лето'!ab522-'[2]$ лето'!aa522-'[2]$ лето'!z522-'[2]$ лето'!y522-'[2]$ лето'!x522-'[2]$ лето'!v522-'[2]$ лето'!u522-'[2]$ лето'!t522-'[2]$ лето'!s522-'[2]$ лето'!r522-'[2]$ лето'!p522-'[2]$ лето'!o522-'[2]$ лето'!n522-'[2]$ лето'!m522-'[2]$ лето'!l522+'[2]$ лето'!k522+'[2]$ лето'!q522+'[2]$ лето'!w522+'[2]$ лето'!ac522+'[2]$ лето'!ai522+'[2]$ лето'!ao522</f>
        <v>3</v>
      </c>
      <c r="I522" s="109" t="n">
        <f aca="false">'[2]$ лето'!ay522*1.1</f>
        <v>1848</v>
      </c>
      <c r="J522" s="85" t="n">
        <v>2016</v>
      </c>
    </row>
    <row r="523" customFormat="false" ht="15" hidden="false" customHeight="false" outlineLevel="0" collapsed="false">
      <c r="A523" s="123" t="s">
        <v>228</v>
      </c>
      <c r="B523" s="123" t="s">
        <v>601</v>
      </c>
      <c r="C523" s="107" t="s">
        <v>1116</v>
      </c>
      <c r="D523" s="107"/>
      <c r="E523" s="116"/>
      <c r="F523" s="116"/>
      <c r="G523" s="108" t="s">
        <v>849</v>
      </c>
      <c r="H523" s="105" t="n">
        <f aca="false">'[2]$ лето'!j523-'[2]$ лето'!au523-'[2]$ лето'!at523-'[2]$ лето'!as523-'[2]$ лето'!ar523-'[2]$ лето'!aq523-'[2]$ лето'!ap523-'[2]$ лето'!an523-'[2]$ лето'!am523-'[2]$ лето'!al523-'[2]$ лето'!ak523-'[2]$ лето'!aj523-'[2]$ лето'!ah523-'[2]$ лето'!ag523-'[2]$ лето'!af523-'[2]$ лето'!ae523-'[2]$ лето'!ad523-'[2]$ лето'!ab523-'[2]$ лето'!aa523-'[2]$ лето'!z523-'[2]$ лето'!y523-'[2]$ лето'!x523-'[2]$ лето'!v523-'[2]$ лето'!u523-'[2]$ лето'!t523-'[2]$ лето'!s523-'[2]$ лето'!r523-'[2]$ лето'!p523-'[2]$ лето'!o523-'[2]$ лето'!n523-'[2]$ лето'!m523-'[2]$ лето'!l523+'[2]$ лето'!k523+'[2]$ лето'!q523+'[2]$ лето'!w523+'[2]$ лето'!ac523+'[2]$ лето'!ai523+'[2]$ лето'!ao523</f>
        <v>1</v>
      </c>
      <c r="I523" s="109" t="n">
        <f aca="false">'[2]$ лето'!ay523*1.1</f>
        <v>1786.4</v>
      </c>
      <c r="J523" s="85" t="n">
        <v>2015</v>
      </c>
    </row>
    <row r="524" customFormat="false" ht="15" hidden="true" customHeight="false" outlineLevel="0" collapsed="false">
      <c r="A524" s="115" t="s">
        <v>228</v>
      </c>
      <c r="B524" s="115" t="s">
        <v>1117</v>
      </c>
      <c r="C524" s="116" t="s">
        <v>1118</v>
      </c>
      <c r="D524" s="116"/>
      <c r="E524" s="116"/>
      <c r="F524" s="116"/>
      <c r="G524" s="108" t="s">
        <v>933</v>
      </c>
      <c r="H524" s="105" t="n">
        <f aca="false">'[2]$ лето'!j524-'[2]$ лето'!au524-'[2]$ лето'!at524-'[2]$ лето'!as524-'[2]$ лето'!ar524-'[2]$ лето'!aq524-'[2]$ лето'!ap524-'[2]$ лето'!an524-'[2]$ лето'!am524-'[2]$ лето'!al524-'[2]$ лето'!ak524-'[2]$ лето'!aj524-'[2]$ лето'!ah524-'[2]$ лето'!ag524-'[2]$ лето'!af524-'[2]$ лето'!ae524-'[2]$ лето'!ad524-'[2]$ лето'!ab524-'[2]$ лето'!aa524-'[2]$ лето'!z524-'[2]$ лето'!y524-'[2]$ лето'!x524-'[2]$ лето'!v524-'[2]$ лето'!u524-'[2]$ лето'!t524-'[2]$ лето'!s524-'[2]$ лето'!r524-'[2]$ лето'!p524-'[2]$ лето'!o524-'[2]$ лето'!n524-'[2]$ лето'!m524-'[2]$ лето'!l524+'[2]$ лето'!k524+'[2]$ лето'!q524+'[2]$ лето'!w524+'[2]$ лето'!ac524+'[2]$ лето'!ai524+'[2]$ лето'!ao524</f>
        <v>0</v>
      </c>
      <c r="I524" s="109" t="n">
        <f aca="false">'[2]$ лето'!ay524*1.1</f>
        <v>2002</v>
      </c>
      <c r="J524" s="85" t="n">
        <v>2018</v>
      </c>
    </row>
    <row r="525" customFormat="false" ht="15" hidden="true" customHeight="false" outlineLevel="0" collapsed="false">
      <c r="A525" s="115" t="s">
        <v>228</v>
      </c>
      <c r="B525" s="115" t="s">
        <v>1117</v>
      </c>
      <c r="C525" s="116" t="s">
        <v>1118</v>
      </c>
      <c r="D525" s="116"/>
      <c r="E525" s="116"/>
      <c r="F525" s="116"/>
      <c r="G525" s="108" t="s">
        <v>570</v>
      </c>
      <c r="H525" s="105" t="n">
        <f aca="false">'[2]$ лето'!j525-'[2]$ лето'!au525-'[2]$ лето'!at525-'[2]$ лето'!as525-'[2]$ лето'!ar525-'[2]$ лето'!aq525-'[2]$ лето'!ap525-'[2]$ лето'!an525-'[2]$ лето'!am525-'[2]$ лето'!al525-'[2]$ лето'!ak525-'[2]$ лето'!aj525-'[2]$ лето'!ah525-'[2]$ лето'!ag525-'[2]$ лето'!af525-'[2]$ лето'!ae525-'[2]$ лето'!ad525-'[2]$ лето'!ab525-'[2]$ лето'!aa525-'[2]$ лето'!z525-'[2]$ лето'!y525-'[2]$ лето'!x525-'[2]$ лето'!v525-'[2]$ лето'!u525-'[2]$ лето'!t525-'[2]$ лето'!s525-'[2]$ лето'!r525-'[2]$ лето'!p525-'[2]$ лето'!o525-'[2]$ лето'!n525-'[2]$ лето'!m525-'[2]$ лето'!l525+'[2]$ лето'!k525+'[2]$ лето'!q525+'[2]$ лето'!w525+'[2]$ лето'!ac525+'[2]$ лето'!ai525+'[2]$ лето'!ao525</f>
        <v>0</v>
      </c>
      <c r="I525" s="109" t="n">
        <f aca="false">'[2]$ лето'!ay525*1.1</f>
        <v>2002</v>
      </c>
      <c r="J525" s="85" t="n">
        <v>2018</v>
      </c>
    </row>
    <row r="526" customFormat="false" ht="15" hidden="false" customHeight="false" outlineLevel="0" collapsed="false">
      <c r="A526" s="129" t="s">
        <v>228</v>
      </c>
      <c r="B526" s="129" t="s">
        <v>1117</v>
      </c>
      <c r="C526" s="131" t="s">
        <v>1119</v>
      </c>
      <c r="D526" s="131"/>
      <c r="E526" s="131"/>
      <c r="F526" s="131"/>
      <c r="G526" s="132"/>
      <c r="H526" s="105" t="n">
        <f aca="false">'[2]$ лето'!j526-'[2]$ лето'!au526-'[2]$ лето'!at526-'[2]$ лето'!as526-'[2]$ лето'!ar526-'[2]$ лето'!aq526-'[2]$ лето'!ap526-'[2]$ лето'!an526-'[2]$ лето'!am526-'[2]$ лето'!al526-'[2]$ лето'!ak526-'[2]$ лето'!aj526-'[2]$ лето'!ah526-'[2]$ лето'!ag526-'[2]$ лето'!af526-'[2]$ лето'!ae526-'[2]$ лето'!ad526-'[2]$ лето'!ab526-'[2]$ лето'!aa526-'[2]$ лето'!z526-'[2]$ лето'!y526-'[2]$ лето'!x526-'[2]$ лето'!v526-'[2]$ лето'!u526-'[2]$ лето'!t526-'[2]$ лето'!s526-'[2]$ лето'!r526-'[2]$ лето'!p526-'[2]$ лето'!o526-'[2]$ лето'!n526-'[2]$ лето'!m526-'[2]$ лето'!l526+'[2]$ лето'!k526+'[2]$ лето'!q526+'[2]$ лето'!w526+'[2]$ лето'!ac526+'[2]$ лето'!ai526+'[2]$ лето'!ao526</f>
        <v>4</v>
      </c>
      <c r="I526" s="133" t="n">
        <f aca="false">'[2]$ лето'!ay526*1.1</f>
        <v>1430</v>
      </c>
    </row>
    <row r="527" customFormat="false" ht="15" hidden="true" customHeight="false" outlineLevel="0" collapsed="false">
      <c r="A527" s="115" t="s">
        <v>228</v>
      </c>
      <c r="B527" s="115" t="s">
        <v>821</v>
      </c>
      <c r="C527" s="107" t="s">
        <v>706</v>
      </c>
      <c r="D527" s="107"/>
      <c r="E527" s="107"/>
      <c r="F527" s="107"/>
      <c r="G527" s="108"/>
      <c r="H527" s="105" t="n">
        <f aca="false">'[2]$ лето'!j527-'[2]$ лето'!au527-'[2]$ лето'!at527-'[2]$ лето'!as527-'[2]$ лето'!ar527-'[2]$ лето'!aq527-'[2]$ лето'!ap527-'[2]$ лето'!an527-'[2]$ лето'!am527-'[2]$ лето'!al527-'[2]$ лето'!ak527-'[2]$ лето'!aj527-'[2]$ лето'!ah527-'[2]$ лето'!ag527-'[2]$ лето'!af527-'[2]$ лето'!ae527-'[2]$ лето'!ad527-'[2]$ лето'!ab527-'[2]$ лето'!aa527-'[2]$ лето'!z527-'[2]$ лето'!y527-'[2]$ лето'!x527-'[2]$ лето'!v527-'[2]$ лето'!u527-'[2]$ лето'!t527-'[2]$ лето'!s527-'[2]$ лето'!r527-'[2]$ лето'!p527-'[2]$ лето'!o527-'[2]$ лето'!n527-'[2]$ лето'!m527-'[2]$ лето'!l527+'[2]$ лето'!k527+'[2]$ лето'!q527+'[2]$ лето'!w527+'[2]$ лето'!ac527+'[2]$ лето'!ai527+'[2]$ лето'!ao527</f>
        <v>0</v>
      </c>
      <c r="I527" s="109" t="n">
        <f aca="false">'[2]$ лето'!ay527*1.1</f>
        <v>1817.2</v>
      </c>
    </row>
    <row r="528" customFormat="false" ht="15" hidden="true" customHeight="false" outlineLevel="0" collapsed="false">
      <c r="A528" s="115" t="s">
        <v>228</v>
      </c>
      <c r="B528" s="115" t="s">
        <v>646</v>
      </c>
      <c r="C528" s="107" t="s">
        <v>1120</v>
      </c>
      <c r="D528" s="107"/>
      <c r="E528" s="107"/>
      <c r="F528" s="107"/>
      <c r="G528" s="108"/>
      <c r="H528" s="105" t="n">
        <f aca="false">'[2]$ лето'!j528-'[2]$ лето'!au528-'[2]$ лето'!at528-'[2]$ лето'!as528-'[2]$ лето'!ar528-'[2]$ лето'!aq528-'[2]$ лето'!ap528-'[2]$ лето'!an528-'[2]$ лето'!am528-'[2]$ лето'!al528-'[2]$ лето'!ak528-'[2]$ лето'!aj528-'[2]$ лето'!ah528-'[2]$ лето'!ag528-'[2]$ лето'!af528-'[2]$ лето'!ae528-'[2]$ лето'!ad528-'[2]$ лето'!ab528-'[2]$ лето'!aa528-'[2]$ лето'!z528-'[2]$ лето'!y528-'[2]$ лето'!x528-'[2]$ лето'!v528-'[2]$ лето'!u528-'[2]$ лето'!t528-'[2]$ лето'!s528-'[2]$ лето'!r528-'[2]$ лето'!p528-'[2]$ лето'!o528-'[2]$ лето'!n528-'[2]$ лето'!m528-'[2]$ лето'!l528+'[2]$ лето'!k528+'[2]$ лето'!q528+'[2]$ лето'!w528+'[2]$ лето'!ac528+'[2]$ лето'!ai528+'[2]$ лето'!ao528</f>
        <v>0</v>
      </c>
      <c r="I528" s="109" t="n">
        <f aca="false">'[2]$ лето'!ay528*1.1</f>
        <v>1078</v>
      </c>
      <c r="J528" s="85" t="n">
        <v>2016</v>
      </c>
    </row>
    <row r="529" customFormat="false" ht="15" hidden="false" customHeight="false" outlineLevel="0" collapsed="false">
      <c r="A529" s="115" t="s">
        <v>228</v>
      </c>
      <c r="B529" s="115" t="s">
        <v>707</v>
      </c>
      <c r="C529" s="116" t="s">
        <v>1121</v>
      </c>
      <c r="D529" s="116"/>
      <c r="E529" s="116"/>
      <c r="F529" s="116"/>
      <c r="G529" s="108" t="s">
        <v>943</v>
      </c>
      <c r="H529" s="105" t="n">
        <f aca="false">'[2]$ лето'!j529-'[2]$ лето'!au529-'[2]$ лето'!at529-'[2]$ лето'!as529-'[2]$ лето'!ar529-'[2]$ лето'!aq529-'[2]$ лето'!ap529-'[2]$ лето'!an529-'[2]$ лето'!am529-'[2]$ лето'!al529-'[2]$ лето'!ak529-'[2]$ лето'!aj529-'[2]$ лето'!ah529-'[2]$ лето'!ag529-'[2]$ лето'!af529-'[2]$ лето'!ae529-'[2]$ лето'!ad529-'[2]$ лето'!ab529-'[2]$ лето'!aa529-'[2]$ лето'!z529-'[2]$ лето'!y529-'[2]$ лето'!x529-'[2]$ лето'!v529-'[2]$ лето'!u529-'[2]$ лето'!t529-'[2]$ лето'!s529-'[2]$ лето'!r529-'[2]$ лето'!p529-'[2]$ лето'!o529-'[2]$ лето'!n529-'[2]$ лето'!m529-'[2]$ лето'!l529+'[2]$ лето'!k529+'[2]$ лето'!q529+'[2]$ лето'!w529+'[2]$ лето'!ac529+'[2]$ лето'!ai529+'[2]$ лето'!ao529</f>
        <v>4</v>
      </c>
      <c r="I529" s="109" t="n">
        <f aca="false">'[2]$ лето'!ay529*1.1</f>
        <v>1478.4</v>
      </c>
      <c r="J529" s="85" t="n">
        <v>2017</v>
      </c>
    </row>
    <row r="530" customFormat="false" ht="15" hidden="false" customHeight="false" outlineLevel="0" collapsed="false">
      <c r="A530" s="115" t="s">
        <v>228</v>
      </c>
      <c r="B530" s="115" t="s">
        <v>557</v>
      </c>
      <c r="C530" s="116" t="s">
        <v>1122</v>
      </c>
      <c r="D530" s="116"/>
      <c r="E530" s="116"/>
      <c r="F530" s="116"/>
      <c r="G530" s="108"/>
      <c r="H530" s="105" t="n">
        <f aca="false">'[2]$ лето'!j530-'[2]$ лето'!au530-'[2]$ лето'!at530-'[2]$ лето'!as530-'[2]$ лето'!ar530-'[2]$ лето'!aq530-'[2]$ лето'!ap530-'[2]$ лето'!an530-'[2]$ лето'!am530-'[2]$ лето'!al530-'[2]$ лето'!ak530-'[2]$ лето'!aj530-'[2]$ лето'!ah530-'[2]$ лето'!ag530-'[2]$ лето'!af530-'[2]$ лето'!ae530-'[2]$ лето'!ad530-'[2]$ лето'!ab530-'[2]$ лето'!aa530-'[2]$ лето'!z530-'[2]$ лето'!y530-'[2]$ лето'!x530-'[2]$ лето'!v530-'[2]$ лето'!u530-'[2]$ лето'!t530-'[2]$ лето'!s530-'[2]$ лето'!r530-'[2]$ лето'!p530-'[2]$ лето'!o530-'[2]$ лето'!n530-'[2]$ лето'!m530-'[2]$ лето'!l530+'[2]$ лето'!k530+'[2]$ лето'!q530+'[2]$ лето'!w530+'[2]$ лето'!ac530+'[2]$ лето'!ai530+'[2]$ лето'!ao530</f>
        <v>2</v>
      </c>
      <c r="I530" s="109" t="n">
        <f aca="false">'[2]$ лето'!ay530*1.1</f>
        <v>1232</v>
      </c>
      <c r="J530" s="85" t="n">
        <v>2016</v>
      </c>
    </row>
    <row r="531" customFormat="false" ht="15" hidden="true" customHeight="false" outlineLevel="0" collapsed="false">
      <c r="A531" s="115" t="s">
        <v>228</v>
      </c>
      <c r="B531" s="115" t="s">
        <v>604</v>
      </c>
      <c r="C531" s="116" t="s">
        <v>1123</v>
      </c>
      <c r="D531" s="116"/>
      <c r="E531" s="116"/>
      <c r="F531" s="116"/>
      <c r="G531" s="108" t="s">
        <v>933</v>
      </c>
      <c r="H531" s="105" t="n">
        <f aca="false">'[2]$ лето'!j531-'[2]$ лето'!au531-'[2]$ лето'!at531-'[2]$ лето'!as531-'[2]$ лето'!ar531-'[2]$ лето'!aq531-'[2]$ лето'!ap531-'[2]$ лето'!an531-'[2]$ лето'!am531-'[2]$ лето'!al531-'[2]$ лето'!ak531-'[2]$ лето'!aj531-'[2]$ лето'!ah531-'[2]$ лето'!ag531-'[2]$ лето'!af531-'[2]$ лето'!ae531-'[2]$ лето'!ad531-'[2]$ лето'!ab531-'[2]$ лето'!aa531-'[2]$ лето'!z531-'[2]$ лето'!y531-'[2]$ лето'!x531-'[2]$ лето'!v531-'[2]$ лето'!u531-'[2]$ лето'!t531-'[2]$ лето'!s531-'[2]$ лето'!r531-'[2]$ лето'!p531-'[2]$ лето'!o531-'[2]$ лето'!n531-'[2]$ лето'!m531-'[2]$ лето'!l531+'[2]$ лето'!k531+'[2]$ лето'!q531+'[2]$ лето'!w531+'[2]$ лето'!ac531+'[2]$ лето'!ai531+'[2]$ лето'!ao531</f>
        <v>0</v>
      </c>
      <c r="I531" s="109" t="n">
        <f aca="false">'[2]$ лето'!ay531*1.1</f>
        <v>1478.4</v>
      </c>
    </row>
    <row r="532" customFormat="false" ht="15" hidden="false" customHeight="false" outlineLevel="0" collapsed="false">
      <c r="A532" s="115" t="s">
        <v>228</v>
      </c>
      <c r="B532" s="115" t="s">
        <v>604</v>
      </c>
      <c r="C532" s="116" t="s">
        <v>1124</v>
      </c>
      <c r="D532" s="116"/>
      <c r="E532" s="116"/>
      <c r="F532" s="116"/>
      <c r="G532" s="108" t="s">
        <v>933</v>
      </c>
      <c r="H532" s="105" t="n">
        <f aca="false">'[2]$ лето'!j532-'[2]$ лето'!au532-'[2]$ лето'!at532-'[2]$ лето'!as532-'[2]$ лето'!ar532-'[2]$ лето'!aq532-'[2]$ лето'!ap532-'[2]$ лето'!an532-'[2]$ лето'!am532-'[2]$ лето'!al532-'[2]$ лето'!ak532-'[2]$ лето'!aj532-'[2]$ лето'!ah532-'[2]$ лето'!ag532-'[2]$ лето'!af532-'[2]$ лето'!ae532-'[2]$ лето'!ad532-'[2]$ лето'!ab532-'[2]$ лето'!aa532-'[2]$ лето'!z532-'[2]$ лето'!y532-'[2]$ лето'!x532-'[2]$ лето'!v532-'[2]$ лето'!u532-'[2]$ лето'!t532-'[2]$ лето'!s532-'[2]$ лето'!r532-'[2]$ лето'!p532-'[2]$ лето'!o532-'[2]$ лето'!n532-'[2]$ лето'!m532-'[2]$ лето'!l532+'[2]$ лето'!k532+'[2]$ лето'!q532+'[2]$ лето'!w532+'[2]$ лето'!ac532+'[2]$ лето'!ai532+'[2]$ лето'!ao532</f>
        <v>12</v>
      </c>
      <c r="I532" s="109" t="n">
        <f aca="false">'[2]$ лето'!ay532*1.1</f>
        <v>1632.4</v>
      </c>
      <c r="J532" s="85" t="n">
        <v>2017</v>
      </c>
    </row>
    <row r="533" customFormat="false" ht="15" hidden="true" customHeight="false" outlineLevel="0" collapsed="false">
      <c r="A533" s="115" t="s">
        <v>228</v>
      </c>
      <c r="B533" s="115" t="s">
        <v>948</v>
      </c>
      <c r="C533" s="116" t="s">
        <v>1125</v>
      </c>
      <c r="D533" s="116"/>
      <c r="E533" s="116"/>
      <c r="F533" s="116"/>
      <c r="G533" s="108"/>
      <c r="H533" s="105" t="n">
        <f aca="false">'[2]$ лето'!j533-'[2]$ лето'!au533-'[2]$ лето'!at533-'[2]$ лето'!as533-'[2]$ лето'!ar533-'[2]$ лето'!aq533-'[2]$ лето'!ap533-'[2]$ лето'!an533-'[2]$ лето'!am533-'[2]$ лето'!al533-'[2]$ лето'!ak533-'[2]$ лето'!aj533-'[2]$ лето'!ah533-'[2]$ лето'!ag533-'[2]$ лето'!af533-'[2]$ лето'!ae533-'[2]$ лето'!ad533-'[2]$ лето'!ab533-'[2]$ лето'!aa533-'[2]$ лето'!z533-'[2]$ лето'!y533-'[2]$ лето'!x533-'[2]$ лето'!v533-'[2]$ лето'!u533-'[2]$ лето'!t533-'[2]$ лето'!s533-'[2]$ лето'!r533-'[2]$ лето'!p533-'[2]$ лето'!o533-'[2]$ лето'!n533-'[2]$ лето'!m533-'[2]$ лето'!l533+'[2]$ лето'!k533+'[2]$ лето'!q533+'[2]$ лето'!w533+'[2]$ лето'!ac533+'[2]$ лето'!ai533+'[2]$ лето'!ao533</f>
        <v>0</v>
      </c>
      <c r="I533" s="109" t="n">
        <f aca="false">'[2]$ лето'!ay533*1.1</f>
        <v>2310</v>
      </c>
    </row>
    <row r="534" customFormat="false" ht="15" hidden="false" customHeight="false" outlineLevel="0" collapsed="false">
      <c r="A534" s="115" t="s">
        <v>228</v>
      </c>
      <c r="B534" s="115" t="s">
        <v>948</v>
      </c>
      <c r="C534" s="107" t="s">
        <v>1126</v>
      </c>
      <c r="D534" s="107"/>
      <c r="E534" s="116"/>
      <c r="F534" s="116"/>
      <c r="G534" s="108"/>
      <c r="H534" s="105" t="n">
        <f aca="false">'[2]$ лето'!j534-'[2]$ лето'!au534-'[2]$ лето'!at534-'[2]$ лето'!as534-'[2]$ лето'!ar534-'[2]$ лето'!aq534-'[2]$ лето'!ap534-'[2]$ лето'!an534-'[2]$ лето'!am534-'[2]$ лето'!al534-'[2]$ лето'!ak534-'[2]$ лето'!aj534-'[2]$ лето'!ah534-'[2]$ лето'!ag534-'[2]$ лето'!af534-'[2]$ лето'!ae534-'[2]$ лето'!ad534-'[2]$ лето'!ab534-'[2]$ лето'!aa534-'[2]$ лето'!z534-'[2]$ лето'!y534-'[2]$ лето'!x534-'[2]$ лето'!v534-'[2]$ лето'!u534-'[2]$ лето'!t534-'[2]$ лето'!s534-'[2]$ лето'!r534-'[2]$ лето'!p534-'[2]$ лето'!o534-'[2]$ лето'!n534-'[2]$ лето'!m534-'[2]$ лето'!l534+'[2]$ лето'!k534+'[2]$ лето'!q534+'[2]$ лето'!w534+'[2]$ лето'!ac534+'[2]$ лето'!ai534+'[2]$ лето'!ao534</f>
        <v>4</v>
      </c>
      <c r="I534" s="109" t="n">
        <f aca="false">'[2]$ лето'!ay534*1.1</f>
        <v>1540</v>
      </c>
      <c r="J534" s="85" t="s">
        <v>1127</v>
      </c>
    </row>
    <row r="535" customFormat="false" ht="15" hidden="true" customHeight="false" outlineLevel="0" collapsed="false">
      <c r="A535" s="115" t="s">
        <v>228</v>
      </c>
      <c r="B535" s="115" t="s">
        <v>606</v>
      </c>
      <c r="C535" s="107" t="s">
        <v>1128</v>
      </c>
      <c r="D535" s="107"/>
      <c r="E535" s="107"/>
      <c r="F535" s="107"/>
      <c r="G535" s="108" t="s">
        <v>849</v>
      </c>
      <c r="H535" s="105" t="n">
        <f aca="false">'[2]$ лето'!j535-'[2]$ лето'!au535-'[2]$ лето'!at535-'[2]$ лето'!as535-'[2]$ лето'!ar535-'[2]$ лето'!aq535-'[2]$ лето'!ap535-'[2]$ лето'!an535-'[2]$ лето'!am535-'[2]$ лето'!al535-'[2]$ лето'!ak535-'[2]$ лето'!aj535-'[2]$ лето'!ah535-'[2]$ лето'!ag535-'[2]$ лето'!af535-'[2]$ лето'!ae535-'[2]$ лето'!ad535-'[2]$ лето'!ab535-'[2]$ лето'!aa535-'[2]$ лето'!z535-'[2]$ лето'!y535-'[2]$ лето'!x535-'[2]$ лето'!v535-'[2]$ лето'!u535-'[2]$ лето'!t535-'[2]$ лето'!s535-'[2]$ лето'!r535-'[2]$ лето'!p535-'[2]$ лето'!o535-'[2]$ лето'!n535-'[2]$ лето'!m535-'[2]$ лето'!l535+'[2]$ лето'!k535+'[2]$ лето'!q535+'[2]$ лето'!w535+'[2]$ лето'!ac535+'[2]$ лето'!ai535+'[2]$ лето'!ao535</f>
        <v>0</v>
      </c>
      <c r="I535" s="109" t="n">
        <f aca="false">'[2]$ лето'!ay535*1.1</f>
        <v>1570.8</v>
      </c>
      <c r="J535" s="85" t="n">
        <v>2018</v>
      </c>
    </row>
    <row r="536" customFormat="false" ht="15" hidden="false" customHeight="false" outlineLevel="0" collapsed="false">
      <c r="A536" s="115" t="s">
        <v>228</v>
      </c>
      <c r="B536" s="115" t="s">
        <v>606</v>
      </c>
      <c r="C536" s="107" t="s">
        <v>950</v>
      </c>
      <c r="D536" s="107"/>
      <c r="E536" s="116"/>
      <c r="F536" s="116"/>
      <c r="G536" s="108" t="s">
        <v>609</v>
      </c>
      <c r="H536" s="105" t="n">
        <f aca="false">'[2]$ лето'!j536-'[2]$ лето'!au536-'[2]$ лето'!at536-'[2]$ лето'!as536-'[2]$ лето'!ar536-'[2]$ лето'!aq536-'[2]$ лето'!ap536-'[2]$ лето'!an536-'[2]$ лето'!am536-'[2]$ лето'!al536-'[2]$ лето'!ak536-'[2]$ лето'!aj536-'[2]$ лето'!ah536-'[2]$ лето'!ag536-'[2]$ лето'!af536-'[2]$ лето'!ae536-'[2]$ лето'!ad536-'[2]$ лето'!ab536-'[2]$ лето'!aa536-'[2]$ лето'!z536-'[2]$ лето'!y536-'[2]$ лето'!x536-'[2]$ лето'!v536-'[2]$ лето'!u536-'[2]$ лето'!t536-'[2]$ лето'!s536-'[2]$ лето'!r536-'[2]$ лето'!p536-'[2]$ лето'!o536-'[2]$ лето'!n536-'[2]$ лето'!m536-'[2]$ лето'!l536+'[2]$ лето'!k536+'[2]$ лето'!q536+'[2]$ лето'!w536+'[2]$ лето'!ac536+'[2]$ лето'!ai536+'[2]$ лето'!ao536</f>
        <v>4</v>
      </c>
      <c r="I536" s="109" t="n">
        <f aca="false">'[2]$ лето'!ay536*1.1</f>
        <v>1447.6</v>
      </c>
      <c r="J536" s="85" t="n">
        <v>2018</v>
      </c>
    </row>
    <row r="537" customFormat="false" ht="15" hidden="false" customHeight="false" outlineLevel="0" collapsed="false">
      <c r="A537" s="115" t="s">
        <v>228</v>
      </c>
      <c r="B537" s="115" t="s">
        <v>606</v>
      </c>
      <c r="C537" s="107" t="s">
        <v>1129</v>
      </c>
      <c r="D537" s="107"/>
      <c r="E537" s="116"/>
      <c r="F537" s="116"/>
      <c r="G537" s="108" t="s">
        <v>849</v>
      </c>
      <c r="H537" s="105" t="n">
        <f aca="false">'[2]$ лето'!j537-'[2]$ лето'!au537-'[2]$ лето'!at537-'[2]$ лето'!as537-'[2]$ лето'!ar537-'[2]$ лето'!aq537-'[2]$ лето'!ap537-'[2]$ лето'!an537-'[2]$ лето'!am537-'[2]$ лето'!al537-'[2]$ лето'!ak537-'[2]$ лето'!aj537-'[2]$ лето'!ah537-'[2]$ лето'!ag537-'[2]$ лето'!af537-'[2]$ лето'!ae537-'[2]$ лето'!ad537-'[2]$ лето'!ab537-'[2]$ лето'!aa537-'[2]$ лето'!z537-'[2]$ лето'!y537-'[2]$ лето'!x537-'[2]$ лето'!v537-'[2]$ лето'!u537-'[2]$ лето'!t537-'[2]$ лето'!s537-'[2]$ лето'!r537-'[2]$ лето'!p537-'[2]$ лето'!o537-'[2]$ лето'!n537-'[2]$ лето'!m537-'[2]$ лето'!l537+'[2]$ лето'!k537+'[2]$ лето'!q537+'[2]$ лето'!w537+'[2]$ лето'!ac537+'[2]$ лето'!ai537+'[2]$ лето'!ao537</f>
        <v>2</v>
      </c>
      <c r="I537" s="109" t="n">
        <f aca="false">'[2]$ лето'!ay537*1.1</f>
        <v>1416.8</v>
      </c>
      <c r="J537" s="85" t="n">
        <v>2018</v>
      </c>
    </row>
    <row r="538" customFormat="false" ht="15" hidden="true" customHeight="false" outlineLevel="0" collapsed="false">
      <c r="A538" s="115" t="s">
        <v>228</v>
      </c>
      <c r="B538" s="115" t="s">
        <v>1130</v>
      </c>
      <c r="C538" s="107" t="s">
        <v>1131</v>
      </c>
      <c r="D538" s="107"/>
      <c r="E538" s="107"/>
      <c r="F538" s="107"/>
      <c r="G538" s="108"/>
      <c r="H538" s="105" t="n">
        <f aca="false">'[2]$ лето'!j538-'[2]$ лето'!au538-'[2]$ лето'!at538-'[2]$ лето'!as538-'[2]$ лето'!ar538-'[2]$ лето'!aq538-'[2]$ лето'!ap538-'[2]$ лето'!an538-'[2]$ лето'!am538-'[2]$ лето'!al538-'[2]$ лето'!ak538-'[2]$ лето'!aj538-'[2]$ лето'!ah538-'[2]$ лето'!ag538-'[2]$ лето'!af538-'[2]$ лето'!ae538-'[2]$ лето'!ad538-'[2]$ лето'!ab538-'[2]$ лето'!aa538-'[2]$ лето'!z538-'[2]$ лето'!y538-'[2]$ лето'!x538-'[2]$ лето'!v538-'[2]$ лето'!u538-'[2]$ лето'!t538-'[2]$ лето'!s538-'[2]$ лето'!r538-'[2]$ лето'!p538-'[2]$ лето'!o538-'[2]$ лето'!n538-'[2]$ лето'!m538-'[2]$ лето'!l538+'[2]$ лето'!k538+'[2]$ лето'!q538+'[2]$ лето'!w538+'[2]$ лето'!ac538+'[2]$ лето'!ai538+'[2]$ лето'!ao538</f>
        <v>0</v>
      </c>
      <c r="I538" s="109" t="n">
        <f aca="false">'[2]$ лето'!ay538*1.1</f>
        <v>954.8</v>
      </c>
    </row>
    <row r="539" customFormat="false" ht="15" hidden="false" customHeight="false" outlineLevel="0" collapsed="false">
      <c r="A539" s="115" t="s">
        <v>228</v>
      </c>
      <c r="B539" s="115" t="s">
        <v>666</v>
      </c>
      <c r="C539" s="116" t="s">
        <v>1132</v>
      </c>
      <c r="D539" s="116"/>
      <c r="E539" s="116"/>
      <c r="F539" s="116"/>
      <c r="G539" s="108" t="s">
        <v>631</v>
      </c>
      <c r="H539" s="105" t="n">
        <f aca="false">'[2]$ лето'!j539-'[2]$ лето'!au539-'[2]$ лето'!at539-'[2]$ лето'!as539-'[2]$ лето'!ar539-'[2]$ лето'!aq539-'[2]$ лето'!ap539-'[2]$ лето'!an539-'[2]$ лето'!am539-'[2]$ лето'!al539-'[2]$ лето'!ak539-'[2]$ лето'!aj539-'[2]$ лето'!ah539-'[2]$ лето'!ag539-'[2]$ лето'!af539-'[2]$ лето'!ae539-'[2]$ лето'!ad539-'[2]$ лето'!ab539-'[2]$ лето'!aa539-'[2]$ лето'!z539-'[2]$ лето'!y539-'[2]$ лето'!x539-'[2]$ лето'!v539-'[2]$ лето'!u539-'[2]$ лето'!t539-'[2]$ лето'!s539-'[2]$ лето'!r539-'[2]$ лето'!p539-'[2]$ лето'!o539-'[2]$ лето'!n539-'[2]$ лето'!m539-'[2]$ лето'!l539+'[2]$ лето'!k539+'[2]$ лето'!q539+'[2]$ лето'!w539+'[2]$ лето'!ac539+'[2]$ лето'!ai539+'[2]$ лето'!ao539</f>
        <v>8</v>
      </c>
      <c r="I539" s="109" t="n">
        <f aca="false">'[2]$ лето'!ay539*1.1</f>
        <v>1478.4</v>
      </c>
      <c r="J539" s="85" t="n">
        <v>2017</v>
      </c>
    </row>
    <row r="540" customFormat="false" ht="15" hidden="true" customHeight="false" outlineLevel="0" collapsed="false">
      <c r="A540" s="115" t="s">
        <v>228</v>
      </c>
      <c r="B540" s="115" t="s">
        <v>668</v>
      </c>
      <c r="C540" s="116" t="s">
        <v>716</v>
      </c>
      <c r="D540" s="116"/>
      <c r="E540" s="116"/>
      <c r="F540" s="116"/>
      <c r="G540" s="108" t="s">
        <v>609</v>
      </c>
      <c r="H540" s="105" t="n">
        <f aca="false">'[2]$ лето'!j540-'[2]$ лето'!au540-'[2]$ лето'!at540-'[2]$ лето'!as540-'[2]$ лето'!ar540-'[2]$ лето'!aq540-'[2]$ лето'!ap540-'[2]$ лето'!an540-'[2]$ лето'!am540-'[2]$ лето'!al540-'[2]$ лето'!ak540-'[2]$ лето'!aj540-'[2]$ лето'!ah540-'[2]$ лето'!ag540-'[2]$ лето'!af540-'[2]$ лето'!ae540-'[2]$ лето'!ad540-'[2]$ лето'!ab540-'[2]$ лето'!aa540-'[2]$ лето'!z540-'[2]$ лето'!y540-'[2]$ лето'!x540-'[2]$ лето'!v540-'[2]$ лето'!u540-'[2]$ лето'!t540-'[2]$ лето'!s540-'[2]$ лето'!r540-'[2]$ лето'!p540-'[2]$ лето'!o540-'[2]$ лето'!n540-'[2]$ лето'!m540-'[2]$ лето'!l540+'[2]$ лето'!k540+'[2]$ лето'!q540+'[2]$ лето'!w540+'[2]$ лето'!ac540+'[2]$ лето'!ai540+'[2]$ лето'!ao540</f>
        <v>0</v>
      </c>
      <c r="I540" s="109" t="n">
        <f aca="false">'[2]$ лето'!ay540*1.1</f>
        <v>1447.6</v>
      </c>
    </row>
    <row r="541" customFormat="false" ht="15" hidden="false" customHeight="false" outlineLevel="0" collapsed="false">
      <c r="A541" s="115" t="s">
        <v>228</v>
      </c>
      <c r="B541" s="115" t="s">
        <v>668</v>
      </c>
      <c r="C541" s="116" t="s">
        <v>1009</v>
      </c>
      <c r="D541" s="116"/>
      <c r="E541" s="116"/>
      <c r="F541" s="116"/>
      <c r="G541" s="108" t="s">
        <v>609</v>
      </c>
      <c r="H541" s="105" t="n">
        <f aca="false">'[2]$ лето'!j541-'[2]$ лето'!au541-'[2]$ лето'!at541-'[2]$ лето'!as541-'[2]$ лето'!ar541-'[2]$ лето'!aq541-'[2]$ лето'!ap541-'[2]$ лето'!an541-'[2]$ лето'!am541-'[2]$ лето'!al541-'[2]$ лето'!ak541-'[2]$ лето'!aj541-'[2]$ лето'!ah541-'[2]$ лето'!ag541-'[2]$ лето'!af541-'[2]$ лето'!ae541-'[2]$ лето'!ad541-'[2]$ лето'!ab541-'[2]$ лето'!aa541-'[2]$ лето'!z541-'[2]$ лето'!y541-'[2]$ лето'!x541-'[2]$ лето'!v541-'[2]$ лето'!u541-'[2]$ лето'!t541-'[2]$ лето'!s541-'[2]$ лето'!r541-'[2]$ лето'!p541-'[2]$ лето'!o541-'[2]$ лето'!n541-'[2]$ лето'!m541-'[2]$ лето'!l541+'[2]$ лето'!k541+'[2]$ лето'!q541+'[2]$ лето'!w541+'[2]$ лето'!ac541+'[2]$ лето'!ai541+'[2]$ лето'!ao541</f>
        <v>2</v>
      </c>
      <c r="I541" s="109" t="n">
        <f aca="false">'[2]$ лето'!ay541*1.1</f>
        <v>1663.2</v>
      </c>
    </row>
    <row r="542" customFormat="false" ht="15" hidden="true" customHeight="false" outlineLevel="0" collapsed="false">
      <c r="A542" s="115" t="s">
        <v>228</v>
      </c>
      <c r="B542" s="115" t="s">
        <v>574</v>
      </c>
      <c r="C542" s="116" t="s">
        <v>998</v>
      </c>
      <c r="D542" s="116"/>
      <c r="E542" s="116"/>
      <c r="F542" s="116"/>
      <c r="G542" s="108" t="s">
        <v>576</v>
      </c>
      <c r="H542" s="105" t="n">
        <f aca="false">'[2]$ лето'!j542-'[2]$ лето'!au542-'[2]$ лето'!at542-'[2]$ лето'!as542-'[2]$ лето'!ar542-'[2]$ лето'!aq542-'[2]$ лето'!ap542-'[2]$ лето'!an542-'[2]$ лето'!am542-'[2]$ лето'!al542-'[2]$ лето'!ak542-'[2]$ лето'!aj542-'[2]$ лето'!ah542-'[2]$ лето'!ag542-'[2]$ лето'!af542-'[2]$ лето'!ae542-'[2]$ лето'!ad542-'[2]$ лето'!ab542-'[2]$ лето'!aa542-'[2]$ лето'!z542-'[2]$ лето'!y542-'[2]$ лето'!x542-'[2]$ лето'!v542-'[2]$ лето'!u542-'[2]$ лето'!t542-'[2]$ лето'!s542-'[2]$ лето'!r542-'[2]$ лето'!p542-'[2]$ лето'!o542-'[2]$ лето'!n542-'[2]$ лето'!m542-'[2]$ лето'!l542+'[2]$ лето'!k542+'[2]$ лето'!q542+'[2]$ лето'!w542+'[2]$ лето'!ac542+'[2]$ лето'!ai542+'[2]$ лето'!ao542</f>
        <v>0</v>
      </c>
      <c r="I542" s="109" t="n">
        <f aca="false">'[2]$ лето'!ay542*1.1</f>
        <v>1447.6</v>
      </c>
    </row>
    <row r="543" customFormat="false" ht="15" hidden="true" customHeight="false" outlineLevel="0" collapsed="false">
      <c r="A543" s="115" t="s">
        <v>228</v>
      </c>
      <c r="B543" s="115" t="s">
        <v>574</v>
      </c>
      <c r="C543" s="116" t="s">
        <v>1133</v>
      </c>
      <c r="D543" s="116"/>
      <c r="E543" s="116"/>
      <c r="F543" s="116"/>
      <c r="G543" s="108" t="s">
        <v>576</v>
      </c>
      <c r="H543" s="105" t="n">
        <f aca="false">'[2]$ лето'!j543-'[2]$ лето'!au543-'[2]$ лето'!at543-'[2]$ лето'!as543-'[2]$ лето'!ar543-'[2]$ лето'!aq543-'[2]$ лето'!ap543-'[2]$ лето'!an543-'[2]$ лето'!am543-'[2]$ лето'!al543-'[2]$ лето'!ak543-'[2]$ лето'!aj543-'[2]$ лето'!ah543-'[2]$ лето'!ag543-'[2]$ лето'!af543-'[2]$ лето'!ae543-'[2]$ лето'!ad543-'[2]$ лето'!ab543-'[2]$ лето'!aa543-'[2]$ лето'!z543-'[2]$ лето'!y543-'[2]$ лето'!x543-'[2]$ лето'!v543-'[2]$ лето'!u543-'[2]$ лето'!t543-'[2]$ лето'!s543-'[2]$ лето'!r543-'[2]$ лето'!p543-'[2]$ лето'!o543-'[2]$ лето'!n543-'[2]$ лето'!m543-'[2]$ лето'!l543+'[2]$ лето'!k543+'[2]$ лето'!q543+'[2]$ лето'!w543+'[2]$ лето'!ac543+'[2]$ лето'!ai543+'[2]$ лето'!ao543</f>
        <v>0</v>
      </c>
      <c r="I543" s="109" t="n">
        <f aca="false">'[2]$ лето'!ay543*1.1</f>
        <v>1468.28</v>
      </c>
      <c r="J543" s="85" t="n">
        <v>2018</v>
      </c>
    </row>
    <row r="544" customFormat="false" ht="15" hidden="false" customHeight="false" outlineLevel="0" collapsed="false">
      <c r="A544" s="115" t="s">
        <v>228</v>
      </c>
      <c r="B544" s="115" t="s">
        <v>579</v>
      </c>
      <c r="C544" s="116" t="s">
        <v>1134</v>
      </c>
      <c r="D544" s="116"/>
      <c r="E544" s="116"/>
      <c r="F544" s="116"/>
      <c r="G544" s="108" t="s">
        <v>520</v>
      </c>
      <c r="H544" s="105" t="n">
        <f aca="false">'[2]$ лето'!j544-'[2]$ лето'!au544-'[2]$ лето'!at544-'[2]$ лето'!as544-'[2]$ лето'!ar544-'[2]$ лето'!aq544-'[2]$ лето'!ap544-'[2]$ лето'!an544-'[2]$ лето'!am544-'[2]$ лето'!al544-'[2]$ лето'!ak544-'[2]$ лето'!aj544-'[2]$ лето'!ah544-'[2]$ лето'!ag544-'[2]$ лето'!af544-'[2]$ лето'!ae544-'[2]$ лето'!ad544-'[2]$ лето'!ab544-'[2]$ лето'!aa544-'[2]$ лето'!z544-'[2]$ лето'!y544-'[2]$ лето'!x544-'[2]$ лето'!v544-'[2]$ лето'!u544-'[2]$ лето'!t544-'[2]$ лето'!s544-'[2]$ лето'!r544-'[2]$ лето'!p544-'[2]$ лето'!o544-'[2]$ лето'!n544-'[2]$ лето'!m544-'[2]$ лето'!l544+'[2]$ лето'!k544+'[2]$ лето'!q544+'[2]$ лето'!w544+'[2]$ лето'!ac544+'[2]$ лето'!ai544+'[2]$ лето'!ao544</f>
        <v>8</v>
      </c>
      <c r="I544" s="109" t="n">
        <f aca="false">'[2]$ лето'!ay544*1.1</f>
        <v>1056</v>
      </c>
    </row>
    <row r="545" customFormat="false" ht="15" hidden="false" customHeight="false" outlineLevel="0" collapsed="false">
      <c r="A545" s="115" t="s">
        <v>228</v>
      </c>
      <c r="B545" s="115" t="s">
        <v>883</v>
      </c>
      <c r="C545" s="116"/>
      <c r="D545" s="116"/>
      <c r="E545" s="116"/>
      <c r="F545" s="116"/>
      <c r="G545" s="108"/>
      <c r="H545" s="105" t="n">
        <f aca="false">'[2]$ лето'!j545-'[2]$ лето'!au545-'[2]$ лето'!at545-'[2]$ лето'!as545-'[2]$ лето'!ar545-'[2]$ лето'!aq545-'[2]$ лето'!ap545-'[2]$ лето'!an545-'[2]$ лето'!am545-'[2]$ лето'!al545-'[2]$ лето'!ak545-'[2]$ лето'!aj545-'[2]$ лето'!ah545-'[2]$ лето'!ag545-'[2]$ лето'!af545-'[2]$ лето'!ae545-'[2]$ лето'!ad545-'[2]$ лето'!ab545-'[2]$ лето'!aa545-'[2]$ лето'!z545-'[2]$ лето'!y545-'[2]$ лето'!x545-'[2]$ лето'!v545-'[2]$ лето'!u545-'[2]$ лето'!t545-'[2]$ лето'!s545-'[2]$ лето'!r545-'[2]$ лето'!p545-'[2]$ лето'!o545-'[2]$ лето'!n545-'[2]$ лето'!m545-'[2]$ лето'!l545+'[2]$ лето'!k545+'[2]$ лето'!q545+'[2]$ лето'!w545+'[2]$ лето'!ac545+'[2]$ лето'!ai545+'[2]$ лето'!ao545</f>
        <v>2</v>
      </c>
      <c r="I545" s="109" t="n">
        <f aca="false">'[2]$ лето'!ay545*1.1</f>
        <v>924</v>
      </c>
    </row>
    <row r="546" customFormat="false" ht="15" hidden="true" customHeight="false" outlineLevel="0" collapsed="false">
      <c r="A546" s="115" t="s">
        <v>228</v>
      </c>
      <c r="B546" s="115" t="s">
        <v>1135</v>
      </c>
      <c r="C546" s="116" t="s">
        <v>1136</v>
      </c>
      <c r="D546" s="116"/>
      <c r="E546" s="116"/>
      <c r="F546" s="116"/>
      <c r="G546" s="108"/>
      <c r="H546" s="105" t="n">
        <f aca="false">'[2]$ лето'!j546-'[2]$ лето'!au546-'[2]$ лето'!at546-'[2]$ лето'!as546-'[2]$ лето'!ar546-'[2]$ лето'!aq546-'[2]$ лето'!ap546-'[2]$ лето'!an546-'[2]$ лето'!am546-'[2]$ лето'!al546-'[2]$ лето'!ak546-'[2]$ лето'!aj546-'[2]$ лето'!ah546-'[2]$ лето'!ag546-'[2]$ лето'!af546-'[2]$ лето'!ae546-'[2]$ лето'!ad546-'[2]$ лето'!ab546-'[2]$ лето'!aa546-'[2]$ лето'!z546-'[2]$ лето'!y546-'[2]$ лето'!x546-'[2]$ лето'!v546-'[2]$ лето'!u546-'[2]$ лето'!t546-'[2]$ лето'!s546-'[2]$ лето'!r546-'[2]$ лето'!p546-'[2]$ лето'!o546-'[2]$ лето'!n546-'[2]$ лето'!m546-'[2]$ лето'!l546+'[2]$ лето'!k546+'[2]$ лето'!q546+'[2]$ лето'!w546+'[2]$ лето'!ac546+'[2]$ лето'!ai546+'[2]$ лето'!ao546</f>
        <v>0</v>
      </c>
      <c r="I546" s="109" t="n">
        <f aca="false">'[2]$ лето'!ay546*1.1</f>
        <v>1478.4</v>
      </c>
      <c r="J546" s="85" t="n">
        <v>2017</v>
      </c>
    </row>
    <row r="547" customFormat="false" ht="15" hidden="true" customHeight="false" outlineLevel="0" collapsed="false">
      <c r="A547" s="115" t="s">
        <v>228</v>
      </c>
      <c r="B547" s="115" t="s">
        <v>583</v>
      </c>
      <c r="C547" s="107" t="s">
        <v>1137</v>
      </c>
      <c r="D547" s="107"/>
      <c r="E547" s="107"/>
      <c r="F547" s="107"/>
      <c r="G547" s="108" t="s">
        <v>843</v>
      </c>
      <c r="H547" s="105" t="n">
        <f aca="false">'[2]$ лето'!j547-'[2]$ лето'!au547-'[2]$ лето'!at547-'[2]$ лето'!as547-'[2]$ лето'!ar547-'[2]$ лето'!aq547-'[2]$ лето'!ap547-'[2]$ лето'!an547-'[2]$ лето'!am547-'[2]$ лето'!al547-'[2]$ лето'!ak547-'[2]$ лето'!aj547-'[2]$ лето'!ah547-'[2]$ лето'!ag547-'[2]$ лето'!af547-'[2]$ лето'!ae547-'[2]$ лето'!ad547-'[2]$ лето'!ab547-'[2]$ лето'!aa547-'[2]$ лето'!z547-'[2]$ лето'!y547-'[2]$ лето'!x547-'[2]$ лето'!v547-'[2]$ лето'!u547-'[2]$ лето'!t547-'[2]$ лето'!s547-'[2]$ лето'!r547-'[2]$ лето'!p547-'[2]$ лето'!o547-'[2]$ лето'!n547-'[2]$ лето'!m547-'[2]$ лето'!l547+'[2]$ лето'!k547+'[2]$ лето'!q547+'[2]$ лето'!w547+'[2]$ лето'!ac547+'[2]$ лето'!ai547+'[2]$ лето'!ao547</f>
        <v>0</v>
      </c>
      <c r="I547" s="109" t="n">
        <f aca="false">'[2]$ лето'!ay547*1.1</f>
        <v>1324.4</v>
      </c>
      <c r="J547" s="85" t="n">
        <v>2018</v>
      </c>
    </row>
    <row r="548" customFormat="false" ht="15" hidden="true" customHeight="false" outlineLevel="0" collapsed="false">
      <c r="A548" s="115" t="s">
        <v>228</v>
      </c>
      <c r="B548" s="115" t="s">
        <v>583</v>
      </c>
      <c r="C548" s="107" t="s">
        <v>1138</v>
      </c>
      <c r="D548" s="107"/>
      <c r="E548" s="107"/>
      <c r="F548" s="107"/>
      <c r="G548" s="108"/>
      <c r="H548" s="105" t="n">
        <f aca="false">'[2]$ лето'!j548-'[2]$ лето'!au548-'[2]$ лето'!at548-'[2]$ лето'!as548-'[2]$ лето'!ar548-'[2]$ лето'!aq548-'[2]$ лето'!ap548-'[2]$ лето'!an548-'[2]$ лето'!am548-'[2]$ лето'!al548-'[2]$ лето'!ak548-'[2]$ лето'!aj548-'[2]$ лето'!ah548-'[2]$ лето'!ag548-'[2]$ лето'!af548-'[2]$ лето'!ae548-'[2]$ лето'!ad548-'[2]$ лето'!ab548-'[2]$ лето'!aa548-'[2]$ лето'!z548-'[2]$ лето'!y548-'[2]$ лето'!x548-'[2]$ лето'!v548-'[2]$ лето'!u548-'[2]$ лето'!t548-'[2]$ лето'!s548-'[2]$ лето'!r548-'[2]$ лето'!p548-'[2]$ лето'!o548-'[2]$ лето'!n548-'[2]$ лето'!m548-'[2]$ лето'!l548+'[2]$ лето'!k548+'[2]$ лето'!q548+'[2]$ лето'!w548+'[2]$ лето'!ac548+'[2]$ лето'!ai548+'[2]$ лето'!ao548</f>
        <v>0</v>
      </c>
      <c r="I548" s="109" t="n">
        <f aca="false">'[2]$ лето'!ay548*1.1</f>
        <v>1355.2</v>
      </c>
      <c r="J548" s="85" t="n">
        <v>2018</v>
      </c>
    </row>
    <row r="549" customFormat="false" ht="15" hidden="false" customHeight="false" outlineLevel="0" collapsed="false">
      <c r="A549" s="115" t="s">
        <v>228</v>
      </c>
      <c r="B549" s="115" t="s">
        <v>583</v>
      </c>
      <c r="C549" s="107" t="s">
        <v>1137</v>
      </c>
      <c r="D549" s="107"/>
      <c r="E549" s="116"/>
      <c r="F549" s="116"/>
      <c r="G549" s="108" t="s">
        <v>843</v>
      </c>
      <c r="H549" s="105" t="n">
        <f aca="false">'[2]$ лето'!j549-'[2]$ лето'!au549-'[2]$ лето'!at549-'[2]$ лето'!as549-'[2]$ лето'!ar549-'[2]$ лето'!aq549-'[2]$ лето'!ap549-'[2]$ лето'!an549-'[2]$ лето'!am549-'[2]$ лето'!al549-'[2]$ лето'!ak549-'[2]$ лето'!aj549-'[2]$ лето'!ah549-'[2]$ лето'!ag549-'[2]$ лето'!af549-'[2]$ лето'!ae549-'[2]$ лето'!ad549-'[2]$ лето'!ab549-'[2]$ лето'!aa549-'[2]$ лето'!z549-'[2]$ лето'!y549-'[2]$ лето'!x549-'[2]$ лето'!v549-'[2]$ лето'!u549-'[2]$ лето'!t549-'[2]$ лето'!s549-'[2]$ лето'!r549-'[2]$ лето'!p549-'[2]$ лето'!o549-'[2]$ лето'!n549-'[2]$ лето'!m549-'[2]$ лето'!l549+'[2]$ лето'!k549+'[2]$ лето'!q549+'[2]$ лето'!w549+'[2]$ лето'!ac549+'[2]$ лето'!ai549+'[2]$ лето'!ao549</f>
        <v>4</v>
      </c>
      <c r="I549" s="109" t="n">
        <f aca="false">'[2]$ лето'!ay549*1.1</f>
        <v>1324.4</v>
      </c>
      <c r="J549" s="85" t="n">
        <v>2018</v>
      </c>
    </row>
    <row r="550" customFormat="false" ht="15" hidden="true" customHeight="false" outlineLevel="0" collapsed="false">
      <c r="A550" s="123" t="s">
        <v>228</v>
      </c>
      <c r="B550" s="123" t="s">
        <v>593</v>
      </c>
      <c r="C550" s="126" t="s">
        <v>1139</v>
      </c>
      <c r="D550" s="126"/>
      <c r="E550" s="126"/>
      <c r="F550" s="126"/>
      <c r="G550" s="108" t="s">
        <v>935</v>
      </c>
      <c r="H550" s="105" t="n">
        <f aca="false">'[2]$ лето'!j550-'[2]$ лето'!au550-'[2]$ лето'!at550-'[2]$ лето'!as550-'[2]$ лето'!ar550-'[2]$ лето'!aq550-'[2]$ лето'!ap550-'[2]$ лето'!an550-'[2]$ лето'!am550-'[2]$ лето'!al550-'[2]$ лето'!ak550-'[2]$ лето'!aj550-'[2]$ лето'!ah550-'[2]$ лето'!ag550-'[2]$ лето'!af550-'[2]$ лето'!ae550-'[2]$ лето'!ad550-'[2]$ лето'!ab550-'[2]$ лето'!aa550-'[2]$ лето'!z550-'[2]$ лето'!y550-'[2]$ лето'!x550-'[2]$ лето'!v550-'[2]$ лето'!u550-'[2]$ лето'!t550-'[2]$ лето'!s550-'[2]$ лето'!r550-'[2]$ лето'!p550-'[2]$ лето'!o550-'[2]$ лето'!n550-'[2]$ лето'!m550-'[2]$ лето'!l550+'[2]$ лето'!k550+'[2]$ лето'!q550+'[2]$ лето'!w550+'[2]$ лето'!ac550+'[2]$ лето'!ai550+'[2]$ лето'!ao550</f>
        <v>0</v>
      </c>
      <c r="I550" s="109" t="n">
        <f aca="false">'[2]$ лето'!ay550*1.1</f>
        <v>2310</v>
      </c>
      <c r="J550" s="85" t="n">
        <v>2017</v>
      </c>
    </row>
    <row r="551" customFormat="false" ht="15" hidden="true" customHeight="false" outlineLevel="0" collapsed="false">
      <c r="A551" s="115" t="s">
        <v>228</v>
      </c>
      <c r="B551" s="115" t="s">
        <v>593</v>
      </c>
      <c r="C551" s="126" t="s">
        <v>1140</v>
      </c>
      <c r="D551" s="126"/>
      <c r="E551" s="126"/>
      <c r="F551" s="126"/>
      <c r="G551" s="108"/>
      <c r="H551" s="105" t="n">
        <f aca="false">'[2]$ лето'!j551-'[2]$ лето'!au551-'[2]$ лето'!at551-'[2]$ лето'!as551-'[2]$ лето'!ar551-'[2]$ лето'!aq551-'[2]$ лето'!ap551-'[2]$ лето'!an551-'[2]$ лето'!am551-'[2]$ лето'!al551-'[2]$ лето'!ak551-'[2]$ лето'!aj551-'[2]$ лето'!ah551-'[2]$ лето'!ag551-'[2]$ лето'!af551-'[2]$ лето'!ae551-'[2]$ лето'!ad551-'[2]$ лето'!ab551-'[2]$ лето'!aa551-'[2]$ лето'!z551-'[2]$ лето'!y551-'[2]$ лето'!x551-'[2]$ лето'!v551-'[2]$ лето'!u551-'[2]$ лето'!t551-'[2]$ лето'!s551-'[2]$ лето'!r551-'[2]$ лето'!p551-'[2]$ лето'!o551-'[2]$ лето'!n551-'[2]$ лето'!m551-'[2]$ лето'!l551+'[2]$ лето'!k551+'[2]$ лето'!q551+'[2]$ лето'!w551+'[2]$ лето'!ac551+'[2]$ лето'!ai551+'[2]$ лето'!ao551</f>
        <v>0</v>
      </c>
      <c r="I551" s="109" t="n">
        <f aca="false">'[2]$ лето'!ay551*1.1</f>
        <v>1848</v>
      </c>
      <c r="J551" s="85" t="n">
        <v>2016</v>
      </c>
    </row>
    <row r="552" customFormat="false" ht="15" hidden="false" customHeight="false" outlineLevel="0" collapsed="false">
      <c r="A552" s="115" t="s">
        <v>228</v>
      </c>
      <c r="B552" s="115" t="s">
        <v>593</v>
      </c>
      <c r="C552" s="126" t="s">
        <v>1141</v>
      </c>
      <c r="D552" s="126"/>
      <c r="E552" s="126"/>
      <c r="F552" s="126"/>
      <c r="G552" s="108" t="s">
        <v>1142</v>
      </c>
      <c r="H552" s="105" t="n">
        <f aca="false">'[2]$ лето'!j552-'[2]$ лето'!au552-'[2]$ лето'!at552-'[2]$ лето'!as552-'[2]$ лето'!ar552-'[2]$ лето'!aq552-'[2]$ лето'!ap552-'[2]$ лето'!an552-'[2]$ лето'!am552-'[2]$ лето'!al552-'[2]$ лето'!ak552-'[2]$ лето'!aj552-'[2]$ лето'!ah552-'[2]$ лето'!ag552-'[2]$ лето'!af552-'[2]$ лето'!ae552-'[2]$ лето'!ad552-'[2]$ лето'!ab552-'[2]$ лето'!aa552-'[2]$ лето'!z552-'[2]$ лето'!y552-'[2]$ лето'!x552-'[2]$ лето'!v552-'[2]$ лето'!u552-'[2]$ лето'!t552-'[2]$ лето'!s552-'[2]$ лето'!r552-'[2]$ лето'!p552-'[2]$ лето'!o552-'[2]$ лето'!n552-'[2]$ лето'!m552-'[2]$ лето'!l552+'[2]$ лето'!k552+'[2]$ лето'!q552+'[2]$ лето'!w552+'[2]$ лето'!ac552+'[2]$ лето'!ai552+'[2]$ лето'!ao552</f>
        <v>8</v>
      </c>
      <c r="I552" s="109" t="n">
        <f aca="false">'[2]$ лето'!ay552*1.1</f>
        <v>2094.4</v>
      </c>
      <c r="J552" s="85" t="n">
        <v>2017</v>
      </c>
    </row>
    <row r="553" customFormat="false" ht="15" hidden="false" customHeight="false" outlineLevel="0" collapsed="false">
      <c r="A553" s="115" t="s">
        <v>228</v>
      </c>
      <c r="B553" s="115" t="s">
        <v>593</v>
      </c>
      <c r="C553" s="126" t="s">
        <v>1143</v>
      </c>
      <c r="D553" s="126"/>
      <c r="E553" s="126"/>
      <c r="F553" s="126"/>
      <c r="G553" s="108" t="s">
        <v>1142</v>
      </c>
      <c r="H553" s="105" t="n">
        <f aca="false">'[2]$ лето'!j553-'[2]$ лето'!au553-'[2]$ лето'!at553-'[2]$ лето'!as553-'[2]$ лето'!ar553-'[2]$ лето'!aq553-'[2]$ лето'!ap553-'[2]$ лето'!an553-'[2]$ лето'!am553-'[2]$ лето'!al553-'[2]$ лето'!ak553-'[2]$ лето'!aj553-'[2]$ лето'!ah553-'[2]$ лето'!ag553-'[2]$ лето'!af553-'[2]$ лето'!ae553-'[2]$ лето'!ad553-'[2]$ лето'!ab553-'[2]$ лето'!aa553-'[2]$ лето'!z553-'[2]$ лето'!y553-'[2]$ лето'!x553-'[2]$ лето'!v553-'[2]$ лето'!u553-'[2]$ лето'!t553-'[2]$ лето'!s553-'[2]$ лето'!r553-'[2]$ лето'!p553-'[2]$ лето'!o553-'[2]$ лето'!n553-'[2]$ лето'!m553-'[2]$ лето'!l553+'[2]$ лето'!k553+'[2]$ лето'!q553+'[2]$ лето'!w553+'[2]$ лето'!ac553+'[2]$ лето'!ai553+'[2]$ лето'!ao553</f>
        <v>6</v>
      </c>
      <c r="I553" s="109" t="n">
        <f aca="false">'[2]$ лето'!ay553*1.1</f>
        <v>2094.4</v>
      </c>
      <c r="J553" s="85" t="n">
        <v>2018</v>
      </c>
    </row>
    <row r="554" customFormat="false" ht="15" hidden="false" customHeight="false" outlineLevel="0" collapsed="false">
      <c r="A554" s="115" t="s">
        <v>228</v>
      </c>
      <c r="B554" s="115" t="s">
        <v>593</v>
      </c>
      <c r="C554" s="126" t="s">
        <v>1144</v>
      </c>
      <c r="D554" s="126"/>
      <c r="E554" s="126"/>
      <c r="F554" s="126"/>
      <c r="G554" s="108" t="s">
        <v>935</v>
      </c>
      <c r="H554" s="105" t="n">
        <f aca="false">'[2]$ лето'!j554-'[2]$ лето'!au554-'[2]$ лето'!at554-'[2]$ лето'!as554-'[2]$ лето'!ar554-'[2]$ лето'!aq554-'[2]$ лето'!ap554-'[2]$ лето'!an554-'[2]$ лето'!am554-'[2]$ лето'!al554-'[2]$ лето'!ak554-'[2]$ лето'!aj554-'[2]$ лето'!ah554-'[2]$ лето'!ag554-'[2]$ лето'!af554-'[2]$ лето'!ae554-'[2]$ лето'!ad554-'[2]$ лето'!ab554-'[2]$ лето'!aa554-'[2]$ лето'!z554-'[2]$ лето'!y554-'[2]$ лето'!x554-'[2]$ лето'!v554-'[2]$ лето'!u554-'[2]$ лето'!t554-'[2]$ лето'!s554-'[2]$ лето'!r554-'[2]$ лето'!p554-'[2]$ лето'!o554-'[2]$ лето'!n554-'[2]$ лето'!m554-'[2]$ лето'!l554+'[2]$ лето'!k554+'[2]$ лето'!q554+'[2]$ лето'!w554+'[2]$ лето'!ac554+'[2]$ лето'!ai554+'[2]$ лето'!ao554</f>
        <v>6</v>
      </c>
      <c r="I554" s="109" t="n">
        <f aca="false">'[2]$ лето'!ay554*1.1</f>
        <v>2156</v>
      </c>
      <c r="J554" s="85" t="n">
        <v>2018</v>
      </c>
    </row>
    <row r="555" customFormat="false" ht="15" hidden="false" customHeight="false" outlineLevel="0" collapsed="false">
      <c r="A555" s="123" t="s">
        <v>228</v>
      </c>
      <c r="B555" s="123" t="s">
        <v>593</v>
      </c>
      <c r="C555" s="126" t="s">
        <v>1145</v>
      </c>
      <c r="D555" s="126"/>
      <c r="E555" s="126"/>
      <c r="F555" s="126"/>
      <c r="G555" s="108" t="s">
        <v>843</v>
      </c>
      <c r="H555" s="105" t="n">
        <f aca="false">'[2]$ лето'!j555-'[2]$ лето'!au555-'[2]$ лето'!at555-'[2]$ лето'!as555-'[2]$ лето'!ar555-'[2]$ лето'!aq555-'[2]$ лето'!ap555-'[2]$ лето'!an555-'[2]$ лето'!am555-'[2]$ лето'!al555-'[2]$ лето'!ak555-'[2]$ лето'!aj555-'[2]$ лето'!ah555-'[2]$ лето'!ag555-'[2]$ лето'!af555-'[2]$ лето'!ae555-'[2]$ лето'!ad555-'[2]$ лето'!ab555-'[2]$ лето'!aa555-'[2]$ лето'!z555-'[2]$ лето'!y555-'[2]$ лето'!x555-'[2]$ лето'!v555-'[2]$ лето'!u555-'[2]$ лето'!t555-'[2]$ лето'!s555-'[2]$ лето'!r555-'[2]$ лето'!p555-'[2]$ лето'!o555-'[2]$ лето'!n555-'[2]$ лето'!m555-'[2]$ лето'!l555+'[2]$ лето'!k555+'[2]$ лето'!q555+'[2]$ лето'!w555+'[2]$ лето'!ac555+'[2]$ лето'!ai555+'[2]$ лето'!ao555</f>
        <v>17</v>
      </c>
      <c r="I555" s="109" t="n">
        <f aca="false">'[2]$ лето'!ay555*1.1</f>
        <v>2156</v>
      </c>
      <c r="J555" s="85" t="n">
        <v>2018</v>
      </c>
    </row>
    <row r="556" customFormat="false" ht="15" hidden="false" customHeight="false" outlineLevel="0" collapsed="false">
      <c r="A556" s="115" t="s">
        <v>228</v>
      </c>
      <c r="B556" s="115" t="s">
        <v>593</v>
      </c>
      <c r="C556" s="107" t="s">
        <v>1146</v>
      </c>
      <c r="D556" s="107"/>
      <c r="E556" s="116"/>
      <c r="F556" s="116"/>
      <c r="G556" s="108" t="s">
        <v>911</v>
      </c>
      <c r="H556" s="105" t="n">
        <f aca="false">'[2]$ лето'!j556-'[2]$ лето'!au556-'[2]$ лето'!at556-'[2]$ лето'!as556-'[2]$ лето'!ar556-'[2]$ лето'!aq556-'[2]$ лето'!ap556-'[2]$ лето'!an556-'[2]$ лето'!am556-'[2]$ лето'!al556-'[2]$ лето'!ak556-'[2]$ лето'!aj556-'[2]$ лето'!ah556-'[2]$ лето'!ag556-'[2]$ лето'!af556-'[2]$ лето'!ae556-'[2]$ лето'!ad556-'[2]$ лето'!ab556-'[2]$ лето'!aa556-'[2]$ лето'!z556-'[2]$ лето'!y556-'[2]$ лето'!x556-'[2]$ лето'!v556-'[2]$ лето'!u556-'[2]$ лето'!t556-'[2]$ лето'!s556-'[2]$ лето'!r556-'[2]$ лето'!p556-'[2]$ лето'!o556-'[2]$ лето'!n556-'[2]$ лето'!m556-'[2]$ лето'!l556+'[2]$ лето'!k556+'[2]$ лето'!q556+'[2]$ лето'!w556+'[2]$ лето'!ac556+'[2]$ лето'!ai556+'[2]$ лето'!ao556</f>
        <v>4</v>
      </c>
      <c r="I556" s="109" t="n">
        <f aca="false">'[2]$ лето'!ay556*1.1</f>
        <v>2063.6</v>
      </c>
      <c r="J556" s="85" t="n">
        <v>2016</v>
      </c>
    </row>
    <row r="557" customFormat="false" ht="15" hidden="false" customHeight="false" outlineLevel="0" collapsed="false">
      <c r="A557" s="115" t="s">
        <v>228</v>
      </c>
      <c r="B557" s="115" t="s">
        <v>586</v>
      </c>
      <c r="C557" s="107" t="s">
        <v>1000</v>
      </c>
      <c r="D557" s="107"/>
      <c r="E557" s="116"/>
      <c r="F557" s="116"/>
      <c r="G557" s="108" t="s">
        <v>520</v>
      </c>
      <c r="H557" s="105" t="n">
        <f aca="false">'[2]$ лето'!j557-'[2]$ лето'!au557-'[2]$ лето'!at557-'[2]$ лето'!as557-'[2]$ лето'!ar557-'[2]$ лето'!aq557-'[2]$ лето'!ap557-'[2]$ лето'!an557-'[2]$ лето'!am557-'[2]$ лето'!al557-'[2]$ лето'!ak557-'[2]$ лето'!aj557-'[2]$ лето'!ah557-'[2]$ лето'!ag557-'[2]$ лето'!af557-'[2]$ лето'!ae557-'[2]$ лето'!ad557-'[2]$ лето'!ab557-'[2]$ лето'!aa557-'[2]$ лето'!z557-'[2]$ лето'!y557-'[2]$ лето'!x557-'[2]$ лето'!v557-'[2]$ лето'!u557-'[2]$ лето'!t557-'[2]$ лето'!s557-'[2]$ лето'!r557-'[2]$ лето'!p557-'[2]$ лето'!o557-'[2]$ лето'!n557-'[2]$ лето'!m557-'[2]$ лето'!l557+'[2]$ лето'!k557+'[2]$ лето'!q557+'[2]$ лето'!w557+'[2]$ лето'!ac557+'[2]$ лето'!ai557+'[2]$ лето'!ao557</f>
        <v>8</v>
      </c>
      <c r="I557" s="109" t="n">
        <f aca="false">'[2]$ лето'!ay557*1.1</f>
        <v>1108.8</v>
      </c>
    </row>
    <row r="558" customFormat="false" ht="15" hidden="true" customHeight="false" outlineLevel="0" collapsed="false">
      <c r="A558" s="115" t="s">
        <v>228</v>
      </c>
      <c r="B558" s="115" t="s">
        <v>615</v>
      </c>
      <c r="C558" s="107" t="s">
        <v>1147</v>
      </c>
      <c r="D558" s="107"/>
      <c r="E558" s="107"/>
      <c r="F558" s="107"/>
      <c r="G558" s="108"/>
      <c r="H558" s="105" t="n">
        <f aca="false">'[2]$ лето'!j558-'[2]$ лето'!au558-'[2]$ лето'!at558-'[2]$ лето'!as558-'[2]$ лето'!ar558-'[2]$ лето'!aq558-'[2]$ лето'!ap558-'[2]$ лето'!an558-'[2]$ лето'!am558-'[2]$ лето'!al558-'[2]$ лето'!ak558-'[2]$ лето'!aj558-'[2]$ лето'!ah558-'[2]$ лето'!ag558-'[2]$ лето'!af558-'[2]$ лето'!ae558-'[2]$ лето'!ad558-'[2]$ лето'!ab558-'[2]$ лето'!aa558-'[2]$ лето'!z558-'[2]$ лето'!y558-'[2]$ лето'!x558-'[2]$ лето'!v558-'[2]$ лето'!u558-'[2]$ лето'!t558-'[2]$ лето'!s558-'[2]$ лето'!r558-'[2]$ лето'!p558-'[2]$ лето'!o558-'[2]$ лето'!n558-'[2]$ лето'!m558-'[2]$ лето'!l558+'[2]$ лето'!k558+'[2]$ лето'!q558+'[2]$ лето'!w558+'[2]$ лето'!ac558+'[2]$ лето'!ai558+'[2]$ лето'!ao558</f>
        <v>0</v>
      </c>
      <c r="I558" s="109" t="n">
        <f aca="false">'[2]$ лето'!ay558*1.1</f>
        <v>1232</v>
      </c>
    </row>
    <row r="559" customFormat="false" ht="15" hidden="true" customHeight="false" outlineLevel="0" collapsed="false">
      <c r="A559" s="115" t="s">
        <v>228</v>
      </c>
      <c r="B559" s="115" t="s">
        <v>615</v>
      </c>
      <c r="C559" s="107" t="s">
        <v>1148</v>
      </c>
      <c r="D559" s="107"/>
      <c r="E559" s="107"/>
      <c r="F559" s="107"/>
      <c r="G559" s="108"/>
      <c r="H559" s="105" t="n">
        <f aca="false">'[2]$ лето'!j559-'[2]$ лето'!au559-'[2]$ лето'!at559-'[2]$ лето'!as559-'[2]$ лето'!ar559-'[2]$ лето'!aq559-'[2]$ лето'!ap559-'[2]$ лето'!an559-'[2]$ лето'!am559-'[2]$ лето'!al559-'[2]$ лето'!ak559-'[2]$ лето'!aj559-'[2]$ лето'!ah559-'[2]$ лето'!ag559-'[2]$ лето'!af559-'[2]$ лето'!ae559-'[2]$ лето'!ad559-'[2]$ лето'!ab559-'[2]$ лето'!aa559-'[2]$ лето'!z559-'[2]$ лето'!y559-'[2]$ лето'!x559-'[2]$ лето'!v559-'[2]$ лето'!u559-'[2]$ лето'!t559-'[2]$ лето'!s559-'[2]$ лето'!r559-'[2]$ лето'!p559-'[2]$ лето'!o559-'[2]$ лето'!n559-'[2]$ лето'!m559-'[2]$ лето'!l559+'[2]$ лето'!k559+'[2]$ лето'!q559+'[2]$ лето'!w559+'[2]$ лето'!ac559+'[2]$ лето'!ai559+'[2]$ лето'!ao559</f>
        <v>0</v>
      </c>
      <c r="I559" s="109" t="n">
        <f aca="false">'[2]$ лето'!ay559*1.1</f>
        <v>1232</v>
      </c>
    </row>
    <row r="560" customFormat="false" ht="15" hidden="false" customHeight="false" outlineLevel="0" collapsed="false">
      <c r="A560" s="115" t="s">
        <v>228</v>
      </c>
      <c r="B560" s="115" t="s">
        <v>1149</v>
      </c>
      <c r="C560" s="116" t="s">
        <v>1150</v>
      </c>
      <c r="D560" s="116"/>
      <c r="E560" s="116"/>
      <c r="F560" s="116"/>
      <c r="G560" s="108"/>
      <c r="H560" s="105" t="n">
        <f aca="false">'[2]$ лето'!j560-'[2]$ лето'!au560-'[2]$ лето'!at560-'[2]$ лето'!as560-'[2]$ лето'!ar560-'[2]$ лето'!aq560-'[2]$ лето'!ap560-'[2]$ лето'!an560-'[2]$ лето'!am560-'[2]$ лето'!al560-'[2]$ лето'!ak560-'[2]$ лето'!aj560-'[2]$ лето'!ah560-'[2]$ лето'!ag560-'[2]$ лето'!af560-'[2]$ лето'!ae560-'[2]$ лето'!ad560-'[2]$ лето'!ab560-'[2]$ лето'!aa560-'[2]$ лето'!z560-'[2]$ лето'!y560-'[2]$ лето'!x560-'[2]$ лето'!v560-'[2]$ лето'!u560-'[2]$ лето'!t560-'[2]$ лето'!s560-'[2]$ лето'!r560-'[2]$ лето'!p560-'[2]$ лето'!o560-'[2]$ лето'!n560-'[2]$ лето'!m560-'[2]$ лето'!l560+'[2]$ лето'!k560+'[2]$ лето'!q560+'[2]$ лето'!w560+'[2]$ лето'!ac560+'[2]$ лето'!ai560+'[2]$ лето'!ao560</f>
        <v>1</v>
      </c>
      <c r="I560" s="109" t="n">
        <f aca="false">'[2]$ лето'!ay560*1.1</f>
        <v>616</v>
      </c>
    </row>
    <row r="561" customFormat="false" ht="15" hidden="false" customHeight="false" outlineLevel="0" collapsed="false">
      <c r="A561" s="129" t="s">
        <v>228</v>
      </c>
      <c r="B561" s="129" t="s">
        <v>1149</v>
      </c>
      <c r="C561" s="141" t="s">
        <v>1151</v>
      </c>
      <c r="D561" s="141"/>
      <c r="E561" s="141"/>
      <c r="F561" s="141"/>
      <c r="G561" s="132"/>
      <c r="H561" s="105" t="n">
        <f aca="false">'[2]$ лето'!j561-'[2]$ лето'!au561-'[2]$ лето'!at561-'[2]$ лето'!as561-'[2]$ лето'!ar561-'[2]$ лето'!aq561-'[2]$ лето'!ap561-'[2]$ лето'!an561-'[2]$ лето'!am561-'[2]$ лето'!al561-'[2]$ лето'!ak561-'[2]$ лето'!aj561-'[2]$ лето'!ah561-'[2]$ лето'!ag561-'[2]$ лето'!af561-'[2]$ лето'!ae561-'[2]$ лето'!ad561-'[2]$ лето'!ab561-'[2]$ лето'!aa561-'[2]$ лето'!z561-'[2]$ лето'!y561-'[2]$ лето'!x561-'[2]$ лето'!v561-'[2]$ лето'!u561-'[2]$ лето'!t561-'[2]$ лето'!s561-'[2]$ лето'!r561-'[2]$ лето'!p561-'[2]$ лето'!o561-'[2]$ лето'!n561-'[2]$ лето'!m561-'[2]$ лето'!l561+'[2]$ лето'!k561+'[2]$ лето'!q561+'[2]$ лето'!w561+'[2]$ лето'!ac561+'[2]$ лето'!ai561+'[2]$ лето'!ao561</f>
        <v>2</v>
      </c>
      <c r="I561" s="133" t="n">
        <f aca="false">'[2]$ лето'!ay561*1.1</f>
        <v>462</v>
      </c>
    </row>
    <row r="562" customFormat="false" ht="15" hidden="false" customHeight="false" outlineLevel="0" collapsed="false">
      <c r="A562" s="129" t="s">
        <v>228</v>
      </c>
      <c r="B562" s="129" t="s">
        <v>1149</v>
      </c>
      <c r="C562" s="141" t="s">
        <v>1152</v>
      </c>
      <c r="D562" s="141"/>
      <c r="E562" s="141"/>
      <c r="F562" s="141"/>
      <c r="G562" s="132"/>
      <c r="H562" s="105" t="n">
        <f aca="false">'[2]$ лето'!j562-'[2]$ лето'!au562-'[2]$ лето'!at562-'[2]$ лето'!as562-'[2]$ лето'!ar562-'[2]$ лето'!aq562-'[2]$ лето'!ap562-'[2]$ лето'!an562-'[2]$ лето'!am562-'[2]$ лето'!al562-'[2]$ лето'!ak562-'[2]$ лето'!aj562-'[2]$ лето'!ah562-'[2]$ лето'!ag562-'[2]$ лето'!af562-'[2]$ лето'!ae562-'[2]$ лето'!ad562-'[2]$ лето'!ab562-'[2]$ лето'!aa562-'[2]$ лето'!z562-'[2]$ лето'!y562-'[2]$ лето'!x562-'[2]$ лето'!v562-'[2]$ лето'!u562-'[2]$ лето'!t562-'[2]$ лето'!s562-'[2]$ лето'!r562-'[2]$ лето'!p562-'[2]$ лето'!o562-'[2]$ лето'!n562-'[2]$ лето'!m562-'[2]$ лето'!l562+'[2]$ лето'!k562+'[2]$ лето'!q562+'[2]$ лето'!w562+'[2]$ лето'!ac562+'[2]$ лето'!ai562+'[2]$ лето'!ao562</f>
        <v>4</v>
      </c>
      <c r="I562" s="133" t="n">
        <f aca="false">'[2]$ лето'!ay562*1.1</f>
        <v>308</v>
      </c>
      <c r="J562" s="142" t="s">
        <v>1153</v>
      </c>
    </row>
    <row r="563" customFormat="false" ht="15" hidden="true" customHeight="false" outlineLevel="0" collapsed="false">
      <c r="A563" s="115" t="s">
        <v>228</v>
      </c>
      <c r="B563" s="115" t="s">
        <v>1149</v>
      </c>
      <c r="C563" s="116" t="s">
        <v>1154</v>
      </c>
      <c r="D563" s="116"/>
      <c r="E563" s="116"/>
      <c r="F563" s="116"/>
      <c r="G563" s="108"/>
      <c r="H563" s="105" t="n">
        <f aca="false">'[2]$ лето'!j563-'[2]$ лето'!au563-'[2]$ лето'!at563-'[2]$ лето'!as563-'[2]$ лето'!ar563-'[2]$ лето'!aq563-'[2]$ лето'!ap563-'[2]$ лето'!an563-'[2]$ лето'!am563-'[2]$ лето'!al563-'[2]$ лето'!ak563-'[2]$ лето'!aj563-'[2]$ лето'!ah563-'[2]$ лето'!ag563-'[2]$ лето'!af563-'[2]$ лето'!ae563-'[2]$ лето'!ad563-'[2]$ лето'!ab563-'[2]$ лето'!aa563-'[2]$ лето'!z563-'[2]$ лето'!y563-'[2]$ лето'!x563-'[2]$ лето'!v563-'[2]$ лето'!u563-'[2]$ лето'!t563-'[2]$ лето'!s563-'[2]$ лето'!r563-'[2]$ лето'!p563-'[2]$ лето'!o563-'[2]$ лето'!n563-'[2]$ лето'!m563-'[2]$ лето'!l563+'[2]$ лето'!k563+'[2]$ лето'!q563+'[2]$ лето'!w563+'[2]$ лето'!ac563+'[2]$ лето'!ai563+'[2]$ лето'!ao563</f>
        <v>0</v>
      </c>
      <c r="I563" s="109" t="n">
        <f aca="false">'[2]$ лето'!ay563*1.1</f>
        <v>924</v>
      </c>
    </row>
    <row r="564" customFormat="false" ht="15" hidden="true" customHeight="false" outlineLevel="0" collapsed="false">
      <c r="A564" s="115" t="s">
        <v>228</v>
      </c>
      <c r="B564" s="115" t="s">
        <v>762</v>
      </c>
      <c r="C564" s="116" t="s">
        <v>1155</v>
      </c>
      <c r="D564" s="116"/>
      <c r="E564" s="116"/>
      <c r="F564" s="116"/>
      <c r="G564" s="108" t="s">
        <v>843</v>
      </c>
      <c r="H564" s="105" t="n">
        <f aca="false">'[2]$ лето'!j564-'[2]$ лето'!au564-'[2]$ лето'!at564-'[2]$ лето'!as564-'[2]$ лето'!ar564-'[2]$ лето'!aq564-'[2]$ лето'!ap564-'[2]$ лето'!an564-'[2]$ лето'!am564-'[2]$ лето'!al564-'[2]$ лето'!ak564-'[2]$ лето'!aj564-'[2]$ лето'!ah564-'[2]$ лето'!ag564-'[2]$ лето'!af564-'[2]$ лето'!ae564-'[2]$ лето'!ad564-'[2]$ лето'!ab564-'[2]$ лето'!aa564-'[2]$ лето'!z564-'[2]$ лето'!y564-'[2]$ лето'!x564-'[2]$ лето'!v564-'[2]$ лето'!u564-'[2]$ лето'!t564-'[2]$ лето'!s564-'[2]$ лето'!r564-'[2]$ лето'!p564-'[2]$ лето'!o564-'[2]$ лето'!n564-'[2]$ лето'!m564-'[2]$ лето'!l564+'[2]$ лето'!k564+'[2]$ лето'!q564+'[2]$ лето'!w564+'[2]$ лето'!ac564+'[2]$ лето'!ai564+'[2]$ лето'!ao564</f>
        <v>0</v>
      </c>
      <c r="I564" s="109" t="n">
        <f aca="false">'[2]$ лето'!ay564*1.1</f>
        <v>1201.2</v>
      </c>
    </row>
    <row r="565" customFormat="false" ht="15" hidden="true" customHeight="false" outlineLevel="0" collapsed="false">
      <c r="A565" s="115" t="s">
        <v>228</v>
      </c>
      <c r="B565" s="115" t="s">
        <v>1156</v>
      </c>
      <c r="C565" s="116" t="s">
        <v>1157</v>
      </c>
      <c r="D565" s="116"/>
      <c r="E565" s="116"/>
      <c r="F565" s="116"/>
      <c r="G565" s="108"/>
      <c r="H565" s="105" t="n">
        <f aca="false">'[2]$ лето'!j565-'[2]$ лето'!au565-'[2]$ лето'!at565-'[2]$ лето'!as565-'[2]$ лето'!ar565-'[2]$ лето'!aq565-'[2]$ лето'!ap565-'[2]$ лето'!an565-'[2]$ лето'!am565-'[2]$ лето'!al565-'[2]$ лето'!ak565-'[2]$ лето'!aj565-'[2]$ лето'!ah565-'[2]$ лето'!ag565-'[2]$ лето'!af565-'[2]$ лето'!ae565-'[2]$ лето'!ad565-'[2]$ лето'!ab565-'[2]$ лето'!aa565-'[2]$ лето'!z565-'[2]$ лето'!y565-'[2]$ лето'!x565-'[2]$ лето'!v565-'[2]$ лето'!u565-'[2]$ лето'!t565-'[2]$ лето'!s565-'[2]$ лето'!r565-'[2]$ лето'!p565-'[2]$ лето'!o565-'[2]$ лето'!n565-'[2]$ лето'!m565-'[2]$ лето'!l565+'[2]$ лето'!k565+'[2]$ лето'!q565+'[2]$ лето'!w565+'[2]$ лето'!ac565+'[2]$ лето'!ai565+'[2]$ лето'!ao565</f>
        <v>0</v>
      </c>
      <c r="I565" s="109" t="n">
        <f aca="false">'[2]$ лето'!ay565*1.1</f>
        <v>1047.2</v>
      </c>
    </row>
    <row r="566" customFormat="false" ht="15" hidden="false" customHeight="false" outlineLevel="0" collapsed="false">
      <c r="A566" s="115" t="s">
        <v>228</v>
      </c>
      <c r="B566" s="115" t="s">
        <v>617</v>
      </c>
      <c r="C566" s="116" t="s">
        <v>1158</v>
      </c>
      <c r="D566" s="116"/>
      <c r="E566" s="116" t="n">
        <v>94</v>
      </c>
      <c r="F566" s="116" t="s">
        <v>970</v>
      </c>
      <c r="G566" s="108" t="s">
        <v>625</v>
      </c>
      <c r="H566" s="105" t="n">
        <f aca="false">'[2]$ лето'!j566-'[2]$ лето'!au566-'[2]$ лето'!at566-'[2]$ лето'!as566-'[2]$ лето'!ar566-'[2]$ лето'!aq566-'[2]$ лето'!ap566-'[2]$ лето'!an566-'[2]$ лето'!am566-'[2]$ лето'!al566-'[2]$ лето'!ak566-'[2]$ лето'!aj566-'[2]$ лето'!ah566-'[2]$ лето'!ag566-'[2]$ лето'!af566-'[2]$ лето'!ae566-'[2]$ лето'!ad566-'[2]$ лето'!ab566-'[2]$ лето'!aa566-'[2]$ лето'!z566-'[2]$ лето'!y566-'[2]$ лето'!x566-'[2]$ лето'!v566-'[2]$ лето'!u566-'[2]$ лето'!t566-'[2]$ лето'!s566-'[2]$ лето'!r566-'[2]$ лето'!p566-'[2]$ лето'!o566-'[2]$ лето'!n566-'[2]$ лето'!m566-'[2]$ лето'!l566+'[2]$ лето'!k566+'[2]$ лето'!q566+'[2]$ лето'!w566+'[2]$ лето'!ac566+'[2]$ лето'!ai566+'[2]$ лето'!ao566</f>
        <v>4</v>
      </c>
      <c r="I566" s="109" t="n">
        <f aca="false">'[2]$ лето'!ay566*1.1</f>
        <v>1108.8</v>
      </c>
      <c r="J566" s="85" t="n">
        <v>2018</v>
      </c>
    </row>
    <row r="567" customFormat="false" ht="15" hidden="false" customHeight="false" outlineLevel="0" collapsed="false">
      <c r="A567" s="115" t="s">
        <v>228</v>
      </c>
      <c r="B567" s="115" t="s">
        <v>677</v>
      </c>
      <c r="C567" s="116" t="s">
        <v>1159</v>
      </c>
      <c r="D567" s="116"/>
      <c r="E567" s="116"/>
      <c r="F567" s="116"/>
      <c r="G567" s="108"/>
      <c r="H567" s="105" t="n">
        <f aca="false">'[2]$ лето'!j567-'[2]$ лето'!au567-'[2]$ лето'!at567-'[2]$ лето'!as567-'[2]$ лето'!ar567-'[2]$ лето'!aq567-'[2]$ лето'!ap567-'[2]$ лето'!an567-'[2]$ лето'!am567-'[2]$ лето'!al567-'[2]$ лето'!ak567-'[2]$ лето'!aj567-'[2]$ лето'!ah567-'[2]$ лето'!ag567-'[2]$ лето'!af567-'[2]$ лето'!ae567-'[2]$ лето'!ad567-'[2]$ лето'!ab567-'[2]$ лето'!aa567-'[2]$ лето'!z567-'[2]$ лето'!y567-'[2]$ лето'!x567-'[2]$ лето'!v567-'[2]$ лето'!u567-'[2]$ лето'!t567-'[2]$ лето'!s567-'[2]$ лето'!r567-'[2]$ лето'!p567-'[2]$ лето'!o567-'[2]$ лето'!n567-'[2]$ лето'!m567-'[2]$ лето'!l567+'[2]$ лето'!k567+'[2]$ лето'!q567+'[2]$ лето'!w567+'[2]$ лето'!ac567+'[2]$ лето'!ai567+'[2]$ лето'!ao567</f>
        <v>3</v>
      </c>
      <c r="I567" s="109" t="n">
        <f aca="false">'[2]$ лето'!ay567*1.1</f>
        <v>1047.2</v>
      </c>
    </row>
    <row r="568" customFormat="false" ht="15" hidden="false" customHeight="false" outlineLevel="0" collapsed="false">
      <c r="A568" s="115" t="s">
        <v>228</v>
      </c>
      <c r="B568" s="115" t="s">
        <v>621</v>
      </c>
      <c r="C568" s="116" t="s">
        <v>1160</v>
      </c>
      <c r="D568" s="116"/>
      <c r="E568" s="116"/>
      <c r="F568" s="116"/>
      <c r="G568" s="108" t="s">
        <v>520</v>
      </c>
      <c r="H568" s="105" t="n">
        <f aca="false">'[2]$ лето'!j568-'[2]$ лето'!au568-'[2]$ лето'!at568-'[2]$ лето'!as568-'[2]$ лето'!ar568-'[2]$ лето'!aq568-'[2]$ лето'!ap568-'[2]$ лето'!an568-'[2]$ лето'!am568-'[2]$ лето'!al568-'[2]$ лето'!ak568-'[2]$ лето'!aj568-'[2]$ лето'!ah568-'[2]$ лето'!ag568-'[2]$ лето'!af568-'[2]$ лето'!ae568-'[2]$ лето'!ad568-'[2]$ лето'!ab568-'[2]$ лето'!aa568-'[2]$ лето'!z568-'[2]$ лето'!y568-'[2]$ лето'!x568-'[2]$ лето'!v568-'[2]$ лето'!u568-'[2]$ лето'!t568-'[2]$ лето'!s568-'[2]$ лето'!r568-'[2]$ лето'!p568-'[2]$ лето'!o568-'[2]$ лето'!n568-'[2]$ лето'!m568-'[2]$ лето'!l568+'[2]$ лето'!k568+'[2]$ лето'!q568+'[2]$ лето'!w568+'[2]$ лето'!ac568+'[2]$ лето'!ai568+'[2]$ лето'!ao568</f>
        <v>8</v>
      </c>
      <c r="I568" s="109" t="n">
        <f aca="false">'[2]$ лето'!ay568*1.1</f>
        <v>1047.2</v>
      </c>
    </row>
    <row r="569" customFormat="false" ht="15" hidden="true" customHeight="false" outlineLevel="0" collapsed="false">
      <c r="A569" s="115" t="s">
        <v>228</v>
      </c>
      <c r="B569" s="115" t="s">
        <v>1161</v>
      </c>
      <c r="C569" s="116" t="s">
        <v>1162</v>
      </c>
      <c r="D569" s="116"/>
      <c r="E569" s="116"/>
      <c r="F569" s="116"/>
      <c r="G569" s="108"/>
      <c r="H569" s="105" t="n">
        <f aca="false">'[2]$ лето'!j569-'[2]$ лето'!au569-'[2]$ лето'!at569-'[2]$ лето'!as569-'[2]$ лето'!ar569-'[2]$ лето'!aq569-'[2]$ лето'!ap569-'[2]$ лето'!an569-'[2]$ лето'!am569-'[2]$ лето'!al569-'[2]$ лето'!ak569-'[2]$ лето'!aj569-'[2]$ лето'!ah569-'[2]$ лето'!ag569-'[2]$ лето'!af569-'[2]$ лето'!ae569-'[2]$ лето'!ad569-'[2]$ лето'!ab569-'[2]$ лето'!aa569-'[2]$ лето'!z569-'[2]$ лето'!y569-'[2]$ лето'!x569-'[2]$ лето'!v569-'[2]$ лето'!u569-'[2]$ лето'!t569-'[2]$ лето'!s569-'[2]$ лето'!r569-'[2]$ лето'!p569-'[2]$ лето'!o569-'[2]$ лето'!n569-'[2]$ лето'!m569-'[2]$ лето'!l569+'[2]$ лето'!k569+'[2]$ лето'!q569+'[2]$ лето'!w569+'[2]$ лето'!ac569+'[2]$ лето'!ai569+'[2]$ лето'!ao569</f>
        <v>0</v>
      </c>
      <c r="I569" s="109" t="n">
        <f aca="false">'[2]$ лето'!ay569*1.1</f>
        <v>1047.2</v>
      </c>
    </row>
    <row r="570" customFormat="false" ht="15" hidden="true" customHeight="false" outlineLevel="0" collapsed="false">
      <c r="A570" s="115" t="s">
        <v>228</v>
      </c>
      <c r="B570" s="115" t="s">
        <v>623</v>
      </c>
      <c r="C570" s="116" t="s">
        <v>1163</v>
      </c>
      <c r="D570" s="116"/>
      <c r="E570" s="116"/>
      <c r="F570" s="116"/>
      <c r="G570" s="108"/>
      <c r="H570" s="105" t="n">
        <f aca="false">'[2]$ лето'!j570-'[2]$ лето'!au570-'[2]$ лето'!at570-'[2]$ лето'!as570-'[2]$ лето'!ar570-'[2]$ лето'!aq570-'[2]$ лето'!ap570-'[2]$ лето'!an570-'[2]$ лето'!am570-'[2]$ лето'!al570-'[2]$ лето'!ak570-'[2]$ лето'!aj570-'[2]$ лето'!ah570-'[2]$ лето'!ag570-'[2]$ лето'!af570-'[2]$ лето'!ae570-'[2]$ лето'!ad570-'[2]$ лето'!ab570-'[2]$ лето'!aa570-'[2]$ лето'!z570-'[2]$ лето'!y570-'[2]$ лето'!x570-'[2]$ лето'!v570-'[2]$ лето'!u570-'[2]$ лето'!t570-'[2]$ лето'!s570-'[2]$ лето'!r570-'[2]$ лето'!p570-'[2]$ лето'!o570-'[2]$ лето'!n570-'[2]$ лето'!m570-'[2]$ лето'!l570+'[2]$ лето'!k570+'[2]$ лето'!q570+'[2]$ лето'!w570+'[2]$ лето'!ac570+'[2]$ лето'!ai570+'[2]$ лето'!ao570</f>
        <v>0</v>
      </c>
      <c r="I570" s="109" t="n">
        <f aca="false">'[2]$ лето'!ay570*1.1</f>
        <v>1108.8</v>
      </c>
    </row>
    <row r="571" customFormat="false" ht="15" hidden="false" customHeight="false" outlineLevel="0" collapsed="false">
      <c r="A571" s="115" t="s">
        <v>228</v>
      </c>
      <c r="B571" s="115" t="s">
        <v>589</v>
      </c>
      <c r="C571" s="116" t="s">
        <v>1164</v>
      </c>
      <c r="D571" s="116"/>
      <c r="E571" s="116"/>
      <c r="F571" s="116"/>
      <c r="G571" s="108" t="s">
        <v>626</v>
      </c>
      <c r="H571" s="105" t="n">
        <f aca="false">'[2]$ лето'!j571-'[2]$ лето'!au571-'[2]$ лето'!at571-'[2]$ лето'!as571-'[2]$ лето'!ar571-'[2]$ лето'!aq571-'[2]$ лето'!ap571-'[2]$ лето'!an571-'[2]$ лето'!am571-'[2]$ лето'!al571-'[2]$ лето'!ak571-'[2]$ лето'!aj571-'[2]$ лето'!ah571-'[2]$ лето'!ag571-'[2]$ лето'!af571-'[2]$ лето'!ae571-'[2]$ лето'!ad571-'[2]$ лето'!ab571-'[2]$ лето'!aa571-'[2]$ лето'!z571-'[2]$ лето'!y571-'[2]$ лето'!x571-'[2]$ лето'!v571-'[2]$ лето'!u571-'[2]$ лето'!t571-'[2]$ лето'!s571-'[2]$ лето'!r571-'[2]$ лето'!p571-'[2]$ лето'!o571-'[2]$ лето'!n571-'[2]$ лето'!m571-'[2]$ лето'!l571+'[2]$ лето'!k571+'[2]$ лето'!q571+'[2]$ лето'!w571+'[2]$ лето'!ac571+'[2]$ лето'!ai571+'[2]$ лето'!ao571</f>
        <v>6</v>
      </c>
      <c r="I571" s="109" t="n">
        <f aca="false">'[2]$ лето'!ay571*1.1</f>
        <v>1655.72</v>
      </c>
    </row>
    <row r="572" customFormat="false" ht="15" hidden="false" customHeight="false" outlineLevel="0" collapsed="false">
      <c r="A572" s="115" t="s">
        <v>228</v>
      </c>
      <c r="B572" s="115" t="s">
        <v>589</v>
      </c>
      <c r="C572" s="116" t="s">
        <v>1165</v>
      </c>
      <c r="D572" s="116"/>
      <c r="E572" s="116"/>
      <c r="F572" s="116"/>
      <c r="G572" s="108" t="s">
        <v>626</v>
      </c>
      <c r="H572" s="105" t="n">
        <f aca="false">'[2]$ лето'!j572-'[2]$ лето'!au572-'[2]$ лето'!at572-'[2]$ лето'!as572-'[2]$ лето'!ar572-'[2]$ лето'!aq572-'[2]$ лето'!ap572-'[2]$ лето'!an572-'[2]$ лето'!am572-'[2]$ лето'!al572-'[2]$ лето'!ak572-'[2]$ лето'!aj572-'[2]$ лето'!ah572-'[2]$ лето'!ag572-'[2]$ лето'!af572-'[2]$ лето'!ae572-'[2]$ лето'!ad572-'[2]$ лето'!ab572-'[2]$ лето'!aa572-'[2]$ лето'!z572-'[2]$ лето'!y572-'[2]$ лето'!x572-'[2]$ лето'!v572-'[2]$ лето'!u572-'[2]$ лето'!t572-'[2]$ лето'!s572-'[2]$ лето'!r572-'[2]$ лето'!p572-'[2]$ лето'!o572-'[2]$ лето'!n572-'[2]$ лето'!m572-'[2]$ лето'!l572+'[2]$ лето'!k572+'[2]$ лето'!q572+'[2]$ лето'!w572+'[2]$ лето'!ac572+'[2]$ лето'!ai572+'[2]$ лето'!ao572</f>
        <v>2</v>
      </c>
      <c r="I572" s="109" t="n">
        <f aca="false">'[2]$ лето'!ay572*1.1</f>
        <v>1593.24</v>
      </c>
      <c r="J572" s="85" t="n">
        <v>2017</v>
      </c>
    </row>
    <row r="573" customFormat="false" ht="15" hidden="false" customHeight="false" outlineLevel="0" collapsed="false">
      <c r="A573" s="115" t="s">
        <v>228</v>
      </c>
      <c r="B573" s="115" t="s">
        <v>589</v>
      </c>
      <c r="C573" s="116" t="s">
        <v>1166</v>
      </c>
      <c r="D573" s="116"/>
      <c r="E573" s="116"/>
      <c r="F573" s="116"/>
      <c r="G573" s="108" t="s">
        <v>927</v>
      </c>
      <c r="H573" s="105" t="n">
        <f aca="false">'[2]$ лето'!j573-'[2]$ лето'!au573-'[2]$ лето'!at573-'[2]$ лето'!as573-'[2]$ лето'!ar573-'[2]$ лето'!aq573-'[2]$ лето'!ap573-'[2]$ лето'!an573-'[2]$ лето'!am573-'[2]$ лето'!al573-'[2]$ лето'!ak573-'[2]$ лето'!aj573-'[2]$ лето'!ah573-'[2]$ лето'!ag573-'[2]$ лето'!af573-'[2]$ лето'!ae573-'[2]$ лето'!ad573-'[2]$ лето'!ab573-'[2]$ лето'!aa573-'[2]$ лето'!z573-'[2]$ лето'!y573-'[2]$ лето'!x573-'[2]$ лето'!v573-'[2]$ лето'!u573-'[2]$ лето'!t573-'[2]$ лето'!s573-'[2]$ лето'!r573-'[2]$ лето'!p573-'[2]$ лето'!o573-'[2]$ лето'!n573-'[2]$ лето'!m573-'[2]$ лето'!l573+'[2]$ лето'!k573+'[2]$ лето'!q573+'[2]$ лето'!w573+'[2]$ лето'!ac573+'[2]$ лето'!ai573+'[2]$ лето'!ao573</f>
        <v>6</v>
      </c>
      <c r="I573" s="109" t="n">
        <f aca="false">'[2]$ лето'!ay573*1.1</f>
        <v>1562</v>
      </c>
      <c r="J573" s="85" t="n">
        <v>2017</v>
      </c>
    </row>
    <row r="574" customFormat="false" ht="15" hidden="false" customHeight="false" outlineLevel="0" collapsed="false">
      <c r="A574" s="115" t="s">
        <v>228</v>
      </c>
      <c r="B574" s="115" t="s">
        <v>589</v>
      </c>
      <c r="C574" s="116" t="s">
        <v>1167</v>
      </c>
      <c r="D574" s="116"/>
      <c r="E574" s="116"/>
      <c r="F574" s="116"/>
      <c r="G574" s="108" t="s">
        <v>626</v>
      </c>
      <c r="H574" s="105" t="n">
        <f aca="false">'[2]$ лето'!j574-'[2]$ лето'!au574-'[2]$ лето'!at574-'[2]$ лето'!as574-'[2]$ лето'!ar574-'[2]$ лето'!aq574-'[2]$ лето'!ap574-'[2]$ лето'!an574-'[2]$ лето'!am574-'[2]$ лето'!al574-'[2]$ лето'!ak574-'[2]$ лето'!aj574-'[2]$ лето'!ah574-'[2]$ лето'!ag574-'[2]$ лето'!af574-'[2]$ лето'!ae574-'[2]$ лето'!ad574-'[2]$ лето'!ab574-'[2]$ лето'!aa574-'[2]$ лето'!z574-'[2]$ лето'!y574-'[2]$ лето'!x574-'[2]$ лето'!v574-'[2]$ лето'!u574-'[2]$ лето'!t574-'[2]$ лето'!s574-'[2]$ лето'!r574-'[2]$ лето'!p574-'[2]$ лето'!o574-'[2]$ лето'!n574-'[2]$ лето'!m574-'[2]$ лето'!l574+'[2]$ лето'!k574+'[2]$ лето'!q574+'[2]$ лето'!w574+'[2]$ лето'!ac574+'[2]$ лето'!ai574+'[2]$ лето'!ao574</f>
        <v>4</v>
      </c>
      <c r="I574" s="109" t="n">
        <f aca="false">'[2]$ лето'!ay574*1.1</f>
        <v>1718.2</v>
      </c>
      <c r="J574" s="85" t="n">
        <v>2017</v>
      </c>
    </row>
    <row r="575" customFormat="false" ht="15" hidden="false" customHeight="false" outlineLevel="0" collapsed="false">
      <c r="A575" s="115" t="s">
        <v>228</v>
      </c>
      <c r="B575" s="115" t="s">
        <v>589</v>
      </c>
      <c r="C575" s="116" t="s">
        <v>1168</v>
      </c>
      <c r="D575" s="116"/>
      <c r="E575" s="116"/>
      <c r="F575" s="116"/>
      <c r="G575" s="108" t="s">
        <v>927</v>
      </c>
      <c r="H575" s="105" t="n">
        <f aca="false">'[2]$ лето'!j575-'[2]$ лето'!au575-'[2]$ лето'!at575-'[2]$ лето'!as575-'[2]$ лето'!ar575-'[2]$ лето'!aq575-'[2]$ лето'!ap575-'[2]$ лето'!an575-'[2]$ лето'!am575-'[2]$ лето'!al575-'[2]$ лето'!ak575-'[2]$ лето'!aj575-'[2]$ лето'!ah575-'[2]$ лето'!ag575-'[2]$ лето'!af575-'[2]$ лето'!ae575-'[2]$ лето'!ad575-'[2]$ лето'!ab575-'[2]$ лето'!aa575-'[2]$ лето'!z575-'[2]$ лето'!y575-'[2]$ лето'!x575-'[2]$ лето'!v575-'[2]$ лето'!u575-'[2]$ лето'!t575-'[2]$ лето'!s575-'[2]$ лето'!r575-'[2]$ лето'!p575-'[2]$ лето'!o575-'[2]$ лето'!n575-'[2]$ лето'!m575-'[2]$ лето'!l575+'[2]$ лето'!k575+'[2]$ лето'!q575+'[2]$ лето'!w575+'[2]$ лето'!ac575+'[2]$ лето'!ai575+'[2]$ лето'!ao575</f>
        <v>4</v>
      </c>
      <c r="I575" s="109" t="n">
        <f aca="false">'[2]$ лето'!ay575*1.1</f>
        <v>1375</v>
      </c>
      <c r="J575" s="85" t="n">
        <v>2016</v>
      </c>
    </row>
    <row r="576" customFormat="false" ht="15" hidden="true" customHeight="false" outlineLevel="0" collapsed="false">
      <c r="A576" s="115" t="s">
        <v>228</v>
      </c>
      <c r="B576" s="115" t="s">
        <v>589</v>
      </c>
      <c r="C576" s="116" t="s">
        <v>1169</v>
      </c>
      <c r="D576" s="116"/>
      <c r="E576" s="116"/>
      <c r="F576" s="116"/>
      <c r="G576" s="108"/>
      <c r="H576" s="105" t="n">
        <f aca="false">'[2]$ лето'!j576-'[2]$ лето'!au576-'[2]$ лето'!at576-'[2]$ лето'!as576-'[2]$ лето'!ar576-'[2]$ лето'!aq576-'[2]$ лето'!ap576-'[2]$ лето'!an576-'[2]$ лето'!am576-'[2]$ лето'!al576-'[2]$ лето'!ak576-'[2]$ лето'!aj576-'[2]$ лето'!ah576-'[2]$ лето'!ag576-'[2]$ лето'!af576-'[2]$ лето'!ae576-'[2]$ лето'!ad576-'[2]$ лето'!ab576-'[2]$ лето'!aa576-'[2]$ лето'!z576-'[2]$ лето'!y576-'[2]$ лето'!x576-'[2]$ лето'!v576-'[2]$ лето'!u576-'[2]$ лето'!t576-'[2]$ лето'!s576-'[2]$ лето'!r576-'[2]$ лето'!p576-'[2]$ лето'!o576-'[2]$ лето'!n576-'[2]$ лето'!m576-'[2]$ лето'!l576+'[2]$ лето'!k576+'[2]$ лето'!q576+'[2]$ лето'!w576+'[2]$ лето'!ac576+'[2]$ лето'!ai576+'[2]$ лето'!ao576</f>
        <v>0</v>
      </c>
      <c r="I576" s="109" t="n">
        <f aca="false">'[2]$ лето'!ay576*1.1</f>
        <v>1878.8</v>
      </c>
      <c r="J576" s="85" t="n">
        <v>2017</v>
      </c>
    </row>
    <row r="577" customFormat="false" ht="15" hidden="false" customHeight="false" outlineLevel="0" collapsed="false">
      <c r="A577" s="115" t="s">
        <v>228</v>
      </c>
      <c r="B577" s="115" t="s">
        <v>564</v>
      </c>
      <c r="C577" s="116" t="s">
        <v>1170</v>
      </c>
      <c r="D577" s="116"/>
      <c r="E577" s="116"/>
      <c r="F577" s="116"/>
      <c r="G577" s="108" t="s">
        <v>520</v>
      </c>
      <c r="H577" s="105" t="n">
        <f aca="false">'[2]$ лето'!j577-'[2]$ лето'!au577-'[2]$ лето'!at577-'[2]$ лето'!as577-'[2]$ лето'!ar577-'[2]$ лето'!aq577-'[2]$ лето'!ap577-'[2]$ лето'!an577-'[2]$ лето'!am577-'[2]$ лето'!al577-'[2]$ лето'!ak577-'[2]$ лето'!aj577-'[2]$ лето'!ah577-'[2]$ лето'!ag577-'[2]$ лето'!af577-'[2]$ лето'!ae577-'[2]$ лето'!ad577-'[2]$ лето'!ab577-'[2]$ лето'!aa577-'[2]$ лето'!z577-'[2]$ лето'!y577-'[2]$ лето'!x577-'[2]$ лето'!v577-'[2]$ лето'!u577-'[2]$ лето'!t577-'[2]$ лето'!s577-'[2]$ лето'!r577-'[2]$ лето'!p577-'[2]$ лето'!o577-'[2]$ лето'!n577-'[2]$ лето'!m577-'[2]$ лето'!l577+'[2]$ лето'!k577+'[2]$ лето'!q577+'[2]$ лето'!w577+'[2]$ лето'!ac577+'[2]$ лето'!ai577+'[2]$ лето'!ao577</f>
        <v>4</v>
      </c>
      <c r="I577" s="109" t="n">
        <f aca="false">'[2]$ лето'!ay577*1.1</f>
        <v>1016.4</v>
      </c>
      <c r="J577" s="85" t="n">
        <v>2015</v>
      </c>
    </row>
    <row r="578" customFormat="false" ht="15" hidden="false" customHeight="false" outlineLevel="0" collapsed="false">
      <c r="A578" s="115" t="s">
        <v>228</v>
      </c>
      <c r="B578" s="115" t="s">
        <v>564</v>
      </c>
      <c r="C578" s="116" t="s">
        <v>1171</v>
      </c>
      <c r="D578" s="116"/>
      <c r="E578" s="116"/>
      <c r="F578" s="116"/>
      <c r="G578" s="108" t="s">
        <v>520</v>
      </c>
      <c r="H578" s="105" t="n">
        <f aca="false">'[2]$ лето'!j578-'[2]$ лето'!au578-'[2]$ лето'!at578-'[2]$ лето'!as578-'[2]$ лето'!ar578-'[2]$ лето'!aq578-'[2]$ лето'!ap578-'[2]$ лето'!an578-'[2]$ лето'!am578-'[2]$ лето'!al578-'[2]$ лето'!ak578-'[2]$ лето'!aj578-'[2]$ лето'!ah578-'[2]$ лето'!ag578-'[2]$ лето'!af578-'[2]$ лето'!ae578-'[2]$ лето'!ad578-'[2]$ лето'!ab578-'[2]$ лето'!aa578-'[2]$ лето'!z578-'[2]$ лето'!y578-'[2]$ лето'!x578-'[2]$ лето'!v578-'[2]$ лето'!u578-'[2]$ лето'!t578-'[2]$ лето'!s578-'[2]$ лето'!r578-'[2]$ лето'!p578-'[2]$ лето'!o578-'[2]$ лето'!n578-'[2]$ лето'!m578-'[2]$ лето'!l578+'[2]$ лето'!k578+'[2]$ лето'!q578+'[2]$ лето'!w578+'[2]$ лето'!ac578+'[2]$ лето'!ai578+'[2]$ лето'!ao578</f>
        <v>2</v>
      </c>
      <c r="I578" s="109" t="n">
        <f aca="false">'[2]$ лето'!ay578*1.1</f>
        <v>1012</v>
      </c>
    </row>
    <row r="579" customFormat="false" ht="15" hidden="false" customHeight="false" outlineLevel="0" collapsed="false">
      <c r="A579" s="115" t="s">
        <v>228</v>
      </c>
      <c r="B579" s="115" t="s">
        <v>564</v>
      </c>
      <c r="C579" s="116" t="s">
        <v>1172</v>
      </c>
      <c r="D579" s="116"/>
      <c r="E579" s="116"/>
      <c r="F579" s="116"/>
      <c r="G579" s="108" t="s">
        <v>520</v>
      </c>
      <c r="H579" s="105" t="n">
        <f aca="false">'[2]$ лето'!j579-'[2]$ лето'!au579-'[2]$ лето'!at579-'[2]$ лето'!as579-'[2]$ лето'!ar579-'[2]$ лето'!aq579-'[2]$ лето'!ap579-'[2]$ лето'!an579-'[2]$ лето'!am579-'[2]$ лето'!al579-'[2]$ лето'!ak579-'[2]$ лето'!aj579-'[2]$ лето'!ah579-'[2]$ лето'!ag579-'[2]$ лето'!af579-'[2]$ лето'!ae579-'[2]$ лето'!ad579-'[2]$ лето'!ab579-'[2]$ лето'!aa579-'[2]$ лето'!z579-'[2]$ лето'!y579-'[2]$ лето'!x579-'[2]$ лето'!v579-'[2]$ лето'!u579-'[2]$ лето'!t579-'[2]$ лето'!s579-'[2]$ лето'!r579-'[2]$ лето'!p579-'[2]$ лето'!o579-'[2]$ лето'!n579-'[2]$ лето'!m579-'[2]$ лето'!l579+'[2]$ лето'!k579+'[2]$ лето'!q579+'[2]$ лето'!w579+'[2]$ лето'!ac579+'[2]$ лето'!ai579+'[2]$ лето'!ao579</f>
        <v>4</v>
      </c>
      <c r="I579" s="109" t="n">
        <f aca="false">'[2]$ лето'!ay579*1.1</f>
        <v>1078</v>
      </c>
      <c r="J579" s="85" t="n">
        <v>2017</v>
      </c>
    </row>
    <row r="580" customFormat="false" ht="15" hidden="true" customHeight="false" outlineLevel="0" collapsed="false">
      <c r="A580" s="115" t="s">
        <v>228</v>
      </c>
      <c r="B580" s="115" t="s">
        <v>770</v>
      </c>
      <c r="C580" s="116" t="s">
        <v>1173</v>
      </c>
      <c r="D580" s="116"/>
      <c r="E580" s="116"/>
      <c r="F580" s="116"/>
      <c r="G580" s="108"/>
      <c r="H580" s="105" t="n">
        <f aca="false">'[2]$ лето'!j580-'[2]$ лето'!au580-'[2]$ лето'!at580-'[2]$ лето'!as580-'[2]$ лето'!ar580-'[2]$ лето'!aq580-'[2]$ лето'!ap580-'[2]$ лето'!an580-'[2]$ лето'!am580-'[2]$ лето'!al580-'[2]$ лето'!ak580-'[2]$ лето'!aj580-'[2]$ лето'!ah580-'[2]$ лето'!ag580-'[2]$ лето'!af580-'[2]$ лето'!ae580-'[2]$ лето'!ad580-'[2]$ лето'!ab580-'[2]$ лето'!aa580-'[2]$ лето'!z580-'[2]$ лето'!y580-'[2]$ лето'!x580-'[2]$ лето'!v580-'[2]$ лето'!u580-'[2]$ лето'!t580-'[2]$ лето'!s580-'[2]$ лето'!r580-'[2]$ лето'!p580-'[2]$ лето'!o580-'[2]$ лето'!n580-'[2]$ лето'!m580-'[2]$ лето'!l580+'[2]$ лето'!k580+'[2]$ лето'!q580+'[2]$ лето'!w580+'[2]$ лето'!ac580+'[2]$ лето'!ai580+'[2]$ лето'!ao580</f>
        <v>0</v>
      </c>
      <c r="I580" s="109" t="n">
        <f aca="false">'[2]$ лето'!ay580*1.1</f>
        <v>1478.4</v>
      </c>
      <c r="J580" s="85" t="n">
        <v>2017</v>
      </c>
    </row>
    <row r="581" customFormat="false" ht="15" hidden="true" customHeight="false" outlineLevel="0" collapsed="false">
      <c r="A581" s="115" t="s">
        <v>228</v>
      </c>
      <c r="B581" s="115" t="s">
        <v>770</v>
      </c>
      <c r="C581" s="116" t="s">
        <v>1174</v>
      </c>
      <c r="D581" s="116"/>
      <c r="E581" s="116"/>
      <c r="F581" s="116"/>
      <c r="G581" s="108"/>
      <c r="H581" s="105" t="n">
        <f aca="false">'[2]$ лето'!j581-'[2]$ лето'!au581-'[2]$ лето'!at581-'[2]$ лето'!as581-'[2]$ лето'!ar581-'[2]$ лето'!aq581-'[2]$ лето'!ap581-'[2]$ лето'!an581-'[2]$ лето'!am581-'[2]$ лето'!al581-'[2]$ лето'!ak581-'[2]$ лето'!aj581-'[2]$ лето'!ah581-'[2]$ лето'!ag581-'[2]$ лето'!af581-'[2]$ лето'!ae581-'[2]$ лето'!ad581-'[2]$ лето'!ab581-'[2]$ лето'!aa581-'[2]$ лето'!z581-'[2]$ лето'!y581-'[2]$ лето'!x581-'[2]$ лето'!v581-'[2]$ лето'!u581-'[2]$ лето'!t581-'[2]$ лето'!s581-'[2]$ лето'!r581-'[2]$ лето'!p581-'[2]$ лето'!o581-'[2]$ лето'!n581-'[2]$ лето'!m581-'[2]$ лето'!l581+'[2]$ лето'!k581+'[2]$ лето'!q581+'[2]$ лето'!w581+'[2]$ лето'!ac581+'[2]$ лето'!ai581+'[2]$ лето'!ao581</f>
        <v>0</v>
      </c>
      <c r="I581" s="109" t="n">
        <f aca="false">'[2]$ лето'!ay581*1.1</f>
        <v>1232</v>
      </c>
    </row>
    <row r="582" customFormat="false" ht="15" hidden="true" customHeight="false" outlineLevel="0" collapsed="false">
      <c r="A582" s="115" t="s">
        <v>228</v>
      </c>
      <c r="B582" s="115" t="s">
        <v>1028</v>
      </c>
      <c r="C582" s="116" t="s">
        <v>1175</v>
      </c>
      <c r="D582" s="116"/>
      <c r="E582" s="116"/>
      <c r="F582" s="116"/>
      <c r="G582" s="108"/>
      <c r="H582" s="105" t="n">
        <f aca="false">'[2]$ лето'!j582-'[2]$ лето'!au582-'[2]$ лето'!at582-'[2]$ лето'!as582-'[2]$ лето'!ar582-'[2]$ лето'!aq582-'[2]$ лето'!ap582-'[2]$ лето'!an582-'[2]$ лето'!am582-'[2]$ лето'!al582-'[2]$ лето'!ak582-'[2]$ лето'!aj582-'[2]$ лето'!ah582-'[2]$ лето'!ag582-'[2]$ лето'!af582-'[2]$ лето'!ae582-'[2]$ лето'!ad582-'[2]$ лето'!ab582-'[2]$ лето'!aa582-'[2]$ лето'!z582-'[2]$ лето'!y582-'[2]$ лето'!x582-'[2]$ лето'!v582-'[2]$ лето'!u582-'[2]$ лето'!t582-'[2]$ лето'!s582-'[2]$ лето'!r582-'[2]$ лето'!p582-'[2]$ лето'!o582-'[2]$ лето'!n582-'[2]$ лето'!m582-'[2]$ лето'!l582+'[2]$ лето'!k582+'[2]$ лето'!q582+'[2]$ лето'!w582+'[2]$ лето'!ac582+'[2]$ лето'!ai582+'[2]$ лето'!ao582</f>
        <v>0</v>
      </c>
      <c r="I582" s="109" t="n">
        <f aca="false">'[2]$ лето'!ay582*1.1</f>
        <v>1540</v>
      </c>
    </row>
    <row r="583" customFormat="false" ht="15" hidden="true" customHeight="false" outlineLevel="0" collapsed="false">
      <c r="A583" s="115" t="s">
        <v>228</v>
      </c>
      <c r="B583" s="115" t="s">
        <v>1176</v>
      </c>
      <c r="C583" s="116" t="s">
        <v>1177</v>
      </c>
      <c r="D583" s="116"/>
      <c r="E583" s="116"/>
      <c r="F583" s="116"/>
      <c r="G583" s="108"/>
      <c r="H583" s="105" t="n">
        <f aca="false">'[2]$ лето'!j583-'[2]$ лето'!au583-'[2]$ лето'!at583-'[2]$ лето'!as583-'[2]$ лето'!ar583-'[2]$ лето'!aq583-'[2]$ лето'!ap583-'[2]$ лето'!an583-'[2]$ лето'!am583-'[2]$ лето'!al583-'[2]$ лето'!ak583-'[2]$ лето'!aj583-'[2]$ лето'!ah583-'[2]$ лето'!ag583-'[2]$ лето'!af583-'[2]$ лето'!ae583-'[2]$ лето'!ad583-'[2]$ лето'!ab583-'[2]$ лето'!aa583-'[2]$ лето'!z583-'[2]$ лето'!y583-'[2]$ лето'!x583-'[2]$ лето'!v583-'[2]$ лето'!u583-'[2]$ лето'!t583-'[2]$ лето'!s583-'[2]$ лето'!r583-'[2]$ лето'!p583-'[2]$ лето'!o583-'[2]$ лето'!n583-'[2]$ лето'!m583-'[2]$ лето'!l583+'[2]$ лето'!k583+'[2]$ лето'!q583+'[2]$ лето'!w583+'[2]$ лето'!ac583+'[2]$ лето'!ai583+'[2]$ лето'!ao583</f>
        <v>0</v>
      </c>
      <c r="I583" s="109" t="n">
        <f aca="false">'[2]$ лето'!ay583*1.1</f>
        <v>1078</v>
      </c>
    </row>
    <row r="584" customFormat="false" ht="15" hidden="true" customHeight="false" outlineLevel="0" collapsed="false">
      <c r="A584" s="115" t="s">
        <v>236</v>
      </c>
      <c r="B584" s="115" t="s">
        <v>566</v>
      </c>
      <c r="C584" s="116" t="s">
        <v>1178</v>
      </c>
      <c r="D584" s="116"/>
      <c r="E584" s="116"/>
      <c r="F584" s="116"/>
      <c r="G584" s="108" t="s">
        <v>563</v>
      </c>
      <c r="H584" s="105" t="n">
        <f aca="false">'[2]$ лето'!j584-'[2]$ лето'!au584-'[2]$ лето'!at584-'[2]$ лето'!as584-'[2]$ лето'!ar584-'[2]$ лето'!aq584-'[2]$ лето'!ap584-'[2]$ лето'!an584-'[2]$ лето'!am584-'[2]$ лето'!al584-'[2]$ лето'!ak584-'[2]$ лето'!aj584-'[2]$ лето'!ah584-'[2]$ лето'!ag584-'[2]$ лето'!af584-'[2]$ лето'!ae584-'[2]$ лето'!ad584-'[2]$ лето'!ab584-'[2]$ лето'!aa584-'[2]$ лето'!z584-'[2]$ лето'!y584-'[2]$ лето'!x584-'[2]$ лето'!v584-'[2]$ лето'!u584-'[2]$ лето'!t584-'[2]$ лето'!s584-'[2]$ лето'!r584-'[2]$ лето'!p584-'[2]$ лето'!o584-'[2]$ лето'!n584-'[2]$ лето'!m584-'[2]$ лето'!l584+'[2]$ лето'!k584+'[2]$ лето'!q584+'[2]$ лето'!w584+'[2]$ лето'!ac584+'[2]$ лето'!ai584+'[2]$ лето'!ao584</f>
        <v>0</v>
      </c>
      <c r="I584" s="109" t="n">
        <f aca="false">'[2]$ лето'!ay584*1.1</f>
        <v>1232</v>
      </c>
      <c r="J584" s="85" t="n">
        <v>2016</v>
      </c>
    </row>
    <row r="585" customFormat="false" ht="15" hidden="true" customHeight="false" outlineLevel="0" collapsed="false">
      <c r="A585" s="123" t="s">
        <v>236</v>
      </c>
      <c r="B585" s="115" t="s">
        <v>568</v>
      </c>
      <c r="C585" s="116" t="s">
        <v>993</v>
      </c>
      <c r="D585" s="116"/>
      <c r="E585" s="116"/>
      <c r="F585" s="116"/>
      <c r="G585" s="108"/>
      <c r="H585" s="105" t="n">
        <f aca="false">'[2]$ лето'!j585-'[2]$ лето'!au585-'[2]$ лето'!at585-'[2]$ лето'!as585-'[2]$ лето'!ar585-'[2]$ лето'!aq585-'[2]$ лето'!ap585-'[2]$ лето'!an585-'[2]$ лето'!am585-'[2]$ лето'!al585-'[2]$ лето'!ak585-'[2]$ лето'!aj585-'[2]$ лето'!ah585-'[2]$ лето'!ag585-'[2]$ лето'!af585-'[2]$ лето'!ae585-'[2]$ лето'!ad585-'[2]$ лето'!ab585-'[2]$ лето'!aa585-'[2]$ лето'!z585-'[2]$ лето'!y585-'[2]$ лето'!x585-'[2]$ лето'!v585-'[2]$ лето'!u585-'[2]$ лето'!t585-'[2]$ лето'!s585-'[2]$ лето'!r585-'[2]$ лето'!p585-'[2]$ лето'!o585-'[2]$ лето'!n585-'[2]$ лето'!m585-'[2]$ лето'!l585+'[2]$ лето'!k585+'[2]$ лето'!q585+'[2]$ лето'!w585+'[2]$ лето'!ac585+'[2]$ лето'!ai585+'[2]$ лето'!ao585</f>
        <v>0</v>
      </c>
      <c r="I585" s="109" t="n">
        <f aca="false">'[2]$ лето'!ay585*1.1</f>
        <v>1663.2</v>
      </c>
      <c r="J585" s="85" t="s">
        <v>1075</v>
      </c>
    </row>
    <row r="586" customFormat="false" ht="15" hidden="true" customHeight="false" outlineLevel="0" collapsed="false">
      <c r="A586" s="123" t="s">
        <v>236</v>
      </c>
      <c r="B586" s="115" t="s">
        <v>844</v>
      </c>
      <c r="C586" s="116" t="s">
        <v>1179</v>
      </c>
      <c r="D586" s="116"/>
      <c r="E586" s="116"/>
      <c r="F586" s="116"/>
      <c r="G586" s="108"/>
      <c r="H586" s="105" t="n">
        <f aca="false">'[2]$ лето'!j586-'[2]$ лето'!au586-'[2]$ лето'!at586-'[2]$ лето'!as586-'[2]$ лето'!ar586-'[2]$ лето'!aq586-'[2]$ лето'!ap586-'[2]$ лето'!an586-'[2]$ лето'!am586-'[2]$ лето'!al586-'[2]$ лето'!ak586-'[2]$ лето'!aj586-'[2]$ лето'!ah586-'[2]$ лето'!ag586-'[2]$ лето'!af586-'[2]$ лето'!ae586-'[2]$ лето'!ad586-'[2]$ лето'!ab586-'[2]$ лето'!aa586-'[2]$ лето'!z586-'[2]$ лето'!y586-'[2]$ лето'!x586-'[2]$ лето'!v586-'[2]$ лето'!u586-'[2]$ лето'!t586-'[2]$ лето'!s586-'[2]$ лето'!r586-'[2]$ лето'!p586-'[2]$ лето'!o586-'[2]$ лето'!n586-'[2]$ лето'!m586-'[2]$ лето'!l586+'[2]$ лето'!k586+'[2]$ лето'!q586+'[2]$ лето'!w586+'[2]$ лето'!ac586+'[2]$ лето'!ai586+'[2]$ лето'!ao586</f>
        <v>0</v>
      </c>
      <c r="I586" s="109" t="n">
        <f aca="false">'[2]$ лето'!ay586*1.1</f>
        <v>1724.8</v>
      </c>
      <c r="J586" s="85" t="n">
        <v>2017</v>
      </c>
    </row>
    <row r="587" customFormat="false" ht="15" hidden="true" customHeight="false" outlineLevel="0" collapsed="false">
      <c r="A587" s="123" t="s">
        <v>236</v>
      </c>
      <c r="B587" s="115" t="s">
        <v>601</v>
      </c>
      <c r="C587" s="116" t="s">
        <v>1180</v>
      </c>
      <c r="D587" s="116"/>
      <c r="E587" s="116"/>
      <c r="F587" s="116"/>
      <c r="G587" s="143"/>
      <c r="H587" s="105" t="n">
        <f aca="false">'[2]$ лето'!j587-'[2]$ лето'!au587-'[2]$ лето'!at587-'[2]$ лето'!as587-'[2]$ лето'!ar587-'[2]$ лето'!aq587-'[2]$ лето'!ap587-'[2]$ лето'!an587-'[2]$ лето'!am587-'[2]$ лето'!al587-'[2]$ лето'!ak587-'[2]$ лето'!aj587-'[2]$ лето'!ah587-'[2]$ лето'!ag587-'[2]$ лето'!af587-'[2]$ лето'!ae587-'[2]$ лето'!ad587-'[2]$ лето'!ab587-'[2]$ лето'!aa587-'[2]$ лето'!z587-'[2]$ лето'!y587-'[2]$ лето'!x587-'[2]$ лето'!v587-'[2]$ лето'!u587-'[2]$ лето'!t587-'[2]$ лето'!s587-'[2]$ лето'!r587-'[2]$ лето'!p587-'[2]$ лето'!o587-'[2]$ лето'!n587-'[2]$ лето'!m587-'[2]$ лето'!l587+'[2]$ лето'!k587+'[2]$ лето'!q587+'[2]$ лето'!w587+'[2]$ лето'!ac587+'[2]$ лето'!ai587+'[2]$ лето'!ao587</f>
        <v>0</v>
      </c>
      <c r="I587" s="109" t="n">
        <f aca="false">'[2]$ лето'!ay587*1.1</f>
        <v>1940.4</v>
      </c>
      <c r="J587" s="144"/>
    </row>
    <row r="588" customFormat="false" ht="15" hidden="false" customHeight="false" outlineLevel="0" collapsed="false">
      <c r="A588" s="123" t="s">
        <v>236</v>
      </c>
      <c r="B588" s="115" t="s">
        <v>601</v>
      </c>
      <c r="C588" s="116" t="s">
        <v>1181</v>
      </c>
      <c r="D588" s="116"/>
      <c r="E588" s="116"/>
      <c r="F588" s="116"/>
      <c r="G588" s="108" t="s">
        <v>849</v>
      </c>
      <c r="H588" s="105" t="n">
        <f aca="false">'[2]$ лето'!j588-'[2]$ лето'!au588-'[2]$ лето'!at588-'[2]$ лето'!as588-'[2]$ лето'!ar588-'[2]$ лето'!aq588-'[2]$ лето'!ap588-'[2]$ лето'!an588-'[2]$ лето'!am588-'[2]$ лето'!al588-'[2]$ лето'!ak588-'[2]$ лето'!aj588-'[2]$ лето'!ah588-'[2]$ лето'!ag588-'[2]$ лето'!af588-'[2]$ лето'!ae588-'[2]$ лето'!ad588-'[2]$ лето'!ab588-'[2]$ лето'!aa588-'[2]$ лето'!z588-'[2]$ лето'!y588-'[2]$ лето'!x588-'[2]$ лето'!v588-'[2]$ лето'!u588-'[2]$ лето'!t588-'[2]$ лето'!s588-'[2]$ лето'!r588-'[2]$ лето'!p588-'[2]$ лето'!o588-'[2]$ лето'!n588-'[2]$ лето'!m588-'[2]$ лето'!l588+'[2]$ лето'!k588+'[2]$ лето'!q588+'[2]$ лето'!w588+'[2]$ лето'!ac588+'[2]$ лето'!ai588+'[2]$ лето'!ao588</f>
        <v>4</v>
      </c>
      <c r="I588" s="109" t="n">
        <f aca="false">'[2]$ лето'!ay588*1.1</f>
        <v>2464</v>
      </c>
      <c r="J588" s="85" t="n">
        <v>2018</v>
      </c>
    </row>
    <row r="589" customFormat="false" ht="15" hidden="true" customHeight="false" outlineLevel="0" collapsed="false">
      <c r="A589" s="123" t="s">
        <v>236</v>
      </c>
      <c r="B589" s="115" t="s">
        <v>601</v>
      </c>
      <c r="C589" s="116" t="s">
        <v>1182</v>
      </c>
      <c r="D589" s="116"/>
      <c r="E589" s="116"/>
      <c r="F589" s="116"/>
      <c r="G589" s="108"/>
      <c r="H589" s="105" t="n">
        <f aca="false">'[2]$ лето'!j589-'[2]$ лето'!au589-'[2]$ лето'!at589-'[2]$ лето'!as589-'[2]$ лето'!ar589-'[2]$ лето'!aq589-'[2]$ лето'!ap589-'[2]$ лето'!an589-'[2]$ лето'!am589-'[2]$ лето'!al589-'[2]$ лето'!ak589-'[2]$ лето'!aj589-'[2]$ лето'!ah589-'[2]$ лето'!ag589-'[2]$ лето'!af589-'[2]$ лето'!ae589-'[2]$ лето'!ad589-'[2]$ лето'!ab589-'[2]$ лето'!aa589-'[2]$ лето'!z589-'[2]$ лето'!y589-'[2]$ лето'!x589-'[2]$ лето'!v589-'[2]$ лето'!u589-'[2]$ лето'!t589-'[2]$ лето'!s589-'[2]$ лето'!r589-'[2]$ лето'!p589-'[2]$ лето'!o589-'[2]$ лето'!n589-'[2]$ лето'!m589-'[2]$ лето'!l589+'[2]$ лето'!k589+'[2]$ лето'!q589+'[2]$ лето'!w589+'[2]$ лето'!ac589+'[2]$ лето'!ai589+'[2]$ лето'!ao589</f>
        <v>0</v>
      </c>
      <c r="I589" s="109" t="n">
        <f aca="false">'[2]$ лето'!ay589*1.1</f>
        <v>1878.8</v>
      </c>
    </row>
    <row r="590" customFormat="false" ht="15" hidden="false" customHeight="false" outlineLevel="0" collapsed="false">
      <c r="A590" s="123" t="s">
        <v>236</v>
      </c>
      <c r="B590" s="115" t="s">
        <v>658</v>
      </c>
      <c r="C590" s="116" t="s">
        <v>1183</v>
      </c>
      <c r="D590" s="116"/>
      <c r="E590" s="116"/>
      <c r="F590" s="116"/>
      <c r="G590" s="108" t="s">
        <v>843</v>
      </c>
      <c r="H590" s="105" t="n">
        <f aca="false">'[2]$ лето'!j590-'[2]$ лето'!au590-'[2]$ лето'!at590-'[2]$ лето'!as590-'[2]$ лето'!ar590-'[2]$ лето'!aq590-'[2]$ лето'!ap590-'[2]$ лето'!an590-'[2]$ лето'!am590-'[2]$ лето'!al590-'[2]$ лето'!ak590-'[2]$ лето'!aj590-'[2]$ лето'!ah590-'[2]$ лето'!ag590-'[2]$ лето'!af590-'[2]$ лето'!ae590-'[2]$ лето'!ad590-'[2]$ лето'!ab590-'[2]$ лето'!aa590-'[2]$ лето'!z590-'[2]$ лето'!y590-'[2]$ лето'!x590-'[2]$ лето'!v590-'[2]$ лето'!u590-'[2]$ лето'!t590-'[2]$ лето'!s590-'[2]$ лето'!r590-'[2]$ лето'!p590-'[2]$ лето'!o590-'[2]$ лето'!n590-'[2]$ лето'!m590-'[2]$ лето'!l590+'[2]$ лето'!k590+'[2]$ лето'!q590+'[2]$ лето'!w590+'[2]$ лето'!ac590+'[2]$ лето'!ai590+'[2]$ лето'!ao590</f>
        <v>8</v>
      </c>
      <c r="I590" s="109" t="n">
        <f aca="false">'[2]$ лето'!ay590*1.1</f>
        <v>2710.4</v>
      </c>
      <c r="J590" s="85" t="n">
        <v>2018</v>
      </c>
    </row>
    <row r="591" customFormat="false" ht="15" hidden="false" customHeight="false" outlineLevel="0" collapsed="false">
      <c r="A591" s="123" t="s">
        <v>236</v>
      </c>
      <c r="B591" s="115" t="s">
        <v>658</v>
      </c>
      <c r="C591" s="116" t="s">
        <v>1184</v>
      </c>
      <c r="D591" s="116"/>
      <c r="E591" s="116"/>
      <c r="F591" s="116"/>
      <c r="G591" s="108" t="s">
        <v>843</v>
      </c>
      <c r="H591" s="105" t="n">
        <f aca="false">'[2]$ лето'!j591-'[2]$ лето'!au591-'[2]$ лето'!at591-'[2]$ лето'!as591-'[2]$ лето'!ar591-'[2]$ лето'!aq591-'[2]$ лето'!ap591-'[2]$ лето'!an591-'[2]$ лето'!am591-'[2]$ лето'!al591-'[2]$ лето'!ak591-'[2]$ лето'!aj591-'[2]$ лето'!ah591-'[2]$ лето'!ag591-'[2]$ лето'!af591-'[2]$ лето'!ae591-'[2]$ лето'!ad591-'[2]$ лето'!ab591-'[2]$ лето'!aa591-'[2]$ лето'!z591-'[2]$ лето'!y591-'[2]$ лето'!x591-'[2]$ лето'!v591-'[2]$ лето'!u591-'[2]$ лето'!t591-'[2]$ лето'!s591-'[2]$ лето'!r591-'[2]$ лето'!p591-'[2]$ лето'!o591-'[2]$ лето'!n591-'[2]$ лето'!m591-'[2]$ лето'!l591+'[2]$ лето'!k591+'[2]$ лето'!q591+'[2]$ лето'!w591+'[2]$ лето'!ac591+'[2]$ лето'!ai591+'[2]$ лето'!ao591</f>
        <v>4</v>
      </c>
      <c r="I591" s="109" t="n">
        <f aca="false">'[2]$ лето'!ay591*1.1</f>
        <v>3080</v>
      </c>
      <c r="J591" s="85" t="n">
        <v>2017</v>
      </c>
    </row>
    <row r="592" customFormat="false" ht="15" hidden="true" customHeight="false" outlineLevel="0" collapsed="false">
      <c r="A592" s="123" t="s">
        <v>236</v>
      </c>
      <c r="B592" s="115" t="s">
        <v>646</v>
      </c>
      <c r="C592" s="116" t="s">
        <v>1185</v>
      </c>
      <c r="D592" s="116"/>
      <c r="E592" s="116"/>
      <c r="F592" s="116"/>
      <c r="G592" s="108"/>
      <c r="H592" s="105" t="n">
        <f aca="false">'[2]$ лето'!j592-'[2]$ лето'!au592-'[2]$ лето'!at592-'[2]$ лето'!as592-'[2]$ лето'!ar592-'[2]$ лето'!aq592-'[2]$ лето'!ap592-'[2]$ лето'!an592-'[2]$ лето'!am592-'[2]$ лето'!al592-'[2]$ лето'!ak592-'[2]$ лето'!aj592-'[2]$ лето'!ah592-'[2]$ лето'!ag592-'[2]$ лето'!af592-'[2]$ лето'!ae592-'[2]$ лето'!ad592-'[2]$ лето'!ab592-'[2]$ лето'!aa592-'[2]$ лето'!z592-'[2]$ лето'!y592-'[2]$ лето'!x592-'[2]$ лето'!v592-'[2]$ лето'!u592-'[2]$ лето'!t592-'[2]$ лето'!s592-'[2]$ лето'!r592-'[2]$ лето'!p592-'[2]$ лето'!o592-'[2]$ лето'!n592-'[2]$ лето'!m592-'[2]$ лето'!l592+'[2]$ лето'!k592+'[2]$ лето'!q592+'[2]$ лето'!w592+'[2]$ лето'!ac592+'[2]$ лето'!ai592+'[2]$ лето'!ao592</f>
        <v>0</v>
      </c>
      <c r="I592" s="109" t="n">
        <f aca="false">'[2]$ лето'!ay592*1.1</f>
        <v>1355.2</v>
      </c>
    </row>
    <row r="593" customFormat="false" ht="15" hidden="true" customHeight="false" outlineLevel="0" collapsed="false">
      <c r="A593" s="123" t="s">
        <v>236</v>
      </c>
      <c r="B593" s="115" t="s">
        <v>707</v>
      </c>
      <c r="C593" s="116" t="s">
        <v>708</v>
      </c>
      <c r="D593" s="116"/>
      <c r="E593" s="116"/>
      <c r="F593" s="116"/>
      <c r="G593" s="108"/>
      <c r="H593" s="105" t="n">
        <f aca="false">'[2]$ лето'!j593-'[2]$ лето'!au593-'[2]$ лето'!at593-'[2]$ лето'!as593-'[2]$ лето'!ar593-'[2]$ лето'!aq593-'[2]$ лето'!ap593-'[2]$ лето'!an593-'[2]$ лето'!am593-'[2]$ лето'!al593-'[2]$ лето'!ak593-'[2]$ лето'!aj593-'[2]$ лето'!ah593-'[2]$ лето'!ag593-'[2]$ лето'!af593-'[2]$ лето'!ae593-'[2]$ лето'!ad593-'[2]$ лето'!ab593-'[2]$ лето'!aa593-'[2]$ лето'!z593-'[2]$ лето'!y593-'[2]$ лето'!x593-'[2]$ лето'!v593-'[2]$ лето'!u593-'[2]$ лето'!t593-'[2]$ лето'!s593-'[2]$ лето'!r593-'[2]$ лето'!p593-'[2]$ лето'!o593-'[2]$ лето'!n593-'[2]$ лето'!m593-'[2]$ лето'!l593+'[2]$ лето'!k593+'[2]$ лето'!q593+'[2]$ лето'!w593+'[2]$ лето'!ac593+'[2]$ лето'!ai593+'[2]$ лето'!ao593</f>
        <v>0</v>
      </c>
      <c r="I593" s="109" t="n">
        <f aca="false">'[2]$ лето'!ay593*1.1</f>
        <v>2741.2</v>
      </c>
    </row>
    <row r="594" customFormat="false" ht="15" hidden="true" customHeight="false" outlineLevel="0" collapsed="false">
      <c r="A594" s="115" t="s">
        <v>236</v>
      </c>
      <c r="B594" s="115" t="s">
        <v>553</v>
      </c>
      <c r="C594" s="116" t="s">
        <v>710</v>
      </c>
      <c r="D594" s="116"/>
      <c r="E594" s="116"/>
      <c r="F594" s="116"/>
      <c r="G594" s="108"/>
      <c r="H594" s="105" t="n">
        <f aca="false">'[2]$ лето'!j594-'[2]$ лето'!au594-'[2]$ лето'!at594-'[2]$ лето'!as594-'[2]$ лето'!ar594-'[2]$ лето'!aq594-'[2]$ лето'!ap594-'[2]$ лето'!an594-'[2]$ лето'!am594-'[2]$ лето'!al594-'[2]$ лето'!ak594-'[2]$ лето'!aj594-'[2]$ лето'!ah594-'[2]$ лето'!ag594-'[2]$ лето'!af594-'[2]$ лето'!ae594-'[2]$ лето'!ad594-'[2]$ лето'!ab594-'[2]$ лето'!aa594-'[2]$ лето'!z594-'[2]$ лето'!y594-'[2]$ лето'!x594-'[2]$ лето'!v594-'[2]$ лето'!u594-'[2]$ лето'!t594-'[2]$ лето'!s594-'[2]$ лето'!r594-'[2]$ лето'!p594-'[2]$ лето'!o594-'[2]$ лето'!n594-'[2]$ лето'!m594-'[2]$ лето'!l594+'[2]$ лето'!k594+'[2]$ лето'!q594+'[2]$ лето'!w594+'[2]$ лето'!ac594+'[2]$ лето'!ai594+'[2]$ лето'!ao594</f>
        <v>0</v>
      </c>
      <c r="I594" s="109" t="n">
        <f aca="false">'[2]$ лето'!ay594*1.1</f>
        <v>1540</v>
      </c>
    </row>
    <row r="595" customFormat="false" ht="15" hidden="true" customHeight="false" outlineLevel="0" collapsed="false">
      <c r="A595" s="115" t="s">
        <v>236</v>
      </c>
      <c r="B595" s="115" t="s">
        <v>557</v>
      </c>
      <c r="C595" s="116" t="s">
        <v>1054</v>
      </c>
      <c r="D595" s="116"/>
      <c r="E595" s="116"/>
      <c r="F595" s="116"/>
      <c r="G595" s="108"/>
      <c r="H595" s="105" t="n">
        <f aca="false">'[2]$ лето'!j595-'[2]$ лето'!au595-'[2]$ лето'!at595-'[2]$ лето'!as595-'[2]$ лето'!ar595-'[2]$ лето'!aq595-'[2]$ лето'!ap595-'[2]$ лето'!an595-'[2]$ лето'!am595-'[2]$ лето'!al595-'[2]$ лето'!ak595-'[2]$ лето'!aj595-'[2]$ лето'!ah595-'[2]$ лето'!ag595-'[2]$ лето'!af595-'[2]$ лето'!ae595-'[2]$ лето'!ad595-'[2]$ лето'!ab595-'[2]$ лето'!aa595-'[2]$ лето'!z595-'[2]$ лето'!y595-'[2]$ лето'!x595-'[2]$ лето'!v595-'[2]$ лето'!u595-'[2]$ лето'!t595-'[2]$ лето'!s595-'[2]$ лето'!r595-'[2]$ лето'!p595-'[2]$ лето'!o595-'[2]$ лето'!n595-'[2]$ лето'!m595-'[2]$ лето'!l595+'[2]$ лето'!k595+'[2]$ лето'!q595+'[2]$ лето'!w595+'[2]$ лето'!ac595+'[2]$ лето'!ai595+'[2]$ лето'!ao595</f>
        <v>0</v>
      </c>
      <c r="I595" s="109" t="n">
        <f aca="false">'[2]$ лето'!ay595*1.1</f>
        <v>1540</v>
      </c>
    </row>
    <row r="596" customFormat="false" ht="15" hidden="true" customHeight="false" outlineLevel="0" collapsed="false">
      <c r="A596" s="115" t="s">
        <v>236</v>
      </c>
      <c r="B596" s="115" t="s">
        <v>741</v>
      </c>
      <c r="C596" s="116" t="s">
        <v>1186</v>
      </c>
      <c r="D596" s="116"/>
      <c r="E596" s="116"/>
      <c r="F596" s="116"/>
      <c r="G596" s="108"/>
      <c r="H596" s="105" t="n">
        <f aca="false">'[2]$ лето'!j596-'[2]$ лето'!au596-'[2]$ лето'!at596-'[2]$ лето'!as596-'[2]$ лето'!ar596-'[2]$ лето'!aq596-'[2]$ лето'!ap596-'[2]$ лето'!an596-'[2]$ лето'!am596-'[2]$ лето'!al596-'[2]$ лето'!ak596-'[2]$ лето'!aj596-'[2]$ лето'!ah596-'[2]$ лето'!ag596-'[2]$ лето'!af596-'[2]$ лето'!ae596-'[2]$ лето'!ad596-'[2]$ лето'!ab596-'[2]$ лето'!aa596-'[2]$ лето'!z596-'[2]$ лето'!y596-'[2]$ лето'!x596-'[2]$ лето'!v596-'[2]$ лето'!u596-'[2]$ лето'!t596-'[2]$ лето'!s596-'[2]$ лето'!r596-'[2]$ лето'!p596-'[2]$ лето'!o596-'[2]$ лето'!n596-'[2]$ лето'!m596-'[2]$ лето'!l596+'[2]$ лето'!k596+'[2]$ лето'!q596+'[2]$ лето'!w596+'[2]$ лето'!ac596+'[2]$ лето'!ai596+'[2]$ лето'!ao596</f>
        <v>0</v>
      </c>
      <c r="I596" s="109" t="n">
        <f aca="false">'[2]$ лето'!ay596*1.1</f>
        <v>2556.4</v>
      </c>
    </row>
    <row r="597" customFormat="false" ht="15" hidden="false" customHeight="false" outlineLevel="0" collapsed="false">
      <c r="A597" s="115" t="s">
        <v>236</v>
      </c>
      <c r="B597" s="115" t="s">
        <v>604</v>
      </c>
      <c r="C597" s="116" t="s">
        <v>1187</v>
      </c>
      <c r="D597" s="116"/>
      <c r="E597" s="116"/>
      <c r="F597" s="116"/>
      <c r="G597" s="135"/>
      <c r="H597" s="105" t="n">
        <f aca="false">'[2]$ лето'!j597-'[2]$ лето'!au597-'[2]$ лето'!at597-'[2]$ лето'!as597-'[2]$ лето'!ar597-'[2]$ лето'!aq597-'[2]$ лето'!ap597-'[2]$ лето'!an597-'[2]$ лето'!am597-'[2]$ лето'!al597-'[2]$ лето'!ak597-'[2]$ лето'!aj597-'[2]$ лето'!ah597-'[2]$ лето'!ag597-'[2]$ лето'!af597-'[2]$ лето'!ae597-'[2]$ лето'!ad597-'[2]$ лето'!ab597-'[2]$ лето'!aa597-'[2]$ лето'!z597-'[2]$ лето'!y597-'[2]$ лето'!x597-'[2]$ лето'!v597-'[2]$ лето'!u597-'[2]$ лето'!t597-'[2]$ лето'!s597-'[2]$ лето'!r597-'[2]$ лето'!p597-'[2]$ лето'!o597-'[2]$ лето'!n597-'[2]$ лето'!m597-'[2]$ лето'!l597+'[2]$ лето'!k597+'[2]$ лето'!q597+'[2]$ лето'!w597+'[2]$ лето'!ac597+'[2]$ лето'!ai597+'[2]$ лето'!ao597</f>
        <v>8</v>
      </c>
      <c r="I597" s="109" t="n">
        <f aca="false">'[2]$ лето'!ay597*1.1</f>
        <v>2002</v>
      </c>
      <c r="J597" s="136" t="s">
        <v>1188</v>
      </c>
    </row>
    <row r="598" customFormat="false" ht="15" hidden="true" customHeight="false" outlineLevel="0" collapsed="false">
      <c r="A598" s="115" t="s">
        <v>236</v>
      </c>
      <c r="B598" s="115" t="s">
        <v>948</v>
      </c>
      <c r="C598" s="116" t="s">
        <v>1189</v>
      </c>
      <c r="D598" s="116"/>
      <c r="E598" s="116"/>
      <c r="F598" s="116"/>
      <c r="G598" s="108"/>
      <c r="H598" s="105" t="n">
        <f aca="false">'[2]$ лето'!j598-'[2]$ лето'!au598-'[2]$ лето'!at598-'[2]$ лето'!as598-'[2]$ лето'!ar598-'[2]$ лето'!aq598-'[2]$ лето'!ap598-'[2]$ лето'!an598-'[2]$ лето'!am598-'[2]$ лето'!al598-'[2]$ лето'!ak598-'[2]$ лето'!aj598-'[2]$ лето'!ah598-'[2]$ лето'!ag598-'[2]$ лето'!af598-'[2]$ лето'!ae598-'[2]$ лето'!ad598-'[2]$ лето'!ab598-'[2]$ лето'!aa598-'[2]$ лето'!z598-'[2]$ лето'!y598-'[2]$ лето'!x598-'[2]$ лето'!v598-'[2]$ лето'!u598-'[2]$ лето'!t598-'[2]$ лето'!s598-'[2]$ лето'!r598-'[2]$ лето'!p598-'[2]$ лето'!o598-'[2]$ лето'!n598-'[2]$ лето'!m598-'[2]$ лето'!l598+'[2]$ лето'!k598+'[2]$ лето'!q598+'[2]$ лето'!w598+'[2]$ лето'!ac598+'[2]$ лето'!ai598+'[2]$ лето'!ao598</f>
        <v>0</v>
      </c>
      <c r="I598" s="109" t="n">
        <f aca="false">'[2]$ лето'!ay598*1.1</f>
        <v>2156</v>
      </c>
    </row>
    <row r="599" customFormat="false" ht="15" hidden="true" customHeight="false" outlineLevel="0" collapsed="false">
      <c r="A599" s="115" t="s">
        <v>236</v>
      </c>
      <c r="B599" s="115" t="s">
        <v>948</v>
      </c>
      <c r="C599" s="116" t="s">
        <v>1190</v>
      </c>
      <c r="D599" s="116"/>
      <c r="E599" s="116"/>
      <c r="F599" s="116"/>
      <c r="G599" s="108"/>
      <c r="H599" s="105" t="n">
        <f aca="false">'[2]$ лето'!j599-'[2]$ лето'!au599-'[2]$ лето'!at599-'[2]$ лето'!as599-'[2]$ лето'!ar599-'[2]$ лето'!aq599-'[2]$ лето'!ap599-'[2]$ лето'!an599-'[2]$ лето'!am599-'[2]$ лето'!al599-'[2]$ лето'!ak599-'[2]$ лето'!aj599-'[2]$ лето'!ah599-'[2]$ лето'!ag599-'[2]$ лето'!af599-'[2]$ лето'!ae599-'[2]$ лето'!ad599-'[2]$ лето'!ab599-'[2]$ лето'!aa599-'[2]$ лето'!z599-'[2]$ лето'!y599-'[2]$ лето'!x599-'[2]$ лето'!v599-'[2]$ лето'!u599-'[2]$ лето'!t599-'[2]$ лето'!s599-'[2]$ лето'!r599-'[2]$ лето'!p599-'[2]$ лето'!o599-'[2]$ лето'!n599-'[2]$ лето'!m599-'[2]$ лето'!l599+'[2]$ лето'!k599+'[2]$ лето'!q599+'[2]$ лето'!w599+'[2]$ лето'!ac599+'[2]$ лето'!ai599+'[2]$ лето'!ao599</f>
        <v>0</v>
      </c>
      <c r="I599" s="109" t="n">
        <f aca="false">'[2]$ лето'!ay599*1.1</f>
        <v>2956.8</v>
      </c>
    </row>
    <row r="600" customFormat="false" ht="15" hidden="true" customHeight="false" outlineLevel="0" collapsed="false">
      <c r="A600" s="115" t="s">
        <v>236</v>
      </c>
      <c r="B600" s="115" t="s">
        <v>606</v>
      </c>
      <c r="C600" s="116" t="s">
        <v>1191</v>
      </c>
      <c r="D600" s="116"/>
      <c r="E600" s="116"/>
      <c r="F600" s="116"/>
      <c r="G600" s="108"/>
      <c r="H600" s="105" t="n">
        <f aca="false">'[2]$ лето'!j600-'[2]$ лето'!au600-'[2]$ лето'!at600-'[2]$ лето'!as600-'[2]$ лето'!ar600-'[2]$ лето'!aq600-'[2]$ лето'!ap600-'[2]$ лето'!an600-'[2]$ лето'!am600-'[2]$ лето'!al600-'[2]$ лето'!ak600-'[2]$ лето'!aj600-'[2]$ лето'!ah600-'[2]$ лето'!ag600-'[2]$ лето'!af600-'[2]$ лето'!ae600-'[2]$ лето'!ad600-'[2]$ лето'!ab600-'[2]$ лето'!aa600-'[2]$ лето'!z600-'[2]$ лето'!y600-'[2]$ лето'!x600-'[2]$ лето'!v600-'[2]$ лето'!u600-'[2]$ лето'!t600-'[2]$ лето'!s600-'[2]$ лето'!r600-'[2]$ лето'!p600-'[2]$ лето'!o600-'[2]$ лето'!n600-'[2]$ лето'!m600-'[2]$ лето'!l600+'[2]$ лето'!k600+'[2]$ лето'!q600+'[2]$ лето'!w600+'[2]$ лето'!ac600+'[2]$ лето'!ai600+'[2]$ лето'!ao600</f>
        <v>0</v>
      </c>
      <c r="I600" s="109" t="n">
        <f aca="false">'[2]$ лето'!ay600*1.1</f>
        <v>1848</v>
      </c>
    </row>
    <row r="601" customFormat="false" ht="15" hidden="false" customHeight="false" outlineLevel="0" collapsed="false">
      <c r="A601" s="115" t="s">
        <v>236</v>
      </c>
      <c r="B601" s="115" t="s">
        <v>606</v>
      </c>
      <c r="C601" s="107" t="s">
        <v>1192</v>
      </c>
      <c r="D601" s="107"/>
      <c r="E601" s="116"/>
      <c r="F601" s="116"/>
      <c r="G601" s="108" t="s">
        <v>609</v>
      </c>
      <c r="H601" s="105" t="n">
        <f aca="false">'[2]$ лето'!j601-'[2]$ лето'!au601-'[2]$ лето'!at601-'[2]$ лето'!as601-'[2]$ лето'!ar601-'[2]$ лето'!aq601-'[2]$ лето'!ap601-'[2]$ лето'!an601-'[2]$ лето'!am601-'[2]$ лето'!al601-'[2]$ лето'!ak601-'[2]$ лето'!aj601-'[2]$ лето'!ah601-'[2]$ лето'!ag601-'[2]$ лето'!af601-'[2]$ лето'!ae601-'[2]$ лето'!ad601-'[2]$ лето'!ab601-'[2]$ лето'!aa601-'[2]$ лето'!z601-'[2]$ лето'!y601-'[2]$ лето'!x601-'[2]$ лето'!v601-'[2]$ лето'!u601-'[2]$ лето'!t601-'[2]$ лето'!s601-'[2]$ лето'!r601-'[2]$ лето'!p601-'[2]$ лето'!o601-'[2]$ лето'!n601-'[2]$ лето'!m601-'[2]$ лето'!l601+'[2]$ лето'!k601+'[2]$ лето'!q601+'[2]$ лето'!w601+'[2]$ лето'!ac601+'[2]$ лето'!ai601+'[2]$ лето'!ao601</f>
        <v>2</v>
      </c>
      <c r="I601" s="109" t="n">
        <f aca="false">'[2]$ лето'!ay601*1.1</f>
        <v>2032.8</v>
      </c>
      <c r="J601" s="85" t="n">
        <v>2017</v>
      </c>
    </row>
    <row r="602" customFormat="false" ht="15" hidden="true" customHeight="false" outlineLevel="0" collapsed="false">
      <c r="A602" s="115" t="s">
        <v>236</v>
      </c>
      <c r="B602" s="115" t="s">
        <v>606</v>
      </c>
      <c r="C602" s="107" t="s">
        <v>1193</v>
      </c>
      <c r="D602" s="107"/>
      <c r="E602" s="107"/>
      <c r="F602" s="107"/>
      <c r="G602" s="108"/>
      <c r="H602" s="105" t="n">
        <f aca="false">'[2]$ лето'!j602-'[2]$ лето'!au602-'[2]$ лето'!at602-'[2]$ лето'!as602-'[2]$ лето'!ar602-'[2]$ лето'!aq602-'[2]$ лето'!ap602-'[2]$ лето'!an602-'[2]$ лето'!am602-'[2]$ лето'!al602-'[2]$ лето'!ak602-'[2]$ лето'!aj602-'[2]$ лето'!ah602-'[2]$ лето'!ag602-'[2]$ лето'!af602-'[2]$ лето'!ae602-'[2]$ лето'!ad602-'[2]$ лето'!ab602-'[2]$ лето'!aa602-'[2]$ лето'!z602-'[2]$ лето'!y602-'[2]$ лето'!x602-'[2]$ лето'!v602-'[2]$ лето'!u602-'[2]$ лето'!t602-'[2]$ лето'!s602-'[2]$ лето'!r602-'[2]$ лето'!p602-'[2]$ лето'!o602-'[2]$ лето'!n602-'[2]$ лето'!m602-'[2]$ лето'!l602+'[2]$ лето'!k602+'[2]$ лето'!q602+'[2]$ лето'!w602+'[2]$ лето'!ac602+'[2]$ лето'!ai602+'[2]$ лето'!ao602</f>
        <v>0</v>
      </c>
      <c r="I602" s="109" t="n">
        <f aca="false">'[2]$ лето'!ay602*1.1</f>
        <v>2002</v>
      </c>
    </row>
    <row r="603" customFormat="false" ht="15" hidden="false" customHeight="false" outlineLevel="0" collapsed="false">
      <c r="A603" s="129" t="s">
        <v>236</v>
      </c>
      <c r="B603" s="129" t="s">
        <v>606</v>
      </c>
      <c r="C603" s="130" t="s">
        <v>1194</v>
      </c>
      <c r="D603" s="130"/>
      <c r="E603" s="131"/>
      <c r="F603" s="131"/>
      <c r="G603" s="132"/>
      <c r="H603" s="105" t="n">
        <f aca="false">'[2]$ лето'!j603-'[2]$ лето'!au603-'[2]$ лето'!at603-'[2]$ лето'!as603-'[2]$ лето'!ar603-'[2]$ лето'!aq603-'[2]$ лето'!ap603-'[2]$ лето'!an603-'[2]$ лето'!am603-'[2]$ лето'!al603-'[2]$ лето'!ak603-'[2]$ лето'!aj603-'[2]$ лето'!ah603-'[2]$ лето'!ag603-'[2]$ лето'!af603-'[2]$ лето'!ae603-'[2]$ лето'!ad603-'[2]$ лето'!ab603-'[2]$ лето'!aa603-'[2]$ лето'!z603-'[2]$ лето'!y603-'[2]$ лето'!x603-'[2]$ лето'!v603-'[2]$ лето'!u603-'[2]$ лето'!t603-'[2]$ лето'!s603-'[2]$ лето'!r603-'[2]$ лето'!p603-'[2]$ лето'!o603-'[2]$ лето'!n603-'[2]$ лето'!m603-'[2]$ лето'!l603+'[2]$ лето'!k603+'[2]$ лето'!q603+'[2]$ лето'!w603+'[2]$ лето'!ac603+'[2]$ лето'!ai603+'[2]$ лето'!ao603</f>
        <v>4</v>
      </c>
      <c r="I603" s="133" t="n">
        <f aca="false">'[2]$ лето'!ay603*1.1</f>
        <v>0</v>
      </c>
      <c r="J603" s="142"/>
    </row>
    <row r="604" customFormat="false" ht="15" hidden="false" customHeight="false" outlineLevel="0" collapsed="false">
      <c r="A604" s="123" t="s">
        <v>236</v>
      </c>
      <c r="B604" s="115" t="s">
        <v>1130</v>
      </c>
      <c r="C604" s="107" t="s">
        <v>1195</v>
      </c>
      <c r="D604" s="107"/>
      <c r="E604" s="116"/>
      <c r="F604" s="116"/>
      <c r="G604" s="108" t="s">
        <v>585</v>
      </c>
      <c r="H604" s="105" t="n">
        <f aca="false">'[2]$ лето'!j604-'[2]$ лето'!au604-'[2]$ лето'!at604-'[2]$ лето'!as604-'[2]$ лето'!ar604-'[2]$ лето'!aq604-'[2]$ лето'!ap604-'[2]$ лето'!an604-'[2]$ лето'!am604-'[2]$ лето'!al604-'[2]$ лето'!ak604-'[2]$ лето'!aj604-'[2]$ лето'!ah604-'[2]$ лето'!ag604-'[2]$ лето'!af604-'[2]$ лето'!ae604-'[2]$ лето'!ad604-'[2]$ лето'!ab604-'[2]$ лето'!aa604-'[2]$ лето'!z604-'[2]$ лето'!y604-'[2]$ лето'!x604-'[2]$ лето'!v604-'[2]$ лето'!u604-'[2]$ лето'!t604-'[2]$ лето'!s604-'[2]$ лето'!r604-'[2]$ лето'!p604-'[2]$ лето'!o604-'[2]$ лето'!n604-'[2]$ лето'!m604-'[2]$ лето'!l604+'[2]$ лето'!k604+'[2]$ лето'!q604+'[2]$ лето'!w604+'[2]$ лето'!ac604+'[2]$ лето'!ai604+'[2]$ лето'!ao604</f>
        <v>4</v>
      </c>
      <c r="I604" s="109" t="n">
        <f aca="false">'[2]$ лето'!ay604*1.1</f>
        <v>1108.8</v>
      </c>
      <c r="J604" s="85" t="n">
        <v>2018</v>
      </c>
    </row>
    <row r="605" customFormat="false" ht="15" hidden="false" customHeight="false" outlineLevel="0" collapsed="false">
      <c r="A605" s="123" t="s">
        <v>236</v>
      </c>
      <c r="B605" s="123" t="s">
        <v>666</v>
      </c>
      <c r="C605" s="116" t="s">
        <v>1196</v>
      </c>
      <c r="D605" s="116"/>
      <c r="E605" s="116"/>
      <c r="F605" s="116"/>
      <c r="G605" s="108" t="s">
        <v>631</v>
      </c>
      <c r="H605" s="105" t="n">
        <f aca="false">'[2]$ лето'!j605-'[2]$ лето'!au605-'[2]$ лето'!at605-'[2]$ лето'!as605-'[2]$ лето'!ar605-'[2]$ лето'!aq605-'[2]$ лето'!ap605-'[2]$ лето'!an605-'[2]$ лето'!am605-'[2]$ лето'!al605-'[2]$ лето'!ak605-'[2]$ лето'!aj605-'[2]$ лето'!ah605-'[2]$ лето'!ag605-'[2]$ лето'!af605-'[2]$ лето'!ae605-'[2]$ лето'!ad605-'[2]$ лето'!ab605-'[2]$ лето'!aa605-'[2]$ лето'!z605-'[2]$ лето'!y605-'[2]$ лето'!x605-'[2]$ лето'!v605-'[2]$ лето'!u605-'[2]$ лето'!t605-'[2]$ лето'!s605-'[2]$ лето'!r605-'[2]$ лето'!p605-'[2]$ лето'!o605-'[2]$ лето'!n605-'[2]$ лето'!m605-'[2]$ лето'!l605+'[2]$ лето'!k605+'[2]$ лето'!q605+'[2]$ лето'!w605+'[2]$ лето'!ac605+'[2]$ лето'!ai605+'[2]$ лето'!ao605</f>
        <v>8</v>
      </c>
      <c r="I605" s="109" t="n">
        <f aca="false">'[2]$ лето'!ay605*1.1</f>
        <v>1909.6</v>
      </c>
      <c r="J605" s="85" t="n">
        <v>2018</v>
      </c>
    </row>
    <row r="606" customFormat="false" ht="15" hidden="true" customHeight="false" outlineLevel="0" collapsed="false">
      <c r="A606" s="123" t="s">
        <v>236</v>
      </c>
      <c r="B606" s="123" t="s">
        <v>668</v>
      </c>
      <c r="C606" s="107" t="s">
        <v>1197</v>
      </c>
      <c r="D606" s="107"/>
      <c r="E606" s="107"/>
      <c r="F606" s="107"/>
      <c r="G606" s="108" t="s">
        <v>609</v>
      </c>
      <c r="H606" s="105" t="n">
        <f aca="false">'[2]$ лето'!j606-'[2]$ лето'!au606-'[2]$ лето'!at606-'[2]$ лето'!as606-'[2]$ лето'!ar606-'[2]$ лето'!aq606-'[2]$ лето'!ap606-'[2]$ лето'!an606-'[2]$ лето'!am606-'[2]$ лето'!al606-'[2]$ лето'!ak606-'[2]$ лето'!aj606-'[2]$ лето'!ah606-'[2]$ лето'!ag606-'[2]$ лето'!af606-'[2]$ лето'!ae606-'[2]$ лето'!ad606-'[2]$ лето'!ab606-'[2]$ лето'!aa606-'[2]$ лето'!z606-'[2]$ лето'!y606-'[2]$ лето'!x606-'[2]$ лето'!v606-'[2]$ лето'!u606-'[2]$ лето'!t606-'[2]$ лето'!s606-'[2]$ лето'!r606-'[2]$ лето'!p606-'[2]$ лето'!o606-'[2]$ лето'!n606-'[2]$ лето'!m606-'[2]$ лето'!l606+'[2]$ лето'!k606+'[2]$ лето'!q606+'[2]$ лето'!w606+'[2]$ лето'!ac606+'[2]$ лето'!ai606+'[2]$ лето'!ao606</f>
        <v>0</v>
      </c>
      <c r="I606" s="109" t="n">
        <f aca="false">'[2]$ лето'!ay606*1.1</f>
        <v>1430</v>
      </c>
      <c r="J606" s="85" t="n">
        <v>2017</v>
      </c>
    </row>
    <row r="607" customFormat="false" ht="15" hidden="true" customHeight="false" outlineLevel="0" collapsed="false">
      <c r="A607" s="123" t="s">
        <v>236</v>
      </c>
      <c r="B607" s="123" t="s">
        <v>668</v>
      </c>
      <c r="C607" s="107" t="s">
        <v>1198</v>
      </c>
      <c r="D607" s="107"/>
      <c r="E607" s="107"/>
      <c r="F607" s="107"/>
      <c r="G607" s="108" t="s">
        <v>609</v>
      </c>
      <c r="H607" s="105" t="n">
        <f aca="false">'[2]$ лето'!j607-'[2]$ лето'!au607-'[2]$ лето'!at607-'[2]$ лето'!as607-'[2]$ лето'!ar607-'[2]$ лето'!aq607-'[2]$ лето'!ap607-'[2]$ лето'!an607-'[2]$ лето'!am607-'[2]$ лето'!al607-'[2]$ лето'!ak607-'[2]$ лето'!aj607-'[2]$ лето'!ah607-'[2]$ лето'!ag607-'[2]$ лето'!af607-'[2]$ лето'!ae607-'[2]$ лето'!ad607-'[2]$ лето'!ab607-'[2]$ лето'!aa607-'[2]$ лето'!z607-'[2]$ лето'!y607-'[2]$ лето'!x607-'[2]$ лето'!v607-'[2]$ лето'!u607-'[2]$ лето'!t607-'[2]$ лето'!s607-'[2]$ лето'!r607-'[2]$ лето'!p607-'[2]$ лето'!o607-'[2]$ лето'!n607-'[2]$ лето'!m607-'[2]$ лето'!l607+'[2]$ лето'!k607+'[2]$ лето'!q607+'[2]$ лето'!w607+'[2]$ лето'!ac607+'[2]$ лето'!ai607+'[2]$ лето'!ao607</f>
        <v>0</v>
      </c>
      <c r="I607" s="109" t="n">
        <f aca="false">'[2]$ лето'!ay607*1.1</f>
        <v>1909.6</v>
      </c>
      <c r="J607" s="85" t="n">
        <v>2017</v>
      </c>
    </row>
    <row r="608" customFormat="false" ht="15" hidden="false" customHeight="false" outlineLevel="0" collapsed="false">
      <c r="A608" s="123" t="s">
        <v>236</v>
      </c>
      <c r="B608" s="123" t="s">
        <v>574</v>
      </c>
      <c r="C608" s="116" t="s">
        <v>1199</v>
      </c>
      <c r="D608" s="116"/>
      <c r="E608" s="116"/>
      <c r="F608" s="116"/>
      <c r="G608" s="108" t="s">
        <v>576</v>
      </c>
      <c r="H608" s="105" t="n">
        <f aca="false">'[2]$ лето'!j608-'[2]$ лето'!au608-'[2]$ лето'!at608-'[2]$ лето'!as608-'[2]$ лето'!ar608-'[2]$ лето'!aq608-'[2]$ лето'!ap608-'[2]$ лето'!an608-'[2]$ лето'!am608-'[2]$ лето'!al608-'[2]$ лето'!ak608-'[2]$ лето'!aj608-'[2]$ лето'!ah608-'[2]$ лето'!ag608-'[2]$ лето'!af608-'[2]$ лето'!ae608-'[2]$ лето'!ad608-'[2]$ лето'!ab608-'[2]$ лето'!aa608-'[2]$ лето'!z608-'[2]$ лето'!y608-'[2]$ лето'!x608-'[2]$ лето'!v608-'[2]$ лето'!u608-'[2]$ лето'!t608-'[2]$ лето'!s608-'[2]$ лето'!r608-'[2]$ лето'!p608-'[2]$ лето'!o608-'[2]$ лето'!n608-'[2]$ лето'!m608-'[2]$ лето'!l608+'[2]$ лето'!k608+'[2]$ лето'!q608+'[2]$ лето'!w608+'[2]$ лето'!ac608+'[2]$ лето'!ai608+'[2]$ лето'!ao608</f>
        <v>2</v>
      </c>
      <c r="I608" s="109" t="n">
        <f aca="false">'[2]$ лето'!ay608*1.1</f>
        <v>1686.96</v>
      </c>
      <c r="J608" s="85" t="n">
        <v>2017</v>
      </c>
    </row>
    <row r="609" customFormat="false" ht="15" hidden="false" customHeight="false" outlineLevel="0" collapsed="false">
      <c r="A609" s="123" t="s">
        <v>236</v>
      </c>
      <c r="B609" s="123" t="s">
        <v>574</v>
      </c>
      <c r="C609" s="116" t="s">
        <v>1200</v>
      </c>
      <c r="D609" s="116"/>
      <c r="E609" s="116"/>
      <c r="F609" s="116"/>
      <c r="G609" s="108" t="s">
        <v>576</v>
      </c>
      <c r="H609" s="105" t="n">
        <f aca="false">'[2]$ лето'!j609-'[2]$ лето'!au609-'[2]$ лето'!at609-'[2]$ лето'!as609-'[2]$ лето'!ar609-'[2]$ лето'!aq609-'[2]$ лето'!ap609-'[2]$ лето'!an609-'[2]$ лето'!am609-'[2]$ лето'!al609-'[2]$ лето'!ak609-'[2]$ лето'!aj609-'[2]$ лето'!ah609-'[2]$ лето'!ag609-'[2]$ лето'!af609-'[2]$ лето'!ae609-'[2]$ лето'!ad609-'[2]$ лето'!ab609-'[2]$ лето'!aa609-'[2]$ лето'!z609-'[2]$ лето'!y609-'[2]$ лето'!x609-'[2]$ лето'!v609-'[2]$ лето'!u609-'[2]$ лето'!t609-'[2]$ лето'!s609-'[2]$ лето'!r609-'[2]$ лето'!p609-'[2]$ лето'!o609-'[2]$ лето'!n609-'[2]$ лето'!m609-'[2]$ лето'!l609+'[2]$ лето'!k609+'[2]$ лето'!q609+'[2]$ лето'!w609+'[2]$ лето'!ac609+'[2]$ лето'!ai609+'[2]$ лето'!ao609</f>
        <v>4</v>
      </c>
      <c r="I609" s="109" t="n">
        <f aca="false">'[2]$ лето'!ay609*1.1</f>
        <v>1718.2</v>
      </c>
      <c r="J609" s="85" t="n">
        <v>2018</v>
      </c>
    </row>
    <row r="610" customFormat="false" ht="15" hidden="false" customHeight="false" outlineLevel="0" collapsed="false">
      <c r="A610" s="123" t="s">
        <v>236</v>
      </c>
      <c r="B610" s="123" t="s">
        <v>1201</v>
      </c>
      <c r="C610" s="116" t="s">
        <v>1202</v>
      </c>
      <c r="D610" s="116"/>
      <c r="E610" s="116"/>
      <c r="F610" s="116"/>
      <c r="G610" s="108"/>
      <c r="H610" s="105" t="n">
        <f aca="false">'[2]$ лето'!j610-'[2]$ лето'!au610-'[2]$ лето'!at610-'[2]$ лето'!as610-'[2]$ лето'!ar610-'[2]$ лето'!aq610-'[2]$ лето'!ap610-'[2]$ лето'!an610-'[2]$ лето'!am610-'[2]$ лето'!al610-'[2]$ лето'!ak610-'[2]$ лето'!aj610-'[2]$ лето'!ah610-'[2]$ лето'!ag610-'[2]$ лето'!af610-'[2]$ лето'!ae610-'[2]$ лето'!ad610-'[2]$ лето'!ab610-'[2]$ лето'!aa610-'[2]$ лето'!z610-'[2]$ лето'!y610-'[2]$ лето'!x610-'[2]$ лето'!v610-'[2]$ лето'!u610-'[2]$ лето'!t610-'[2]$ лето'!s610-'[2]$ лето'!r610-'[2]$ лето'!p610-'[2]$ лето'!o610-'[2]$ лето'!n610-'[2]$ лето'!m610-'[2]$ лето'!l610+'[2]$ лето'!k610+'[2]$ лето'!q610+'[2]$ лето'!w610+'[2]$ лето'!ac610+'[2]$ лето'!ai610+'[2]$ лето'!ao610</f>
        <v>4</v>
      </c>
      <c r="I610" s="109" t="n">
        <f aca="false">'[2]$ лето'!ay610*1.1</f>
        <v>1540</v>
      </c>
      <c r="J610" s="85" t="n">
        <v>2018</v>
      </c>
    </row>
    <row r="611" customFormat="false" ht="15" hidden="false" customHeight="false" outlineLevel="0" collapsed="false">
      <c r="A611" s="123" t="s">
        <v>236</v>
      </c>
      <c r="B611" s="123" t="s">
        <v>579</v>
      </c>
      <c r="C611" s="116" t="s">
        <v>1203</v>
      </c>
      <c r="D611" s="116"/>
      <c r="E611" s="116"/>
      <c r="F611" s="116"/>
      <c r="G611" s="108" t="s">
        <v>520</v>
      </c>
      <c r="H611" s="105" t="n">
        <f aca="false">'[2]$ лето'!j611-'[2]$ лето'!au611-'[2]$ лето'!at611-'[2]$ лето'!as611-'[2]$ лето'!ar611-'[2]$ лето'!aq611-'[2]$ лето'!ap611-'[2]$ лето'!an611-'[2]$ лето'!am611-'[2]$ лето'!al611-'[2]$ лето'!ak611-'[2]$ лето'!aj611-'[2]$ лето'!ah611-'[2]$ лето'!ag611-'[2]$ лето'!af611-'[2]$ лето'!ae611-'[2]$ лето'!ad611-'[2]$ лето'!ab611-'[2]$ лето'!aa611-'[2]$ лето'!z611-'[2]$ лето'!y611-'[2]$ лето'!x611-'[2]$ лето'!v611-'[2]$ лето'!u611-'[2]$ лето'!t611-'[2]$ лето'!s611-'[2]$ лето'!r611-'[2]$ лето'!p611-'[2]$ лето'!o611-'[2]$ лето'!n611-'[2]$ лето'!m611-'[2]$ лето'!l611+'[2]$ лето'!k611+'[2]$ лето'!q611+'[2]$ лето'!w611+'[2]$ лето'!ac611+'[2]$ лето'!ai611+'[2]$ лето'!ao611</f>
        <v>2</v>
      </c>
      <c r="I611" s="109" t="n">
        <f aca="false">'[2]$ лето'!ay611*1.1</f>
        <v>1122</v>
      </c>
    </row>
    <row r="612" customFormat="false" ht="15" hidden="false" customHeight="false" outlineLevel="0" collapsed="false">
      <c r="A612" s="115" t="s">
        <v>236</v>
      </c>
      <c r="B612" s="115" t="s">
        <v>583</v>
      </c>
      <c r="C612" s="116" t="s">
        <v>1204</v>
      </c>
      <c r="D612" s="116"/>
      <c r="E612" s="116"/>
      <c r="F612" s="116"/>
      <c r="G612" s="108" t="s">
        <v>585</v>
      </c>
      <c r="H612" s="105" t="n">
        <f aca="false">'[2]$ лето'!j612-'[2]$ лето'!au612-'[2]$ лето'!at612-'[2]$ лето'!as612-'[2]$ лето'!ar612-'[2]$ лето'!aq612-'[2]$ лето'!ap612-'[2]$ лето'!an612-'[2]$ лето'!am612-'[2]$ лето'!al612-'[2]$ лето'!ak612-'[2]$ лето'!aj612-'[2]$ лето'!ah612-'[2]$ лето'!ag612-'[2]$ лето'!af612-'[2]$ лето'!ae612-'[2]$ лето'!ad612-'[2]$ лето'!ab612-'[2]$ лето'!aa612-'[2]$ лето'!z612-'[2]$ лето'!y612-'[2]$ лето'!x612-'[2]$ лето'!v612-'[2]$ лето'!u612-'[2]$ лето'!t612-'[2]$ лето'!s612-'[2]$ лето'!r612-'[2]$ лето'!p612-'[2]$ лето'!o612-'[2]$ лето'!n612-'[2]$ лето'!m612-'[2]$ лето'!l612+'[2]$ лето'!k612+'[2]$ лето'!q612+'[2]$ лето'!w612+'[2]$ лето'!ac612+'[2]$ лето'!ai612+'[2]$ лето'!ao612</f>
        <v>10</v>
      </c>
      <c r="I612" s="109" t="n">
        <f aca="false">'[2]$ лето'!ay612*1.1</f>
        <v>1663.2</v>
      </c>
      <c r="J612" s="85" t="n">
        <v>2018</v>
      </c>
    </row>
    <row r="613" customFormat="false" ht="15" hidden="true" customHeight="false" outlineLevel="0" collapsed="false">
      <c r="A613" s="115" t="s">
        <v>236</v>
      </c>
      <c r="B613" s="115" t="s">
        <v>613</v>
      </c>
      <c r="C613" s="116" t="s">
        <v>1205</v>
      </c>
      <c r="D613" s="116"/>
      <c r="E613" s="116"/>
      <c r="F613" s="116"/>
      <c r="G613" s="108"/>
      <c r="H613" s="105" t="n">
        <f aca="false">'[2]$ лето'!j613-'[2]$ лето'!au613-'[2]$ лето'!at613-'[2]$ лето'!as613-'[2]$ лето'!ar613-'[2]$ лето'!aq613-'[2]$ лето'!ap613-'[2]$ лето'!an613-'[2]$ лето'!am613-'[2]$ лето'!al613-'[2]$ лето'!ak613-'[2]$ лето'!aj613-'[2]$ лето'!ah613-'[2]$ лето'!ag613-'[2]$ лето'!af613-'[2]$ лето'!ae613-'[2]$ лето'!ad613-'[2]$ лето'!ab613-'[2]$ лето'!aa613-'[2]$ лето'!z613-'[2]$ лето'!y613-'[2]$ лето'!x613-'[2]$ лето'!v613-'[2]$ лето'!u613-'[2]$ лето'!t613-'[2]$ лето'!s613-'[2]$ лето'!r613-'[2]$ лето'!p613-'[2]$ лето'!o613-'[2]$ лето'!n613-'[2]$ лето'!m613-'[2]$ лето'!l613+'[2]$ лето'!k613+'[2]$ лето'!q613+'[2]$ лето'!w613+'[2]$ лето'!ac613+'[2]$ лето'!ai613+'[2]$ лето'!ao613</f>
        <v>0</v>
      </c>
      <c r="I613" s="109" t="n">
        <f aca="false">'[2]$ лето'!ay613*1.1</f>
        <v>1201.2</v>
      </c>
    </row>
    <row r="614" customFormat="false" ht="15" hidden="false" customHeight="false" outlineLevel="0" collapsed="false">
      <c r="A614" s="115" t="s">
        <v>236</v>
      </c>
      <c r="B614" s="115" t="s">
        <v>593</v>
      </c>
      <c r="C614" s="107" t="s">
        <v>1206</v>
      </c>
      <c r="D614" s="107"/>
      <c r="E614" s="116"/>
      <c r="F614" s="116"/>
      <c r="G614" s="108" t="s">
        <v>843</v>
      </c>
      <c r="H614" s="105" t="n">
        <f aca="false">'[2]$ лето'!j614-'[2]$ лето'!au614-'[2]$ лето'!at614-'[2]$ лето'!as614-'[2]$ лето'!ar614-'[2]$ лето'!aq614-'[2]$ лето'!ap614-'[2]$ лето'!an614-'[2]$ лето'!am614-'[2]$ лето'!al614-'[2]$ лето'!ak614-'[2]$ лето'!aj614-'[2]$ лето'!ah614-'[2]$ лето'!ag614-'[2]$ лето'!af614-'[2]$ лето'!ae614-'[2]$ лето'!ad614-'[2]$ лето'!ab614-'[2]$ лето'!aa614-'[2]$ лето'!z614-'[2]$ лето'!y614-'[2]$ лето'!x614-'[2]$ лето'!v614-'[2]$ лето'!u614-'[2]$ лето'!t614-'[2]$ лето'!s614-'[2]$ лето'!r614-'[2]$ лето'!p614-'[2]$ лето'!o614-'[2]$ лето'!n614-'[2]$ лето'!m614-'[2]$ лето'!l614+'[2]$ лето'!k614+'[2]$ лето'!q614+'[2]$ лето'!w614+'[2]$ лето'!ac614+'[2]$ лето'!ai614+'[2]$ лето'!ao614</f>
        <v>2</v>
      </c>
      <c r="I614" s="109" t="n">
        <f aca="false">'[2]$ лето'!ay614*1.1</f>
        <v>2679.6</v>
      </c>
      <c r="J614" s="85" t="n">
        <v>2015</v>
      </c>
    </row>
    <row r="615" customFormat="false" ht="15" hidden="false" customHeight="false" outlineLevel="0" collapsed="false">
      <c r="A615" s="115" t="s">
        <v>236</v>
      </c>
      <c r="B615" s="115" t="s">
        <v>593</v>
      </c>
      <c r="C615" s="107" t="s">
        <v>1207</v>
      </c>
      <c r="D615" s="107"/>
      <c r="E615" s="116"/>
      <c r="F615" s="116"/>
      <c r="G615" s="108" t="s">
        <v>911</v>
      </c>
      <c r="H615" s="105" t="n">
        <f aca="false">'[2]$ лето'!j615-'[2]$ лето'!au615-'[2]$ лето'!at615-'[2]$ лето'!as615-'[2]$ лето'!ar615-'[2]$ лето'!aq615-'[2]$ лето'!ap615-'[2]$ лето'!an615-'[2]$ лето'!am615-'[2]$ лето'!al615-'[2]$ лето'!ak615-'[2]$ лето'!aj615-'[2]$ лето'!ah615-'[2]$ лето'!ag615-'[2]$ лето'!af615-'[2]$ лето'!ae615-'[2]$ лето'!ad615-'[2]$ лето'!ab615-'[2]$ лето'!aa615-'[2]$ лето'!z615-'[2]$ лето'!y615-'[2]$ лето'!x615-'[2]$ лето'!v615-'[2]$ лето'!u615-'[2]$ лето'!t615-'[2]$ лето'!s615-'[2]$ лето'!r615-'[2]$ лето'!p615-'[2]$ лето'!o615-'[2]$ лето'!n615-'[2]$ лето'!m615-'[2]$ лето'!l615+'[2]$ лето'!k615+'[2]$ лето'!q615+'[2]$ лето'!w615+'[2]$ лето'!ac615+'[2]$ лето'!ai615+'[2]$ лето'!ao615</f>
        <v>8</v>
      </c>
      <c r="I615" s="109" t="n">
        <f aca="false">'[2]$ лето'!ay615*1.1</f>
        <v>2956.8</v>
      </c>
      <c r="J615" s="85" t="n">
        <v>2018</v>
      </c>
    </row>
    <row r="616" customFormat="false" ht="15" hidden="false" customHeight="false" outlineLevel="0" collapsed="false">
      <c r="A616" s="115" t="s">
        <v>236</v>
      </c>
      <c r="B616" s="115" t="s">
        <v>593</v>
      </c>
      <c r="C616" s="107" t="s">
        <v>1208</v>
      </c>
      <c r="D616" s="107"/>
      <c r="E616" s="116"/>
      <c r="F616" s="116"/>
      <c r="G616" s="108" t="s">
        <v>868</v>
      </c>
      <c r="H616" s="105" t="n">
        <f aca="false">'[2]$ лето'!j616-'[2]$ лето'!au616-'[2]$ лето'!at616-'[2]$ лето'!as616-'[2]$ лето'!ar616-'[2]$ лето'!aq616-'[2]$ лето'!ap616-'[2]$ лето'!an616-'[2]$ лето'!am616-'[2]$ лето'!al616-'[2]$ лето'!ak616-'[2]$ лето'!aj616-'[2]$ лето'!ah616-'[2]$ лето'!ag616-'[2]$ лето'!af616-'[2]$ лето'!ae616-'[2]$ лето'!ad616-'[2]$ лето'!ab616-'[2]$ лето'!aa616-'[2]$ лето'!z616-'[2]$ лето'!y616-'[2]$ лето'!x616-'[2]$ лето'!v616-'[2]$ лето'!u616-'[2]$ лето'!t616-'[2]$ лето'!s616-'[2]$ лето'!r616-'[2]$ лето'!p616-'[2]$ лето'!o616-'[2]$ лето'!n616-'[2]$ лето'!m616-'[2]$ лето'!l616+'[2]$ лето'!k616+'[2]$ лето'!q616+'[2]$ лето'!w616+'[2]$ лето'!ac616+'[2]$ лето'!ai616+'[2]$ лето'!ao616</f>
        <v>4</v>
      </c>
      <c r="I616" s="109" t="n">
        <f aca="false">'[2]$ лето'!ay616*1.1</f>
        <v>3141.6</v>
      </c>
      <c r="J616" s="85" t="n">
        <v>2018</v>
      </c>
    </row>
    <row r="617" customFormat="false" ht="15" hidden="true" customHeight="false" outlineLevel="0" collapsed="false">
      <c r="A617" s="115" t="s">
        <v>236</v>
      </c>
      <c r="B617" s="115" t="s">
        <v>593</v>
      </c>
      <c r="C617" s="107" t="s">
        <v>1209</v>
      </c>
      <c r="D617" s="107"/>
      <c r="E617" s="107"/>
      <c r="F617" s="107"/>
      <c r="G617" s="108"/>
      <c r="H617" s="105" t="n">
        <f aca="false">'[2]$ лето'!j617-'[2]$ лето'!au617-'[2]$ лето'!at617-'[2]$ лето'!as617-'[2]$ лето'!ar617-'[2]$ лето'!aq617-'[2]$ лето'!ap617-'[2]$ лето'!an617-'[2]$ лето'!am617-'[2]$ лето'!al617-'[2]$ лето'!ak617-'[2]$ лето'!aj617-'[2]$ лето'!ah617-'[2]$ лето'!ag617-'[2]$ лето'!af617-'[2]$ лето'!ae617-'[2]$ лето'!ad617-'[2]$ лето'!ab617-'[2]$ лето'!aa617-'[2]$ лето'!z617-'[2]$ лето'!y617-'[2]$ лето'!x617-'[2]$ лето'!v617-'[2]$ лето'!u617-'[2]$ лето'!t617-'[2]$ лето'!s617-'[2]$ лето'!r617-'[2]$ лето'!p617-'[2]$ лето'!o617-'[2]$ лето'!n617-'[2]$ лето'!m617-'[2]$ лето'!l617+'[2]$ лето'!k617+'[2]$ лето'!q617+'[2]$ лето'!w617+'[2]$ лето'!ac617+'[2]$ лето'!ai617+'[2]$ лето'!ao617</f>
        <v>0</v>
      </c>
      <c r="I617" s="109" t="n">
        <f aca="false">'[2]$ лето'!ay617*1.1</f>
        <v>2248.4</v>
      </c>
      <c r="J617" s="85" t="n">
        <v>2017</v>
      </c>
    </row>
    <row r="618" customFormat="false" ht="15" hidden="true" customHeight="false" outlineLevel="0" collapsed="false">
      <c r="A618" s="115" t="s">
        <v>236</v>
      </c>
      <c r="B618" s="115" t="s">
        <v>593</v>
      </c>
      <c r="C618" s="107" t="s">
        <v>1210</v>
      </c>
      <c r="D618" s="107"/>
      <c r="E618" s="107"/>
      <c r="F618" s="107"/>
      <c r="G618" s="108"/>
      <c r="H618" s="105" t="n">
        <f aca="false">'[2]$ лето'!j618-'[2]$ лето'!au618-'[2]$ лето'!at618-'[2]$ лето'!as618-'[2]$ лето'!ar618-'[2]$ лето'!aq618-'[2]$ лето'!ap618-'[2]$ лето'!an618-'[2]$ лето'!am618-'[2]$ лето'!al618-'[2]$ лето'!ak618-'[2]$ лето'!aj618-'[2]$ лето'!ah618-'[2]$ лето'!ag618-'[2]$ лето'!af618-'[2]$ лето'!ae618-'[2]$ лето'!ad618-'[2]$ лето'!ab618-'[2]$ лето'!aa618-'[2]$ лето'!z618-'[2]$ лето'!y618-'[2]$ лето'!x618-'[2]$ лето'!v618-'[2]$ лето'!u618-'[2]$ лето'!t618-'[2]$ лето'!s618-'[2]$ лето'!r618-'[2]$ лето'!p618-'[2]$ лето'!o618-'[2]$ лето'!n618-'[2]$ лето'!m618-'[2]$ лето'!l618+'[2]$ лето'!k618+'[2]$ лето'!q618+'[2]$ лето'!w618+'[2]$ лето'!ac618+'[2]$ лето'!ai618+'[2]$ лето'!ao618</f>
        <v>0</v>
      </c>
      <c r="I618" s="109" t="n">
        <f aca="false">'[2]$ лето'!ay618*1.1</f>
        <v>2464</v>
      </c>
    </row>
    <row r="619" customFormat="false" ht="15" hidden="true" customHeight="false" outlineLevel="0" collapsed="false">
      <c r="A619" s="115" t="s">
        <v>236</v>
      </c>
      <c r="B619" s="115" t="s">
        <v>586</v>
      </c>
      <c r="C619" s="107" t="s">
        <v>1211</v>
      </c>
      <c r="D619" s="107"/>
      <c r="E619" s="107"/>
      <c r="F619" s="107"/>
      <c r="G619" s="108" t="s">
        <v>520</v>
      </c>
      <c r="H619" s="105" t="n">
        <f aca="false">'[2]$ лето'!j619-'[2]$ лето'!au619-'[2]$ лето'!at619-'[2]$ лето'!as619-'[2]$ лето'!ar619-'[2]$ лето'!aq619-'[2]$ лето'!ap619-'[2]$ лето'!an619-'[2]$ лето'!am619-'[2]$ лето'!al619-'[2]$ лето'!ak619-'[2]$ лето'!aj619-'[2]$ лето'!ah619-'[2]$ лето'!ag619-'[2]$ лето'!af619-'[2]$ лето'!ae619-'[2]$ лето'!ad619-'[2]$ лето'!ab619-'[2]$ лето'!aa619-'[2]$ лето'!z619-'[2]$ лето'!y619-'[2]$ лето'!x619-'[2]$ лето'!v619-'[2]$ лето'!u619-'[2]$ лето'!t619-'[2]$ лето'!s619-'[2]$ лето'!r619-'[2]$ лето'!p619-'[2]$ лето'!o619-'[2]$ лето'!n619-'[2]$ лето'!m619-'[2]$ лето'!l619+'[2]$ лето'!k619+'[2]$ лето'!q619+'[2]$ лето'!w619+'[2]$ лето'!ac619+'[2]$ лето'!ai619+'[2]$ лето'!ao619</f>
        <v>0</v>
      </c>
      <c r="I619" s="109" t="n">
        <f aca="false">'[2]$ лето'!ay619*1.1</f>
        <v>1170.4</v>
      </c>
      <c r="J619" s="85" t="n">
        <v>2018</v>
      </c>
    </row>
    <row r="620" customFormat="false" ht="15" hidden="true" customHeight="false" outlineLevel="0" collapsed="false">
      <c r="A620" s="115" t="s">
        <v>236</v>
      </c>
      <c r="B620" s="115" t="s">
        <v>615</v>
      </c>
      <c r="C620" s="116" t="s">
        <v>1212</v>
      </c>
      <c r="D620" s="116"/>
      <c r="E620" s="116"/>
      <c r="F620" s="116"/>
      <c r="G620" s="108"/>
      <c r="H620" s="105" t="n">
        <f aca="false">'[2]$ лето'!j620-'[2]$ лето'!au620-'[2]$ лето'!at620-'[2]$ лето'!as620-'[2]$ лето'!ar620-'[2]$ лето'!aq620-'[2]$ лето'!ap620-'[2]$ лето'!an620-'[2]$ лето'!am620-'[2]$ лето'!al620-'[2]$ лето'!ak620-'[2]$ лето'!aj620-'[2]$ лето'!ah620-'[2]$ лето'!ag620-'[2]$ лето'!af620-'[2]$ лето'!ae620-'[2]$ лето'!ad620-'[2]$ лето'!ab620-'[2]$ лето'!aa620-'[2]$ лето'!z620-'[2]$ лето'!y620-'[2]$ лето'!x620-'[2]$ лето'!v620-'[2]$ лето'!u620-'[2]$ лето'!t620-'[2]$ лето'!s620-'[2]$ лето'!r620-'[2]$ лето'!p620-'[2]$ лето'!o620-'[2]$ лето'!n620-'[2]$ лето'!m620-'[2]$ лето'!l620+'[2]$ лето'!k620+'[2]$ лето'!q620+'[2]$ лето'!w620+'[2]$ лето'!ac620+'[2]$ лето'!ai620+'[2]$ лето'!ao620</f>
        <v>0</v>
      </c>
      <c r="I620" s="109" t="n">
        <f aca="false">'[2]$ лето'!ay620*1.1</f>
        <v>1540</v>
      </c>
    </row>
    <row r="621" customFormat="false" ht="15" hidden="true" customHeight="false" outlineLevel="0" collapsed="false">
      <c r="A621" s="115" t="s">
        <v>236</v>
      </c>
      <c r="B621" s="115" t="s">
        <v>615</v>
      </c>
      <c r="C621" s="107" t="s">
        <v>1213</v>
      </c>
      <c r="D621" s="107"/>
      <c r="E621" s="107"/>
      <c r="F621" s="107"/>
      <c r="G621" s="108"/>
      <c r="H621" s="105" t="n">
        <f aca="false">'[2]$ лето'!j621-'[2]$ лето'!au621-'[2]$ лето'!at621-'[2]$ лето'!as621-'[2]$ лето'!ar621-'[2]$ лето'!aq621-'[2]$ лето'!ap621-'[2]$ лето'!an621-'[2]$ лето'!am621-'[2]$ лето'!al621-'[2]$ лето'!ak621-'[2]$ лето'!aj621-'[2]$ лето'!ah621-'[2]$ лето'!ag621-'[2]$ лето'!af621-'[2]$ лето'!ae621-'[2]$ лето'!ad621-'[2]$ лето'!ab621-'[2]$ лето'!aa621-'[2]$ лето'!z621-'[2]$ лето'!y621-'[2]$ лето'!x621-'[2]$ лето'!v621-'[2]$ лето'!u621-'[2]$ лето'!t621-'[2]$ лето'!s621-'[2]$ лето'!r621-'[2]$ лето'!p621-'[2]$ лето'!o621-'[2]$ лето'!n621-'[2]$ лето'!m621-'[2]$ лето'!l621+'[2]$ лето'!k621+'[2]$ лето'!q621+'[2]$ лето'!w621+'[2]$ лето'!ac621+'[2]$ лето'!ai621+'[2]$ лето'!ao621</f>
        <v>0</v>
      </c>
      <c r="I621" s="109" t="n">
        <f aca="false">'[2]$ лето'!ay621*1.1</f>
        <v>1416.8</v>
      </c>
      <c r="J621" s="85" t="n">
        <v>2016</v>
      </c>
    </row>
    <row r="622" customFormat="false" ht="15" hidden="false" customHeight="false" outlineLevel="0" collapsed="false">
      <c r="A622" s="115" t="s">
        <v>236</v>
      </c>
      <c r="B622" s="115" t="s">
        <v>1214</v>
      </c>
      <c r="C622" s="107" t="s">
        <v>1215</v>
      </c>
      <c r="D622" s="107"/>
      <c r="E622" s="116" t="n">
        <v>96</v>
      </c>
      <c r="F622" s="116" t="s">
        <v>970</v>
      </c>
      <c r="G622" s="108"/>
      <c r="H622" s="105" t="n">
        <f aca="false">'[2]$ лето'!j622-'[2]$ лето'!au622-'[2]$ лето'!at622-'[2]$ лето'!as622-'[2]$ лето'!ar622-'[2]$ лето'!aq622-'[2]$ лето'!ap622-'[2]$ лето'!an622-'[2]$ лето'!am622-'[2]$ лето'!al622-'[2]$ лето'!ak622-'[2]$ лето'!aj622-'[2]$ лето'!ah622-'[2]$ лето'!ag622-'[2]$ лето'!af622-'[2]$ лето'!ae622-'[2]$ лето'!ad622-'[2]$ лето'!ab622-'[2]$ лето'!aa622-'[2]$ лето'!z622-'[2]$ лето'!y622-'[2]$ лето'!x622-'[2]$ лето'!v622-'[2]$ лето'!u622-'[2]$ лето'!t622-'[2]$ лето'!s622-'[2]$ лето'!r622-'[2]$ лето'!p622-'[2]$ лето'!o622-'[2]$ лето'!n622-'[2]$ лето'!m622-'[2]$ лето'!l622+'[2]$ лето'!k622+'[2]$ лето'!q622+'[2]$ лето'!w622+'[2]$ лето'!ac622+'[2]$ лето'!ai622+'[2]$ лето'!ao622</f>
        <v>6</v>
      </c>
      <c r="I622" s="109" t="n">
        <f aca="false">'[2]$ лето'!ay622*1.1</f>
        <v>1293.6</v>
      </c>
    </row>
    <row r="623" customFormat="false" ht="15" hidden="true" customHeight="false" outlineLevel="0" collapsed="false">
      <c r="A623" s="115" t="s">
        <v>236</v>
      </c>
      <c r="B623" s="115" t="s">
        <v>617</v>
      </c>
      <c r="C623" s="107" t="s">
        <v>1216</v>
      </c>
      <c r="D623" s="107"/>
      <c r="E623" s="107"/>
      <c r="F623" s="107"/>
      <c r="G623" s="108" t="s">
        <v>625</v>
      </c>
      <c r="H623" s="105" t="n">
        <f aca="false">'[2]$ лето'!j623-'[2]$ лето'!au623-'[2]$ лето'!at623-'[2]$ лето'!as623-'[2]$ лето'!ar623-'[2]$ лето'!aq623-'[2]$ лето'!ap623-'[2]$ лето'!an623-'[2]$ лето'!am623-'[2]$ лето'!al623-'[2]$ лето'!ak623-'[2]$ лето'!aj623-'[2]$ лето'!ah623-'[2]$ лето'!ag623-'[2]$ лето'!af623-'[2]$ лето'!ae623-'[2]$ лето'!ad623-'[2]$ лето'!ab623-'[2]$ лето'!aa623-'[2]$ лето'!z623-'[2]$ лето'!y623-'[2]$ лето'!x623-'[2]$ лето'!v623-'[2]$ лето'!u623-'[2]$ лето'!t623-'[2]$ лето'!s623-'[2]$ лето'!r623-'[2]$ лето'!p623-'[2]$ лето'!o623-'[2]$ лето'!n623-'[2]$ лето'!m623-'[2]$ лето'!l623+'[2]$ лето'!k623+'[2]$ лето'!q623+'[2]$ лето'!w623+'[2]$ лето'!ac623+'[2]$ лето'!ai623+'[2]$ лето'!ao623</f>
        <v>0</v>
      </c>
      <c r="I623" s="109" t="n">
        <f aca="false">'[2]$ лето'!ay623*1.1</f>
        <v>1293.6</v>
      </c>
      <c r="J623" s="85" t="n">
        <v>2018</v>
      </c>
    </row>
    <row r="624" customFormat="false" ht="15" hidden="true" customHeight="false" outlineLevel="0" collapsed="false">
      <c r="A624" s="115" t="s">
        <v>236</v>
      </c>
      <c r="B624" s="115" t="s">
        <v>617</v>
      </c>
      <c r="C624" s="107" t="s">
        <v>1217</v>
      </c>
      <c r="D624" s="107"/>
      <c r="E624" s="107"/>
      <c r="F624" s="107"/>
      <c r="G624" s="108"/>
      <c r="H624" s="105" t="n">
        <f aca="false">'[2]$ лето'!j624-'[2]$ лето'!au624-'[2]$ лето'!at624-'[2]$ лето'!as624-'[2]$ лето'!ar624-'[2]$ лето'!aq624-'[2]$ лето'!ap624-'[2]$ лето'!an624-'[2]$ лето'!am624-'[2]$ лето'!al624-'[2]$ лето'!ak624-'[2]$ лето'!aj624-'[2]$ лето'!ah624-'[2]$ лето'!ag624-'[2]$ лето'!af624-'[2]$ лето'!ae624-'[2]$ лето'!ad624-'[2]$ лето'!ab624-'[2]$ лето'!aa624-'[2]$ лето'!z624-'[2]$ лето'!y624-'[2]$ лето'!x624-'[2]$ лето'!v624-'[2]$ лето'!u624-'[2]$ лето'!t624-'[2]$ лето'!s624-'[2]$ лето'!r624-'[2]$ лето'!p624-'[2]$ лето'!o624-'[2]$ лето'!n624-'[2]$ лето'!m624-'[2]$ лето'!l624+'[2]$ лето'!k624+'[2]$ лето'!q624+'[2]$ лето'!w624+'[2]$ лето'!ac624+'[2]$ лето'!ai624+'[2]$ лето'!ao624</f>
        <v>0</v>
      </c>
      <c r="I624" s="109" t="n">
        <f aca="false">'[2]$ лето'!ay624*1.1</f>
        <v>1293.6</v>
      </c>
      <c r="J624" s="85" t="n">
        <v>2016</v>
      </c>
    </row>
    <row r="625" customFormat="false" ht="15" hidden="false" customHeight="false" outlineLevel="0" collapsed="false">
      <c r="A625" s="115" t="s">
        <v>236</v>
      </c>
      <c r="B625" s="115" t="s">
        <v>677</v>
      </c>
      <c r="C625" s="107" t="s">
        <v>1159</v>
      </c>
      <c r="D625" s="107"/>
      <c r="E625" s="116"/>
      <c r="F625" s="116"/>
      <c r="G625" s="108"/>
      <c r="H625" s="105" t="n">
        <f aca="false">'[2]$ лето'!j625-'[2]$ лето'!au625-'[2]$ лето'!at625-'[2]$ лето'!as625-'[2]$ лето'!ar625-'[2]$ лето'!aq625-'[2]$ лето'!ap625-'[2]$ лето'!an625-'[2]$ лето'!am625-'[2]$ лето'!al625-'[2]$ лето'!ak625-'[2]$ лето'!aj625-'[2]$ лето'!ah625-'[2]$ лето'!ag625-'[2]$ лето'!af625-'[2]$ лето'!ae625-'[2]$ лето'!ad625-'[2]$ лето'!ab625-'[2]$ лето'!aa625-'[2]$ лето'!z625-'[2]$ лето'!y625-'[2]$ лето'!x625-'[2]$ лето'!v625-'[2]$ лето'!u625-'[2]$ лето'!t625-'[2]$ лето'!s625-'[2]$ лето'!r625-'[2]$ лето'!p625-'[2]$ лето'!o625-'[2]$ лето'!n625-'[2]$ лето'!m625-'[2]$ лето'!l625+'[2]$ лето'!k625+'[2]$ лето'!q625+'[2]$ лето'!w625+'[2]$ лето'!ac625+'[2]$ лето'!ai625+'[2]$ лето'!ao625</f>
        <v>2</v>
      </c>
      <c r="I625" s="109" t="n">
        <f aca="false">'[2]$ лето'!ay625*1.1</f>
        <v>1108.8</v>
      </c>
    </row>
    <row r="626" customFormat="false" ht="15" hidden="false" customHeight="false" outlineLevel="0" collapsed="false">
      <c r="A626" s="115" t="s">
        <v>236</v>
      </c>
      <c r="B626" s="115" t="s">
        <v>677</v>
      </c>
      <c r="C626" s="107" t="s">
        <v>1218</v>
      </c>
      <c r="D626" s="107"/>
      <c r="E626" s="116"/>
      <c r="F626" s="116"/>
      <c r="G626" s="108"/>
      <c r="H626" s="105" t="n">
        <f aca="false">'[2]$ лето'!j626-'[2]$ лето'!au626-'[2]$ лето'!at626-'[2]$ лето'!as626-'[2]$ лето'!ar626-'[2]$ лето'!aq626-'[2]$ лето'!ap626-'[2]$ лето'!an626-'[2]$ лето'!am626-'[2]$ лето'!al626-'[2]$ лето'!ak626-'[2]$ лето'!aj626-'[2]$ лето'!ah626-'[2]$ лето'!ag626-'[2]$ лето'!af626-'[2]$ лето'!ae626-'[2]$ лето'!ad626-'[2]$ лето'!ab626-'[2]$ лето'!aa626-'[2]$ лето'!z626-'[2]$ лето'!y626-'[2]$ лето'!x626-'[2]$ лето'!v626-'[2]$ лето'!u626-'[2]$ лето'!t626-'[2]$ лето'!s626-'[2]$ лето'!r626-'[2]$ лето'!p626-'[2]$ лето'!o626-'[2]$ лето'!n626-'[2]$ лето'!m626-'[2]$ лето'!l626+'[2]$ лето'!k626+'[2]$ лето'!q626+'[2]$ лето'!w626+'[2]$ лето'!ac626+'[2]$ лето'!ai626+'[2]$ лето'!ao626</f>
        <v>2</v>
      </c>
      <c r="I626" s="109" t="n">
        <f aca="false">'[2]$ лето'!ay626*1.1</f>
        <v>1386</v>
      </c>
      <c r="J626" s="85" t="n">
        <v>2017</v>
      </c>
    </row>
    <row r="627" customFormat="false" ht="15" hidden="false" customHeight="false" outlineLevel="0" collapsed="false">
      <c r="A627" s="115" t="s">
        <v>236</v>
      </c>
      <c r="B627" s="115" t="s">
        <v>833</v>
      </c>
      <c r="C627" s="107" t="s">
        <v>1219</v>
      </c>
      <c r="D627" s="107"/>
      <c r="E627" s="116"/>
      <c r="F627" s="116"/>
      <c r="G627" s="108"/>
      <c r="H627" s="105" t="n">
        <f aca="false">'[2]$ лето'!j627-'[2]$ лето'!au627-'[2]$ лето'!at627-'[2]$ лето'!as627-'[2]$ лето'!ar627-'[2]$ лето'!aq627-'[2]$ лето'!ap627-'[2]$ лето'!an627-'[2]$ лето'!am627-'[2]$ лето'!al627-'[2]$ лето'!ak627-'[2]$ лето'!aj627-'[2]$ лето'!ah627-'[2]$ лето'!ag627-'[2]$ лето'!af627-'[2]$ лето'!ae627-'[2]$ лето'!ad627-'[2]$ лето'!ab627-'[2]$ лето'!aa627-'[2]$ лето'!z627-'[2]$ лето'!y627-'[2]$ лето'!x627-'[2]$ лето'!v627-'[2]$ лето'!u627-'[2]$ лето'!t627-'[2]$ лето'!s627-'[2]$ лето'!r627-'[2]$ лето'!p627-'[2]$ лето'!o627-'[2]$ лето'!n627-'[2]$ лето'!m627-'[2]$ лето'!l627+'[2]$ лето'!k627+'[2]$ лето'!q627+'[2]$ лето'!w627+'[2]$ лето'!ac627+'[2]$ лето'!ai627+'[2]$ лето'!ao627</f>
        <v>2</v>
      </c>
      <c r="I627" s="109" t="n">
        <f aca="false">'[2]$ лето'!ay627*1.1</f>
        <v>1232</v>
      </c>
    </row>
    <row r="628" customFormat="false" ht="15" hidden="false" customHeight="false" outlineLevel="0" collapsed="false">
      <c r="A628" s="115" t="s">
        <v>236</v>
      </c>
      <c r="B628" s="115" t="s">
        <v>621</v>
      </c>
      <c r="C628" s="107" t="s">
        <v>1220</v>
      </c>
      <c r="D628" s="107"/>
      <c r="E628" s="116"/>
      <c r="F628" s="116"/>
      <c r="G628" s="108" t="s">
        <v>520</v>
      </c>
      <c r="H628" s="105" t="n">
        <f aca="false">'[2]$ лето'!j628-'[2]$ лето'!au628-'[2]$ лето'!at628-'[2]$ лето'!as628-'[2]$ лето'!ar628-'[2]$ лето'!aq628-'[2]$ лето'!ap628-'[2]$ лето'!an628-'[2]$ лето'!am628-'[2]$ лето'!al628-'[2]$ лето'!ak628-'[2]$ лето'!aj628-'[2]$ лето'!ah628-'[2]$ лето'!ag628-'[2]$ лето'!af628-'[2]$ лето'!ae628-'[2]$ лето'!ad628-'[2]$ лето'!ab628-'[2]$ лето'!aa628-'[2]$ лето'!z628-'[2]$ лето'!y628-'[2]$ лето'!x628-'[2]$ лето'!v628-'[2]$ лето'!u628-'[2]$ лето'!t628-'[2]$ лето'!s628-'[2]$ лето'!r628-'[2]$ лето'!p628-'[2]$ лето'!o628-'[2]$ лето'!n628-'[2]$ лето'!m628-'[2]$ лето'!l628+'[2]$ лето'!k628+'[2]$ лето'!q628+'[2]$ лето'!w628+'[2]$ лето'!ac628+'[2]$ лето'!ai628+'[2]$ лето'!ao628</f>
        <v>2</v>
      </c>
      <c r="I628" s="109" t="n">
        <f aca="false">'[2]$ лето'!ay628*1.1</f>
        <v>1201.2</v>
      </c>
    </row>
    <row r="629" customFormat="false" ht="15" hidden="false" customHeight="false" outlineLevel="0" collapsed="false">
      <c r="A629" s="115" t="s">
        <v>236</v>
      </c>
      <c r="B629" s="115" t="s">
        <v>762</v>
      </c>
      <c r="C629" s="107" t="s">
        <v>1221</v>
      </c>
      <c r="D629" s="107"/>
      <c r="E629" s="116" t="n">
        <v>92</v>
      </c>
      <c r="F629" s="116" t="s">
        <v>634</v>
      </c>
      <c r="G629" s="108" t="s">
        <v>631</v>
      </c>
      <c r="H629" s="105" t="n">
        <f aca="false">'[2]$ лето'!j629-'[2]$ лето'!au629-'[2]$ лето'!at629-'[2]$ лето'!as629-'[2]$ лето'!ar629-'[2]$ лето'!aq629-'[2]$ лето'!ap629-'[2]$ лето'!an629-'[2]$ лето'!am629-'[2]$ лето'!al629-'[2]$ лето'!ak629-'[2]$ лето'!aj629-'[2]$ лето'!ah629-'[2]$ лето'!ag629-'[2]$ лето'!af629-'[2]$ лето'!ae629-'[2]$ лето'!ad629-'[2]$ лето'!ab629-'[2]$ лето'!aa629-'[2]$ лето'!z629-'[2]$ лето'!y629-'[2]$ лето'!x629-'[2]$ лето'!v629-'[2]$ лето'!u629-'[2]$ лето'!t629-'[2]$ лето'!s629-'[2]$ лето'!r629-'[2]$ лето'!p629-'[2]$ лето'!o629-'[2]$ лето'!n629-'[2]$ лето'!m629-'[2]$ лето'!l629+'[2]$ лето'!k629+'[2]$ лето'!q629+'[2]$ лето'!w629+'[2]$ лето'!ac629+'[2]$ лето'!ai629+'[2]$ лето'!ao629</f>
        <v>4</v>
      </c>
      <c r="I629" s="109" t="n">
        <f aca="false">'[2]$ лето'!ay629*1.1</f>
        <v>1540</v>
      </c>
      <c r="J629" s="85" t="n">
        <v>2018</v>
      </c>
    </row>
    <row r="630" customFormat="false" ht="15" hidden="true" customHeight="false" outlineLevel="0" collapsed="false">
      <c r="A630" s="115" t="s">
        <v>236</v>
      </c>
      <c r="B630" s="115" t="s">
        <v>623</v>
      </c>
      <c r="C630" s="107" t="s">
        <v>1222</v>
      </c>
      <c r="D630" s="107"/>
      <c r="E630" s="116"/>
      <c r="F630" s="116"/>
      <c r="G630" s="108"/>
      <c r="H630" s="105" t="n">
        <f aca="false">'[2]$ лето'!j630-'[2]$ лето'!au630-'[2]$ лето'!at630-'[2]$ лето'!as630-'[2]$ лето'!ar630-'[2]$ лето'!aq630-'[2]$ лето'!ap630-'[2]$ лето'!an630-'[2]$ лето'!am630-'[2]$ лето'!al630-'[2]$ лето'!ak630-'[2]$ лето'!aj630-'[2]$ лето'!ah630-'[2]$ лето'!ag630-'[2]$ лето'!af630-'[2]$ лето'!ae630-'[2]$ лето'!ad630-'[2]$ лето'!ab630-'[2]$ лето'!aa630-'[2]$ лето'!z630-'[2]$ лето'!y630-'[2]$ лето'!x630-'[2]$ лето'!v630-'[2]$ лето'!u630-'[2]$ лето'!t630-'[2]$ лето'!s630-'[2]$ лето'!r630-'[2]$ лето'!p630-'[2]$ лето'!o630-'[2]$ лето'!n630-'[2]$ лето'!m630-'[2]$ лето'!l630+'[2]$ лето'!k630+'[2]$ лето'!q630+'[2]$ лето'!w630+'[2]$ лето'!ac630+'[2]$ лето'!ai630+'[2]$ лето'!ao630</f>
        <v>0</v>
      </c>
      <c r="I630" s="109" t="n">
        <f aca="false">'[2]$ лето'!ay630*1.1</f>
        <v>1293.6</v>
      </c>
      <c r="J630" s="85" t="n">
        <v>2018</v>
      </c>
    </row>
    <row r="631" customFormat="false" ht="15" hidden="false" customHeight="false" outlineLevel="0" collapsed="false">
      <c r="A631" s="115" t="s">
        <v>236</v>
      </c>
      <c r="B631" s="115" t="s">
        <v>589</v>
      </c>
      <c r="C631" s="116" t="s">
        <v>1223</v>
      </c>
      <c r="D631" s="116"/>
      <c r="E631" s="116"/>
      <c r="F631" s="116"/>
      <c r="G631" s="108" t="s">
        <v>927</v>
      </c>
      <c r="H631" s="105" t="n">
        <f aca="false">'[2]$ лето'!j631-'[2]$ лето'!au631-'[2]$ лето'!at631-'[2]$ лето'!as631-'[2]$ лето'!ar631-'[2]$ лето'!aq631-'[2]$ лето'!ap631-'[2]$ лето'!an631-'[2]$ лето'!am631-'[2]$ лето'!al631-'[2]$ лето'!ak631-'[2]$ лето'!aj631-'[2]$ лето'!ah631-'[2]$ лето'!ag631-'[2]$ лето'!af631-'[2]$ лето'!ae631-'[2]$ лето'!ad631-'[2]$ лето'!ab631-'[2]$ лето'!aa631-'[2]$ лето'!z631-'[2]$ лето'!y631-'[2]$ лето'!x631-'[2]$ лето'!v631-'[2]$ лето'!u631-'[2]$ лето'!t631-'[2]$ лето'!s631-'[2]$ лето'!r631-'[2]$ лето'!p631-'[2]$ лето'!o631-'[2]$ лето'!n631-'[2]$ лето'!m631-'[2]$ лето'!l631+'[2]$ лето'!k631+'[2]$ лето'!q631+'[2]$ лето'!w631+'[2]$ лето'!ac631+'[2]$ лето'!ai631+'[2]$ лето'!ao631</f>
        <v>8</v>
      </c>
      <c r="I631" s="109" t="n">
        <f aca="false">'[2]$ лето'!ay631*1.1</f>
        <v>1811.92</v>
      </c>
      <c r="J631" s="85" t="n">
        <v>2017</v>
      </c>
    </row>
    <row r="632" customFormat="false" ht="15" hidden="true" customHeight="false" outlineLevel="0" collapsed="false">
      <c r="A632" s="115" t="s">
        <v>236</v>
      </c>
      <c r="B632" s="115" t="s">
        <v>589</v>
      </c>
      <c r="C632" s="116" t="s">
        <v>1224</v>
      </c>
      <c r="D632" s="116"/>
      <c r="E632" s="116"/>
      <c r="F632" s="116"/>
      <c r="G632" s="108"/>
      <c r="H632" s="105" t="n">
        <f aca="false">'[2]$ лето'!j632-'[2]$ лето'!au632-'[2]$ лето'!at632-'[2]$ лето'!as632-'[2]$ лето'!ar632-'[2]$ лето'!aq632-'[2]$ лето'!ap632-'[2]$ лето'!an632-'[2]$ лето'!am632-'[2]$ лето'!al632-'[2]$ лето'!ak632-'[2]$ лето'!aj632-'[2]$ лето'!ah632-'[2]$ лето'!ag632-'[2]$ лето'!af632-'[2]$ лето'!ae632-'[2]$ лето'!ad632-'[2]$ лето'!ab632-'[2]$ лето'!aa632-'[2]$ лето'!z632-'[2]$ лето'!y632-'[2]$ лето'!x632-'[2]$ лето'!v632-'[2]$ лето'!u632-'[2]$ лето'!t632-'[2]$ лето'!s632-'[2]$ лето'!r632-'[2]$ лето'!p632-'[2]$ лето'!o632-'[2]$ лето'!n632-'[2]$ лето'!m632-'[2]$ лето'!l632+'[2]$ лето'!k632+'[2]$ лето'!q632+'[2]$ лето'!w632+'[2]$ лето'!ac632+'[2]$ лето'!ai632+'[2]$ лето'!ao632</f>
        <v>0</v>
      </c>
      <c r="I632" s="109" t="n">
        <f aca="false">'[2]$ лето'!ay632*1.1</f>
        <v>2094.4</v>
      </c>
    </row>
    <row r="633" customFormat="false" ht="15" hidden="true" customHeight="false" outlineLevel="0" collapsed="false">
      <c r="A633" s="115" t="s">
        <v>236</v>
      </c>
      <c r="B633" s="115" t="s">
        <v>564</v>
      </c>
      <c r="C633" s="116" t="s">
        <v>1225</v>
      </c>
      <c r="D633" s="116"/>
      <c r="E633" s="116"/>
      <c r="F633" s="116"/>
      <c r="G633" s="108" t="s">
        <v>520</v>
      </c>
      <c r="H633" s="105" t="n">
        <f aca="false">'[2]$ лето'!j633-'[2]$ лето'!au633-'[2]$ лето'!at633-'[2]$ лето'!as633-'[2]$ лето'!ar633-'[2]$ лето'!aq633-'[2]$ лето'!ap633-'[2]$ лето'!an633-'[2]$ лето'!am633-'[2]$ лето'!al633-'[2]$ лето'!ak633-'[2]$ лето'!aj633-'[2]$ лето'!ah633-'[2]$ лето'!ag633-'[2]$ лето'!af633-'[2]$ лето'!ae633-'[2]$ лето'!ad633-'[2]$ лето'!ab633-'[2]$ лето'!aa633-'[2]$ лето'!z633-'[2]$ лето'!y633-'[2]$ лето'!x633-'[2]$ лето'!v633-'[2]$ лето'!u633-'[2]$ лето'!t633-'[2]$ лето'!s633-'[2]$ лето'!r633-'[2]$ лето'!p633-'[2]$ лето'!o633-'[2]$ лето'!n633-'[2]$ лето'!m633-'[2]$ лето'!l633+'[2]$ лето'!k633+'[2]$ лето'!q633+'[2]$ лето'!w633+'[2]$ лето'!ac633+'[2]$ лето'!ai633+'[2]$ лето'!ao633</f>
        <v>0</v>
      </c>
      <c r="I633" s="109" t="n">
        <f aca="false">'[2]$ лето'!ay633*1.1</f>
        <v>1416.8</v>
      </c>
      <c r="J633" s="85" t="n">
        <v>2017</v>
      </c>
    </row>
    <row r="634" customFormat="false" ht="15" hidden="true" customHeight="false" outlineLevel="0" collapsed="false">
      <c r="A634" s="115" t="s">
        <v>236</v>
      </c>
      <c r="B634" s="115" t="s">
        <v>770</v>
      </c>
      <c r="C634" s="116" t="s">
        <v>1226</v>
      </c>
      <c r="D634" s="116"/>
      <c r="E634" s="116"/>
      <c r="F634" s="116"/>
      <c r="G634" s="108"/>
      <c r="H634" s="105" t="n">
        <f aca="false">'[2]$ лето'!j634-'[2]$ лето'!au634-'[2]$ лето'!at634-'[2]$ лето'!as634-'[2]$ лето'!ar634-'[2]$ лето'!aq634-'[2]$ лето'!ap634-'[2]$ лето'!an634-'[2]$ лето'!am634-'[2]$ лето'!al634-'[2]$ лето'!ak634-'[2]$ лето'!aj634-'[2]$ лето'!ah634-'[2]$ лето'!ag634-'[2]$ лето'!af634-'[2]$ лето'!ae634-'[2]$ лето'!ad634-'[2]$ лето'!ab634-'[2]$ лето'!aa634-'[2]$ лето'!z634-'[2]$ лето'!y634-'[2]$ лето'!x634-'[2]$ лето'!v634-'[2]$ лето'!u634-'[2]$ лето'!t634-'[2]$ лето'!s634-'[2]$ лето'!r634-'[2]$ лето'!p634-'[2]$ лето'!o634-'[2]$ лето'!n634-'[2]$ лето'!m634-'[2]$ лето'!l634+'[2]$ лето'!k634+'[2]$ лето'!q634+'[2]$ лето'!w634+'[2]$ лето'!ac634+'[2]$ лето'!ai634+'[2]$ лето'!ao634</f>
        <v>0</v>
      </c>
      <c r="I634" s="109" t="n">
        <f aca="false">'[2]$ лето'!ay634*1.1</f>
        <v>1848</v>
      </c>
    </row>
    <row r="635" customFormat="false" ht="15" hidden="true" customHeight="false" outlineLevel="0" collapsed="false">
      <c r="A635" s="115" t="s">
        <v>236</v>
      </c>
      <c r="B635" s="115" t="s">
        <v>770</v>
      </c>
      <c r="C635" s="116" t="s">
        <v>1227</v>
      </c>
      <c r="D635" s="116"/>
      <c r="E635" s="116"/>
      <c r="F635" s="116"/>
      <c r="G635" s="108"/>
      <c r="H635" s="105" t="n">
        <f aca="false">'[2]$ лето'!j635-'[2]$ лето'!au635-'[2]$ лето'!at635-'[2]$ лето'!as635-'[2]$ лето'!ar635-'[2]$ лето'!aq635-'[2]$ лето'!ap635-'[2]$ лето'!an635-'[2]$ лето'!am635-'[2]$ лето'!al635-'[2]$ лето'!ak635-'[2]$ лето'!aj635-'[2]$ лето'!ah635-'[2]$ лето'!ag635-'[2]$ лето'!af635-'[2]$ лето'!ae635-'[2]$ лето'!ad635-'[2]$ лето'!ab635-'[2]$ лето'!aa635-'[2]$ лето'!z635-'[2]$ лето'!y635-'[2]$ лето'!x635-'[2]$ лето'!v635-'[2]$ лето'!u635-'[2]$ лето'!t635-'[2]$ лето'!s635-'[2]$ лето'!r635-'[2]$ лето'!p635-'[2]$ лето'!o635-'[2]$ лето'!n635-'[2]$ лето'!m635-'[2]$ лето'!l635+'[2]$ лето'!k635+'[2]$ лето'!q635+'[2]$ лето'!w635+'[2]$ лето'!ac635+'[2]$ лето'!ai635+'[2]$ лето'!ao635</f>
        <v>0</v>
      </c>
      <c r="I635" s="109" t="n">
        <f aca="false">'[2]$ лето'!ay635*1.1</f>
        <v>2772</v>
      </c>
    </row>
    <row r="636" customFormat="false" ht="15" hidden="true" customHeight="false" outlineLevel="0" collapsed="false">
      <c r="A636" s="115" t="s">
        <v>236</v>
      </c>
      <c r="B636" s="115" t="s">
        <v>1228</v>
      </c>
      <c r="C636" s="116" t="s">
        <v>796</v>
      </c>
      <c r="D636" s="116"/>
      <c r="E636" s="116"/>
      <c r="F636" s="116"/>
      <c r="G636" s="108"/>
      <c r="H636" s="105" t="n">
        <f aca="false">'[2]$ лето'!j636-'[2]$ лето'!au636-'[2]$ лето'!at636-'[2]$ лето'!as636-'[2]$ лето'!ar636-'[2]$ лето'!aq636-'[2]$ лето'!ap636-'[2]$ лето'!an636-'[2]$ лето'!am636-'[2]$ лето'!al636-'[2]$ лето'!ak636-'[2]$ лето'!aj636-'[2]$ лето'!ah636-'[2]$ лето'!ag636-'[2]$ лето'!af636-'[2]$ лето'!ae636-'[2]$ лето'!ad636-'[2]$ лето'!ab636-'[2]$ лето'!aa636-'[2]$ лето'!z636-'[2]$ лето'!y636-'[2]$ лето'!x636-'[2]$ лето'!v636-'[2]$ лето'!u636-'[2]$ лето'!t636-'[2]$ лето'!s636-'[2]$ лето'!r636-'[2]$ лето'!p636-'[2]$ лето'!o636-'[2]$ лето'!n636-'[2]$ лето'!m636-'[2]$ лето'!l636+'[2]$ лето'!k636+'[2]$ лето'!q636+'[2]$ лето'!w636+'[2]$ лето'!ac636+'[2]$ лето'!ai636+'[2]$ лето'!ao636</f>
        <v>0</v>
      </c>
      <c r="I636" s="109" t="n">
        <f aca="false">'[2]$ лето'!ay636*1.1</f>
        <v>1540</v>
      </c>
    </row>
    <row r="637" customFormat="false" ht="15" hidden="true" customHeight="false" outlineLevel="0" collapsed="false">
      <c r="A637" s="115" t="s">
        <v>240</v>
      </c>
      <c r="B637" s="115" t="s">
        <v>601</v>
      </c>
      <c r="C637" s="116" t="s">
        <v>1229</v>
      </c>
      <c r="D637" s="116"/>
      <c r="E637" s="116"/>
      <c r="F637" s="116"/>
      <c r="G637" s="108"/>
      <c r="H637" s="105" t="n">
        <f aca="false">'[2]$ лето'!j637-'[2]$ лето'!au637-'[2]$ лето'!at637-'[2]$ лето'!as637-'[2]$ лето'!ar637-'[2]$ лето'!aq637-'[2]$ лето'!ap637-'[2]$ лето'!an637-'[2]$ лето'!am637-'[2]$ лето'!al637-'[2]$ лето'!ak637-'[2]$ лето'!aj637-'[2]$ лето'!ah637-'[2]$ лето'!ag637-'[2]$ лето'!af637-'[2]$ лето'!ae637-'[2]$ лето'!ad637-'[2]$ лето'!ab637-'[2]$ лето'!aa637-'[2]$ лето'!z637-'[2]$ лето'!y637-'[2]$ лето'!x637-'[2]$ лето'!v637-'[2]$ лето'!u637-'[2]$ лето'!t637-'[2]$ лето'!s637-'[2]$ лето'!r637-'[2]$ лето'!p637-'[2]$ лето'!o637-'[2]$ лето'!n637-'[2]$ лето'!m637-'[2]$ лето'!l637+'[2]$ лето'!k637+'[2]$ лето'!q637+'[2]$ лето'!w637+'[2]$ лето'!ac637+'[2]$ лето'!ai637+'[2]$ лето'!ao637</f>
        <v>0</v>
      </c>
      <c r="I637" s="109" t="n">
        <f aca="false">'[2]$ лето'!ay637*1.1</f>
        <v>2217.6</v>
      </c>
    </row>
    <row r="638" customFormat="false" ht="15" hidden="true" customHeight="false" outlineLevel="0" collapsed="false">
      <c r="A638" s="115" t="s">
        <v>240</v>
      </c>
      <c r="B638" s="115" t="s">
        <v>601</v>
      </c>
      <c r="C638" s="116" t="s">
        <v>1230</v>
      </c>
      <c r="D638" s="116"/>
      <c r="E638" s="116"/>
      <c r="F638" s="116"/>
      <c r="G638" s="108"/>
      <c r="H638" s="105" t="n">
        <f aca="false">'[2]$ лето'!j638-'[2]$ лето'!au638-'[2]$ лето'!at638-'[2]$ лето'!as638-'[2]$ лето'!ar638-'[2]$ лето'!aq638-'[2]$ лето'!ap638-'[2]$ лето'!an638-'[2]$ лето'!am638-'[2]$ лето'!al638-'[2]$ лето'!ak638-'[2]$ лето'!aj638-'[2]$ лето'!ah638-'[2]$ лето'!ag638-'[2]$ лето'!af638-'[2]$ лето'!ae638-'[2]$ лето'!ad638-'[2]$ лето'!ab638-'[2]$ лето'!aa638-'[2]$ лето'!z638-'[2]$ лето'!y638-'[2]$ лето'!x638-'[2]$ лето'!v638-'[2]$ лето'!u638-'[2]$ лето'!t638-'[2]$ лето'!s638-'[2]$ лето'!r638-'[2]$ лето'!p638-'[2]$ лето'!o638-'[2]$ лето'!n638-'[2]$ лето'!m638-'[2]$ лето'!l638+'[2]$ лето'!k638+'[2]$ лето'!q638+'[2]$ лето'!w638+'[2]$ лето'!ac638+'[2]$ лето'!ai638+'[2]$ лето'!ao638</f>
        <v>0</v>
      </c>
      <c r="I638" s="109" t="n">
        <f aca="false">'[2]$ лето'!ay638*1.1</f>
        <v>1925</v>
      </c>
    </row>
    <row r="639" customFormat="false" ht="15" hidden="true" customHeight="false" outlineLevel="0" collapsed="false">
      <c r="A639" s="115" t="s">
        <v>240</v>
      </c>
      <c r="B639" s="115" t="s">
        <v>668</v>
      </c>
      <c r="C639" s="116" t="s">
        <v>715</v>
      </c>
      <c r="D639" s="116"/>
      <c r="E639" s="116"/>
      <c r="F639" s="116"/>
      <c r="G639" s="108" t="s">
        <v>609</v>
      </c>
      <c r="H639" s="105" t="n">
        <f aca="false">'[2]$ лето'!j639-'[2]$ лето'!au639-'[2]$ лето'!at639-'[2]$ лето'!as639-'[2]$ лето'!ar639-'[2]$ лето'!aq639-'[2]$ лето'!ap639-'[2]$ лето'!an639-'[2]$ лето'!am639-'[2]$ лето'!al639-'[2]$ лето'!ak639-'[2]$ лето'!aj639-'[2]$ лето'!ah639-'[2]$ лето'!ag639-'[2]$ лето'!af639-'[2]$ лето'!ae639-'[2]$ лето'!ad639-'[2]$ лето'!ab639-'[2]$ лето'!aa639-'[2]$ лето'!z639-'[2]$ лето'!y639-'[2]$ лето'!x639-'[2]$ лето'!v639-'[2]$ лето'!u639-'[2]$ лето'!t639-'[2]$ лето'!s639-'[2]$ лето'!r639-'[2]$ лето'!p639-'[2]$ лето'!o639-'[2]$ лето'!n639-'[2]$ лето'!m639-'[2]$ лето'!l639+'[2]$ лето'!k639+'[2]$ лето'!q639+'[2]$ лето'!w639+'[2]$ лето'!ac639+'[2]$ лето'!ai639+'[2]$ лето'!ao639</f>
        <v>0</v>
      </c>
      <c r="I639" s="109" t="n">
        <f aca="false">'[2]$ лето'!ay639*1.1</f>
        <v>1694</v>
      </c>
    </row>
    <row r="640" customFormat="false" ht="15" hidden="false" customHeight="false" outlineLevel="0" collapsed="false">
      <c r="A640" s="115" t="s">
        <v>240</v>
      </c>
      <c r="B640" s="115" t="s">
        <v>613</v>
      </c>
      <c r="C640" s="116" t="s">
        <v>1231</v>
      </c>
      <c r="D640" s="116"/>
      <c r="E640" s="116"/>
      <c r="F640" s="116"/>
      <c r="G640" s="108"/>
      <c r="H640" s="105" t="n">
        <f aca="false">'[2]$ лето'!j640-'[2]$ лето'!au640-'[2]$ лето'!at640-'[2]$ лето'!as640-'[2]$ лето'!ar640-'[2]$ лето'!aq640-'[2]$ лето'!ap640-'[2]$ лето'!an640-'[2]$ лето'!am640-'[2]$ лето'!al640-'[2]$ лето'!ak640-'[2]$ лето'!aj640-'[2]$ лето'!ah640-'[2]$ лето'!ag640-'[2]$ лето'!af640-'[2]$ лето'!ae640-'[2]$ лето'!ad640-'[2]$ лето'!ab640-'[2]$ лето'!aa640-'[2]$ лето'!z640-'[2]$ лето'!y640-'[2]$ лето'!x640-'[2]$ лето'!v640-'[2]$ лето'!u640-'[2]$ лето'!t640-'[2]$ лето'!s640-'[2]$ лето'!r640-'[2]$ лето'!p640-'[2]$ лето'!o640-'[2]$ лето'!n640-'[2]$ лето'!m640-'[2]$ лето'!l640+'[2]$ лето'!k640+'[2]$ лето'!q640+'[2]$ лето'!w640+'[2]$ лето'!ac640+'[2]$ лето'!ai640+'[2]$ лето'!ao640</f>
        <v>2</v>
      </c>
      <c r="I640" s="109" t="n">
        <f aca="false">'[2]$ лето'!ay640*1.1</f>
        <v>1478.4</v>
      </c>
    </row>
    <row r="641" customFormat="false" ht="15" hidden="true" customHeight="false" outlineLevel="0" collapsed="false">
      <c r="A641" s="115" t="s">
        <v>240</v>
      </c>
      <c r="B641" s="115" t="s">
        <v>593</v>
      </c>
      <c r="C641" s="116" t="s">
        <v>1232</v>
      </c>
      <c r="D641" s="116"/>
      <c r="E641" s="116"/>
      <c r="F641" s="116"/>
      <c r="G641" s="108"/>
      <c r="H641" s="105" t="n">
        <f aca="false">'[2]$ лето'!j641-'[2]$ лето'!au641-'[2]$ лето'!at641-'[2]$ лето'!as641-'[2]$ лето'!ar641-'[2]$ лето'!aq641-'[2]$ лето'!ap641-'[2]$ лето'!an641-'[2]$ лето'!am641-'[2]$ лето'!al641-'[2]$ лето'!ak641-'[2]$ лето'!aj641-'[2]$ лето'!ah641-'[2]$ лето'!ag641-'[2]$ лето'!af641-'[2]$ лето'!ae641-'[2]$ лето'!ad641-'[2]$ лето'!ab641-'[2]$ лето'!aa641-'[2]$ лето'!z641-'[2]$ лето'!y641-'[2]$ лето'!x641-'[2]$ лето'!v641-'[2]$ лето'!u641-'[2]$ лето'!t641-'[2]$ лето'!s641-'[2]$ лето'!r641-'[2]$ лето'!p641-'[2]$ лето'!o641-'[2]$ лето'!n641-'[2]$ лето'!m641-'[2]$ лето'!l641+'[2]$ лето'!k641+'[2]$ лето'!q641+'[2]$ лето'!w641+'[2]$ лето'!ac641+'[2]$ лето'!ai641+'[2]$ лето'!ao641</f>
        <v>0</v>
      </c>
      <c r="I641" s="109" t="n">
        <f aca="false">'[2]$ лето'!ay641*1.1</f>
        <v>1848</v>
      </c>
    </row>
    <row r="642" customFormat="false" ht="15" hidden="true" customHeight="false" outlineLevel="0" collapsed="false">
      <c r="A642" s="115" t="s">
        <v>240</v>
      </c>
      <c r="B642" s="115" t="s">
        <v>615</v>
      </c>
      <c r="C642" s="116" t="s">
        <v>1233</v>
      </c>
      <c r="D642" s="116"/>
      <c r="E642" s="116"/>
      <c r="F642" s="116"/>
      <c r="G642" s="108"/>
      <c r="H642" s="105" t="n">
        <f aca="false">'[2]$ лето'!j642-'[2]$ лето'!au642-'[2]$ лето'!at642-'[2]$ лето'!as642-'[2]$ лето'!ar642-'[2]$ лето'!aq642-'[2]$ лето'!ap642-'[2]$ лето'!an642-'[2]$ лето'!am642-'[2]$ лето'!al642-'[2]$ лето'!ak642-'[2]$ лето'!aj642-'[2]$ лето'!ah642-'[2]$ лето'!ag642-'[2]$ лето'!af642-'[2]$ лето'!ae642-'[2]$ лето'!ad642-'[2]$ лето'!ab642-'[2]$ лето'!aa642-'[2]$ лето'!z642-'[2]$ лето'!y642-'[2]$ лето'!x642-'[2]$ лето'!v642-'[2]$ лето'!u642-'[2]$ лето'!t642-'[2]$ лето'!s642-'[2]$ лето'!r642-'[2]$ лето'!p642-'[2]$ лето'!o642-'[2]$ лето'!n642-'[2]$ лето'!m642-'[2]$ лето'!l642+'[2]$ лето'!k642+'[2]$ лето'!q642+'[2]$ лето'!w642+'[2]$ лето'!ac642+'[2]$ лето'!ai642+'[2]$ лето'!ao642</f>
        <v>0</v>
      </c>
      <c r="I642" s="109" t="n">
        <f aca="false">'[2]$ лето'!ay642*1.1</f>
        <v>1694</v>
      </c>
    </row>
    <row r="643" customFormat="false" ht="15" hidden="true" customHeight="false" outlineLevel="0" collapsed="false">
      <c r="A643" s="115" t="s">
        <v>240</v>
      </c>
      <c r="B643" s="115" t="s">
        <v>623</v>
      </c>
      <c r="C643" s="116" t="s">
        <v>1023</v>
      </c>
      <c r="D643" s="116"/>
      <c r="E643" s="116"/>
      <c r="F643" s="116"/>
      <c r="G643" s="108"/>
      <c r="H643" s="105" t="n">
        <f aca="false">'[2]$ лето'!j643-'[2]$ лето'!au643-'[2]$ лето'!at643-'[2]$ лето'!as643-'[2]$ лето'!ar643-'[2]$ лето'!aq643-'[2]$ лето'!ap643-'[2]$ лето'!an643-'[2]$ лето'!am643-'[2]$ лето'!al643-'[2]$ лето'!ak643-'[2]$ лето'!aj643-'[2]$ лето'!ah643-'[2]$ лето'!ag643-'[2]$ лето'!af643-'[2]$ лето'!ae643-'[2]$ лето'!ad643-'[2]$ лето'!ab643-'[2]$ лето'!aa643-'[2]$ лето'!z643-'[2]$ лето'!y643-'[2]$ лето'!x643-'[2]$ лето'!v643-'[2]$ лето'!u643-'[2]$ лето'!t643-'[2]$ лето'!s643-'[2]$ лето'!r643-'[2]$ лето'!p643-'[2]$ лето'!o643-'[2]$ лето'!n643-'[2]$ лето'!m643-'[2]$ лето'!l643+'[2]$ лето'!k643+'[2]$ лето'!q643+'[2]$ лето'!w643+'[2]$ лето'!ac643+'[2]$ лето'!ai643+'[2]$ лето'!ao643</f>
        <v>0</v>
      </c>
      <c r="I643" s="109" t="n">
        <f aca="false">'[2]$ лето'!ay643*1.1</f>
        <v>1786.4</v>
      </c>
    </row>
    <row r="644" customFormat="false" ht="15" hidden="true" customHeight="false" outlineLevel="0" collapsed="false">
      <c r="A644" s="115" t="s">
        <v>240</v>
      </c>
      <c r="B644" s="115" t="s">
        <v>589</v>
      </c>
      <c r="C644" s="116" t="s">
        <v>1234</v>
      </c>
      <c r="D644" s="116"/>
      <c r="E644" s="116"/>
      <c r="F644" s="116"/>
      <c r="G644" s="108"/>
      <c r="H644" s="105" t="n">
        <f aca="false">'[2]$ лето'!j644-'[2]$ лето'!au644-'[2]$ лето'!at644-'[2]$ лето'!as644-'[2]$ лето'!ar644-'[2]$ лето'!aq644-'[2]$ лето'!ap644-'[2]$ лето'!an644-'[2]$ лето'!am644-'[2]$ лето'!al644-'[2]$ лето'!ak644-'[2]$ лето'!aj644-'[2]$ лето'!ah644-'[2]$ лето'!ag644-'[2]$ лето'!af644-'[2]$ лето'!ae644-'[2]$ лето'!ad644-'[2]$ лето'!ab644-'[2]$ лето'!aa644-'[2]$ лето'!z644-'[2]$ лето'!y644-'[2]$ лето'!x644-'[2]$ лето'!v644-'[2]$ лето'!u644-'[2]$ лето'!t644-'[2]$ лето'!s644-'[2]$ лето'!r644-'[2]$ лето'!p644-'[2]$ лето'!o644-'[2]$ лето'!n644-'[2]$ лето'!m644-'[2]$ лето'!l644+'[2]$ лето'!k644+'[2]$ лето'!q644+'[2]$ лето'!w644+'[2]$ лето'!ac644+'[2]$ лето'!ai644+'[2]$ лето'!ao644</f>
        <v>0</v>
      </c>
      <c r="I644" s="109" t="n">
        <f aca="false">'[2]$ лето'!ay644*1.1</f>
        <v>3357.2</v>
      </c>
    </row>
    <row r="645" customFormat="false" ht="15" hidden="true" customHeight="false" outlineLevel="0" collapsed="false">
      <c r="A645" s="115" t="s">
        <v>246</v>
      </c>
      <c r="B645" s="115" t="s">
        <v>566</v>
      </c>
      <c r="C645" s="116" t="s">
        <v>1235</v>
      </c>
      <c r="D645" s="116"/>
      <c r="E645" s="116"/>
      <c r="F645" s="116"/>
      <c r="G645" s="108" t="s">
        <v>563</v>
      </c>
      <c r="H645" s="105" t="n">
        <f aca="false">'[2]$ лето'!j645-'[2]$ лето'!au645-'[2]$ лето'!at645-'[2]$ лето'!as645-'[2]$ лето'!ar645-'[2]$ лето'!aq645-'[2]$ лето'!ap645-'[2]$ лето'!an645-'[2]$ лето'!am645-'[2]$ лето'!al645-'[2]$ лето'!ak645-'[2]$ лето'!aj645-'[2]$ лето'!ah645-'[2]$ лето'!ag645-'[2]$ лето'!af645-'[2]$ лето'!ae645-'[2]$ лето'!ad645-'[2]$ лето'!ab645-'[2]$ лето'!aa645-'[2]$ лето'!z645-'[2]$ лето'!y645-'[2]$ лето'!x645-'[2]$ лето'!v645-'[2]$ лето'!u645-'[2]$ лето'!t645-'[2]$ лето'!s645-'[2]$ лето'!r645-'[2]$ лето'!p645-'[2]$ лето'!o645-'[2]$ лето'!n645-'[2]$ лето'!m645-'[2]$ лето'!l645+'[2]$ лето'!k645+'[2]$ лето'!q645+'[2]$ лето'!w645+'[2]$ лето'!ac645+'[2]$ лето'!ai645+'[2]$ лето'!ao645</f>
        <v>0</v>
      </c>
      <c r="I645" s="109" t="n">
        <f aca="false">'[2]$ лето'!ay645*1.1</f>
        <v>1540</v>
      </c>
      <c r="J645" s="85" t="n">
        <v>2017</v>
      </c>
    </row>
    <row r="646" customFormat="false" ht="15" hidden="true" customHeight="false" outlineLevel="0" collapsed="false">
      <c r="A646" s="115" t="s">
        <v>246</v>
      </c>
      <c r="B646" s="115" t="s">
        <v>568</v>
      </c>
      <c r="C646" s="116" t="s">
        <v>1236</v>
      </c>
      <c r="D646" s="116"/>
      <c r="E646" s="116"/>
      <c r="F646" s="116"/>
      <c r="G646" s="108"/>
      <c r="H646" s="105" t="n">
        <f aca="false">'[2]$ лето'!j646-'[2]$ лето'!au646-'[2]$ лето'!at646-'[2]$ лето'!as646-'[2]$ лето'!ar646-'[2]$ лето'!aq646-'[2]$ лето'!ap646-'[2]$ лето'!an646-'[2]$ лето'!am646-'[2]$ лето'!al646-'[2]$ лето'!ak646-'[2]$ лето'!aj646-'[2]$ лето'!ah646-'[2]$ лето'!ag646-'[2]$ лето'!af646-'[2]$ лето'!ae646-'[2]$ лето'!ad646-'[2]$ лето'!ab646-'[2]$ лето'!aa646-'[2]$ лето'!z646-'[2]$ лето'!y646-'[2]$ лето'!x646-'[2]$ лето'!v646-'[2]$ лето'!u646-'[2]$ лето'!t646-'[2]$ лето'!s646-'[2]$ лето'!r646-'[2]$ лето'!p646-'[2]$ лето'!o646-'[2]$ лето'!n646-'[2]$ лето'!m646-'[2]$ лето'!l646+'[2]$ лето'!k646+'[2]$ лето'!q646+'[2]$ лето'!w646+'[2]$ лето'!ac646+'[2]$ лето'!ai646+'[2]$ лето'!ao646</f>
        <v>0</v>
      </c>
      <c r="I646" s="109" t="n">
        <f aca="false">'[2]$ лето'!ay646*1.1</f>
        <v>1909.6</v>
      </c>
    </row>
    <row r="647" customFormat="false" ht="15" hidden="true" customHeight="false" outlineLevel="0" collapsed="false">
      <c r="A647" s="115" t="s">
        <v>246</v>
      </c>
      <c r="B647" s="115" t="s">
        <v>601</v>
      </c>
      <c r="C647" s="107" t="s">
        <v>1237</v>
      </c>
      <c r="D647" s="107"/>
      <c r="E647" s="107"/>
      <c r="F647" s="107"/>
      <c r="G647" s="108" t="s">
        <v>626</v>
      </c>
      <c r="H647" s="105" t="n">
        <f aca="false">'[2]$ лето'!j647-'[2]$ лето'!au647-'[2]$ лето'!at647-'[2]$ лето'!as647-'[2]$ лето'!ar647-'[2]$ лето'!aq647-'[2]$ лето'!ap647-'[2]$ лето'!an647-'[2]$ лето'!am647-'[2]$ лето'!al647-'[2]$ лето'!ak647-'[2]$ лето'!aj647-'[2]$ лето'!ah647-'[2]$ лето'!ag647-'[2]$ лето'!af647-'[2]$ лето'!ae647-'[2]$ лето'!ad647-'[2]$ лето'!ab647-'[2]$ лето'!aa647-'[2]$ лето'!z647-'[2]$ лето'!y647-'[2]$ лето'!x647-'[2]$ лето'!v647-'[2]$ лето'!u647-'[2]$ лето'!t647-'[2]$ лето'!s647-'[2]$ лето'!r647-'[2]$ лето'!p647-'[2]$ лето'!o647-'[2]$ лето'!n647-'[2]$ лето'!m647-'[2]$ лето'!l647+'[2]$ лето'!k647+'[2]$ лето'!q647+'[2]$ лето'!w647+'[2]$ лето'!ac647+'[2]$ лето'!ai647+'[2]$ лето'!ao647</f>
        <v>0</v>
      </c>
      <c r="I647" s="109" t="n">
        <f aca="false">'[2]$ лето'!ay647*1.1</f>
        <v>2310</v>
      </c>
      <c r="J647" s="85" t="n">
        <v>2015</v>
      </c>
    </row>
    <row r="648" customFormat="false" ht="15" hidden="true" customHeight="false" outlineLevel="0" collapsed="false">
      <c r="A648" s="115" t="s">
        <v>246</v>
      </c>
      <c r="B648" s="115" t="s">
        <v>601</v>
      </c>
      <c r="C648" s="107" t="s">
        <v>1238</v>
      </c>
      <c r="D648" s="107"/>
      <c r="E648" s="107"/>
      <c r="F648" s="107"/>
      <c r="G648" s="108" t="s">
        <v>626</v>
      </c>
      <c r="H648" s="105" t="n">
        <f aca="false">'[2]$ лето'!j648-'[2]$ лето'!au648-'[2]$ лето'!at648-'[2]$ лето'!as648-'[2]$ лето'!ar648-'[2]$ лето'!aq648-'[2]$ лето'!ap648-'[2]$ лето'!an648-'[2]$ лето'!am648-'[2]$ лето'!al648-'[2]$ лето'!ak648-'[2]$ лето'!aj648-'[2]$ лето'!ah648-'[2]$ лето'!ag648-'[2]$ лето'!af648-'[2]$ лето'!ae648-'[2]$ лето'!ad648-'[2]$ лето'!ab648-'[2]$ лето'!aa648-'[2]$ лето'!z648-'[2]$ лето'!y648-'[2]$ лето'!x648-'[2]$ лето'!v648-'[2]$ лето'!u648-'[2]$ лето'!t648-'[2]$ лето'!s648-'[2]$ лето'!r648-'[2]$ лето'!p648-'[2]$ лето'!o648-'[2]$ лето'!n648-'[2]$ лето'!m648-'[2]$ лето'!l648+'[2]$ лето'!k648+'[2]$ лето'!q648+'[2]$ лето'!w648+'[2]$ лето'!ac648+'[2]$ лето'!ai648+'[2]$ лето'!ao648</f>
        <v>0</v>
      </c>
      <c r="I648" s="109" t="n">
        <f aca="false">'[2]$ лето'!ay648*1.1</f>
        <v>2530</v>
      </c>
      <c r="J648" s="85" t="n">
        <v>2017</v>
      </c>
    </row>
    <row r="649" customFormat="false" ht="15" hidden="true" customHeight="false" outlineLevel="0" collapsed="false">
      <c r="A649" s="115" t="s">
        <v>246</v>
      </c>
      <c r="B649" s="115" t="s">
        <v>658</v>
      </c>
      <c r="C649" s="116" t="s">
        <v>1239</v>
      </c>
      <c r="D649" s="116"/>
      <c r="E649" s="116"/>
      <c r="F649" s="116"/>
      <c r="G649" s="108" t="s">
        <v>1240</v>
      </c>
      <c r="H649" s="105" t="n">
        <f aca="false">'[2]$ лето'!j649-'[2]$ лето'!au649-'[2]$ лето'!at649-'[2]$ лето'!as649-'[2]$ лето'!ar649-'[2]$ лето'!aq649-'[2]$ лето'!ap649-'[2]$ лето'!an649-'[2]$ лето'!am649-'[2]$ лето'!al649-'[2]$ лето'!ak649-'[2]$ лето'!aj649-'[2]$ лето'!ah649-'[2]$ лето'!ag649-'[2]$ лето'!af649-'[2]$ лето'!ae649-'[2]$ лето'!ad649-'[2]$ лето'!ab649-'[2]$ лето'!aa649-'[2]$ лето'!z649-'[2]$ лето'!y649-'[2]$ лето'!x649-'[2]$ лето'!v649-'[2]$ лето'!u649-'[2]$ лето'!t649-'[2]$ лето'!s649-'[2]$ лето'!r649-'[2]$ лето'!p649-'[2]$ лето'!o649-'[2]$ лето'!n649-'[2]$ лето'!m649-'[2]$ лето'!l649+'[2]$ лето'!k649+'[2]$ лето'!q649+'[2]$ лето'!w649+'[2]$ лето'!ac649+'[2]$ лето'!ai649+'[2]$ лето'!ao649</f>
        <v>0</v>
      </c>
      <c r="I649" s="109" t="n">
        <f aca="false">'[2]$ лето'!ay649*1.1</f>
        <v>3326.4</v>
      </c>
      <c r="J649" s="85" t="n">
        <v>2018</v>
      </c>
    </row>
    <row r="650" customFormat="false" ht="15" hidden="true" customHeight="false" outlineLevel="0" collapsed="false">
      <c r="A650" s="115" t="s">
        <v>246</v>
      </c>
      <c r="B650" s="115" t="s">
        <v>821</v>
      </c>
      <c r="C650" s="116" t="s">
        <v>1241</v>
      </c>
      <c r="D650" s="116"/>
      <c r="E650" s="116"/>
      <c r="F650" s="116"/>
      <c r="G650" s="108"/>
      <c r="H650" s="105" t="n">
        <f aca="false">'[2]$ лето'!j650-'[2]$ лето'!au650-'[2]$ лето'!at650-'[2]$ лето'!as650-'[2]$ лето'!ar650-'[2]$ лето'!aq650-'[2]$ лето'!ap650-'[2]$ лето'!an650-'[2]$ лето'!am650-'[2]$ лето'!al650-'[2]$ лето'!ak650-'[2]$ лето'!aj650-'[2]$ лето'!ah650-'[2]$ лето'!ag650-'[2]$ лето'!af650-'[2]$ лето'!ae650-'[2]$ лето'!ad650-'[2]$ лето'!ab650-'[2]$ лето'!aa650-'[2]$ лето'!z650-'[2]$ лето'!y650-'[2]$ лето'!x650-'[2]$ лето'!v650-'[2]$ лето'!u650-'[2]$ лето'!t650-'[2]$ лето'!s650-'[2]$ лето'!r650-'[2]$ лето'!p650-'[2]$ лето'!o650-'[2]$ лето'!n650-'[2]$ лето'!m650-'[2]$ лето'!l650+'[2]$ лето'!k650+'[2]$ лето'!q650+'[2]$ лето'!w650+'[2]$ лето'!ac650+'[2]$ лето'!ai650+'[2]$ лето'!ao650</f>
        <v>0</v>
      </c>
      <c r="I650" s="109" t="n">
        <f aca="false">'[2]$ лето'!ay650*1.1</f>
        <v>2525.6</v>
      </c>
    </row>
    <row r="651" customFormat="false" ht="15" hidden="true" customHeight="false" outlineLevel="0" collapsed="false">
      <c r="A651" s="115" t="s">
        <v>246</v>
      </c>
      <c r="B651" s="115" t="s">
        <v>646</v>
      </c>
      <c r="C651" s="116" t="s">
        <v>1242</v>
      </c>
      <c r="D651" s="116"/>
      <c r="E651" s="116"/>
      <c r="F651" s="116"/>
      <c r="G651" s="108"/>
      <c r="H651" s="105" t="n">
        <f aca="false">'[2]$ лето'!j651-'[2]$ лето'!au651-'[2]$ лето'!at651-'[2]$ лето'!as651-'[2]$ лето'!ar651-'[2]$ лето'!aq651-'[2]$ лето'!ap651-'[2]$ лето'!an651-'[2]$ лето'!am651-'[2]$ лето'!al651-'[2]$ лето'!ak651-'[2]$ лето'!aj651-'[2]$ лето'!ah651-'[2]$ лето'!ag651-'[2]$ лето'!af651-'[2]$ лето'!ae651-'[2]$ лето'!ad651-'[2]$ лето'!ab651-'[2]$ лето'!aa651-'[2]$ лето'!z651-'[2]$ лето'!y651-'[2]$ лето'!x651-'[2]$ лето'!v651-'[2]$ лето'!u651-'[2]$ лето'!t651-'[2]$ лето'!s651-'[2]$ лето'!r651-'[2]$ лето'!p651-'[2]$ лето'!o651-'[2]$ лето'!n651-'[2]$ лето'!m651-'[2]$ лето'!l651+'[2]$ лето'!k651+'[2]$ лето'!q651+'[2]$ лето'!w651+'[2]$ лето'!ac651+'[2]$ лето'!ai651+'[2]$ лето'!ao651</f>
        <v>0</v>
      </c>
      <c r="I651" s="109" t="n">
        <f aca="false">'[2]$ лето'!ay651*1.1</f>
        <v>1386</v>
      </c>
      <c r="J651" s="85" t="n">
        <v>2017</v>
      </c>
    </row>
    <row r="652" customFormat="false" ht="15" hidden="true" customHeight="false" outlineLevel="0" collapsed="false">
      <c r="A652" s="115" t="s">
        <v>246</v>
      </c>
      <c r="B652" s="115" t="s">
        <v>557</v>
      </c>
      <c r="C652" s="116" t="s">
        <v>1243</v>
      </c>
      <c r="D652" s="116"/>
      <c r="E652" s="116"/>
      <c r="F652" s="116"/>
      <c r="G652" s="108"/>
      <c r="H652" s="105" t="n">
        <f aca="false">'[2]$ лето'!j652-'[2]$ лето'!au652-'[2]$ лето'!at652-'[2]$ лето'!as652-'[2]$ лето'!ar652-'[2]$ лето'!aq652-'[2]$ лето'!ap652-'[2]$ лето'!an652-'[2]$ лето'!am652-'[2]$ лето'!al652-'[2]$ лето'!ak652-'[2]$ лето'!aj652-'[2]$ лето'!ah652-'[2]$ лето'!ag652-'[2]$ лето'!af652-'[2]$ лето'!ae652-'[2]$ лето'!ad652-'[2]$ лето'!ab652-'[2]$ лето'!aa652-'[2]$ лето'!z652-'[2]$ лето'!y652-'[2]$ лето'!x652-'[2]$ лето'!v652-'[2]$ лето'!u652-'[2]$ лето'!t652-'[2]$ лето'!s652-'[2]$ лето'!r652-'[2]$ лето'!p652-'[2]$ лето'!o652-'[2]$ лето'!n652-'[2]$ лето'!m652-'[2]$ лето'!l652+'[2]$ лето'!k652+'[2]$ лето'!q652+'[2]$ лето'!w652+'[2]$ лето'!ac652+'[2]$ лето'!ai652+'[2]$ лето'!ao652</f>
        <v>0</v>
      </c>
      <c r="I652" s="109" t="n">
        <f aca="false">'[2]$ лето'!ay652*1.1</f>
        <v>1724.8</v>
      </c>
    </row>
    <row r="653" customFormat="false" ht="15" hidden="true" customHeight="false" outlineLevel="0" collapsed="false">
      <c r="A653" s="115" t="s">
        <v>246</v>
      </c>
      <c r="B653" s="115" t="s">
        <v>604</v>
      </c>
      <c r="C653" s="107" t="s">
        <v>1244</v>
      </c>
      <c r="D653" s="107"/>
      <c r="E653" s="107"/>
      <c r="F653" s="107"/>
      <c r="G653" s="108"/>
      <c r="H653" s="105" t="n">
        <f aca="false">'[2]$ лето'!j653-'[2]$ лето'!au653-'[2]$ лето'!at653-'[2]$ лето'!as653-'[2]$ лето'!ar653-'[2]$ лето'!aq653-'[2]$ лето'!ap653-'[2]$ лето'!an653-'[2]$ лето'!am653-'[2]$ лето'!al653-'[2]$ лето'!ak653-'[2]$ лето'!aj653-'[2]$ лето'!ah653-'[2]$ лето'!ag653-'[2]$ лето'!af653-'[2]$ лето'!ae653-'[2]$ лето'!ad653-'[2]$ лето'!ab653-'[2]$ лето'!aa653-'[2]$ лето'!z653-'[2]$ лето'!y653-'[2]$ лето'!x653-'[2]$ лето'!v653-'[2]$ лето'!u653-'[2]$ лето'!t653-'[2]$ лето'!s653-'[2]$ лето'!r653-'[2]$ лето'!p653-'[2]$ лето'!o653-'[2]$ лето'!n653-'[2]$ лето'!m653-'[2]$ лето'!l653+'[2]$ лето'!k653+'[2]$ лето'!q653+'[2]$ лето'!w653+'[2]$ лето'!ac653+'[2]$ лето'!ai653+'[2]$ лето'!ao653</f>
        <v>0</v>
      </c>
      <c r="I653" s="109" t="n">
        <f aca="false">'[2]$ лето'!ay653*1.1</f>
        <v>2279.2</v>
      </c>
    </row>
    <row r="654" customFormat="false" ht="15" hidden="true" customHeight="false" outlineLevel="0" collapsed="false">
      <c r="A654" s="115" t="s">
        <v>246</v>
      </c>
      <c r="B654" s="115" t="s">
        <v>606</v>
      </c>
      <c r="C654" s="107" t="s">
        <v>1245</v>
      </c>
      <c r="D654" s="107"/>
      <c r="E654" s="107"/>
      <c r="F654" s="107"/>
      <c r="G654" s="108" t="s">
        <v>849</v>
      </c>
      <c r="H654" s="105" t="n">
        <f aca="false">'[2]$ лето'!j654-'[2]$ лето'!au654-'[2]$ лето'!at654-'[2]$ лето'!as654-'[2]$ лето'!ar654-'[2]$ лето'!aq654-'[2]$ лето'!ap654-'[2]$ лето'!an654-'[2]$ лето'!am654-'[2]$ лето'!al654-'[2]$ лето'!ak654-'[2]$ лето'!aj654-'[2]$ лето'!ah654-'[2]$ лето'!ag654-'[2]$ лето'!af654-'[2]$ лето'!ae654-'[2]$ лето'!ad654-'[2]$ лето'!ab654-'[2]$ лето'!aa654-'[2]$ лето'!z654-'[2]$ лето'!y654-'[2]$ лето'!x654-'[2]$ лето'!v654-'[2]$ лето'!u654-'[2]$ лето'!t654-'[2]$ лето'!s654-'[2]$ лето'!r654-'[2]$ лето'!p654-'[2]$ лето'!o654-'[2]$ лето'!n654-'[2]$ лето'!m654-'[2]$ лето'!l654+'[2]$ лето'!k654+'[2]$ лето'!q654+'[2]$ лето'!w654+'[2]$ лето'!ac654+'[2]$ лето'!ai654+'[2]$ лето'!ao654</f>
        <v>0</v>
      </c>
      <c r="I654" s="109" t="n">
        <f aca="false">'[2]$ лето'!ay654*1.1</f>
        <v>2371.6</v>
      </c>
      <c r="J654" s="85" t="n">
        <v>2015</v>
      </c>
    </row>
    <row r="655" customFormat="false" ht="15" hidden="true" customHeight="false" outlineLevel="0" collapsed="false">
      <c r="A655" s="123" t="s">
        <v>246</v>
      </c>
      <c r="B655" s="115" t="s">
        <v>1130</v>
      </c>
      <c r="C655" s="107" t="s">
        <v>1246</v>
      </c>
      <c r="D655" s="107"/>
      <c r="E655" s="107"/>
      <c r="F655" s="107"/>
      <c r="G655" s="108"/>
      <c r="H655" s="105" t="n">
        <f aca="false">'[2]$ лето'!j655-'[2]$ лето'!au655-'[2]$ лето'!at655-'[2]$ лето'!as655-'[2]$ лето'!ar655-'[2]$ лето'!aq655-'[2]$ лето'!ap655-'[2]$ лето'!an655-'[2]$ лето'!am655-'[2]$ лето'!al655-'[2]$ лето'!ak655-'[2]$ лето'!aj655-'[2]$ лето'!ah655-'[2]$ лето'!ag655-'[2]$ лето'!af655-'[2]$ лето'!ae655-'[2]$ лето'!ad655-'[2]$ лето'!ab655-'[2]$ лето'!aa655-'[2]$ лето'!z655-'[2]$ лето'!y655-'[2]$ лето'!x655-'[2]$ лето'!v655-'[2]$ лето'!u655-'[2]$ лето'!t655-'[2]$ лето'!s655-'[2]$ лето'!r655-'[2]$ лето'!p655-'[2]$ лето'!o655-'[2]$ лето'!n655-'[2]$ лето'!m655-'[2]$ лето'!l655+'[2]$ лето'!k655+'[2]$ лето'!q655+'[2]$ лето'!w655+'[2]$ лето'!ac655+'[2]$ лето'!ai655+'[2]$ лето'!ao655</f>
        <v>0</v>
      </c>
      <c r="I655" s="109" t="n">
        <f aca="false">'[2]$ лето'!ay655*1.1</f>
        <v>1355.2</v>
      </c>
    </row>
    <row r="656" customFormat="false" ht="15" hidden="true" customHeight="false" outlineLevel="0" collapsed="false">
      <c r="A656" s="123" t="s">
        <v>246</v>
      </c>
      <c r="B656" s="115" t="s">
        <v>666</v>
      </c>
      <c r="C656" s="116" t="s">
        <v>1247</v>
      </c>
      <c r="D656" s="116"/>
      <c r="E656" s="116"/>
      <c r="F656" s="116"/>
      <c r="G656" s="108"/>
      <c r="H656" s="105" t="n">
        <f aca="false">'[2]$ лето'!j656-'[2]$ лето'!au656-'[2]$ лето'!at656-'[2]$ лето'!as656-'[2]$ лето'!ar656-'[2]$ лето'!aq656-'[2]$ лето'!ap656-'[2]$ лето'!an656-'[2]$ лето'!am656-'[2]$ лето'!al656-'[2]$ лето'!ak656-'[2]$ лето'!aj656-'[2]$ лето'!ah656-'[2]$ лето'!ag656-'[2]$ лето'!af656-'[2]$ лето'!ae656-'[2]$ лето'!ad656-'[2]$ лето'!ab656-'[2]$ лето'!aa656-'[2]$ лето'!z656-'[2]$ лето'!y656-'[2]$ лето'!x656-'[2]$ лето'!v656-'[2]$ лето'!u656-'[2]$ лето'!t656-'[2]$ лето'!s656-'[2]$ лето'!r656-'[2]$ лето'!p656-'[2]$ лето'!o656-'[2]$ лето'!n656-'[2]$ лето'!m656-'[2]$ лето'!l656+'[2]$ лето'!k656+'[2]$ лето'!q656+'[2]$ лето'!w656+'[2]$ лето'!ac656+'[2]$ лето'!ai656+'[2]$ лето'!ao656</f>
        <v>0</v>
      </c>
      <c r="I656" s="109" t="n">
        <f aca="false">'[2]$ лето'!ay656*1.1</f>
        <v>2279.2</v>
      </c>
    </row>
    <row r="657" customFormat="false" ht="15" hidden="false" customHeight="false" outlineLevel="0" collapsed="false">
      <c r="A657" s="123" t="s">
        <v>246</v>
      </c>
      <c r="B657" s="115" t="s">
        <v>668</v>
      </c>
      <c r="C657" s="116" t="s">
        <v>1009</v>
      </c>
      <c r="D657" s="116"/>
      <c r="E657" s="116"/>
      <c r="F657" s="116"/>
      <c r="G657" s="108" t="s">
        <v>609</v>
      </c>
      <c r="H657" s="105" t="n">
        <f aca="false">'[2]$ лето'!j657-'[2]$ лето'!au657-'[2]$ лето'!at657-'[2]$ лето'!as657-'[2]$ лето'!ar657-'[2]$ лето'!aq657-'[2]$ лето'!ap657-'[2]$ лето'!an657-'[2]$ лето'!am657-'[2]$ лето'!al657-'[2]$ лето'!ak657-'[2]$ лето'!aj657-'[2]$ лето'!ah657-'[2]$ лето'!ag657-'[2]$ лето'!af657-'[2]$ лето'!ae657-'[2]$ лето'!ad657-'[2]$ лето'!ab657-'[2]$ лето'!aa657-'[2]$ лето'!z657-'[2]$ лето'!y657-'[2]$ лето'!x657-'[2]$ лето'!v657-'[2]$ лето'!u657-'[2]$ лето'!t657-'[2]$ лето'!s657-'[2]$ лето'!r657-'[2]$ лето'!p657-'[2]$ лето'!o657-'[2]$ лето'!n657-'[2]$ лето'!m657-'[2]$ лето'!l657+'[2]$ лето'!k657+'[2]$ лето'!q657+'[2]$ лето'!w657+'[2]$ лето'!ac657+'[2]$ лето'!ai657+'[2]$ лето'!ao657</f>
        <v>4</v>
      </c>
      <c r="I657" s="109" t="n">
        <f aca="false">'[2]$ лето'!ay657*1.1</f>
        <v>2365</v>
      </c>
      <c r="J657" s="85" t="n">
        <v>2017</v>
      </c>
    </row>
    <row r="658" customFormat="false" ht="15" hidden="true" customHeight="false" outlineLevel="0" collapsed="false">
      <c r="A658" s="115" t="s">
        <v>246</v>
      </c>
      <c r="B658" s="123" t="s">
        <v>574</v>
      </c>
      <c r="C658" s="116" t="s">
        <v>1248</v>
      </c>
      <c r="D658" s="116"/>
      <c r="E658" s="116"/>
      <c r="F658" s="116"/>
      <c r="G658" s="108" t="s">
        <v>576</v>
      </c>
      <c r="H658" s="105" t="n">
        <f aca="false">'[2]$ лето'!j658-'[2]$ лето'!au658-'[2]$ лето'!at658-'[2]$ лето'!as658-'[2]$ лето'!ar658-'[2]$ лето'!aq658-'[2]$ лето'!ap658-'[2]$ лето'!an658-'[2]$ лето'!am658-'[2]$ лето'!al658-'[2]$ лето'!ak658-'[2]$ лето'!aj658-'[2]$ лето'!ah658-'[2]$ лето'!ag658-'[2]$ лето'!af658-'[2]$ лето'!ae658-'[2]$ лето'!ad658-'[2]$ лето'!ab658-'[2]$ лето'!aa658-'[2]$ лето'!z658-'[2]$ лето'!y658-'[2]$ лето'!x658-'[2]$ лето'!v658-'[2]$ лето'!u658-'[2]$ лето'!t658-'[2]$ лето'!s658-'[2]$ лето'!r658-'[2]$ лето'!p658-'[2]$ лето'!o658-'[2]$ лето'!n658-'[2]$ лето'!m658-'[2]$ лето'!l658+'[2]$ лето'!k658+'[2]$ лето'!q658+'[2]$ лето'!w658+'[2]$ лето'!ac658+'[2]$ лето'!ai658+'[2]$ лето'!ao658</f>
        <v>0</v>
      </c>
      <c r="I658" s="109" t="n">
        <f aca="false">'[2]$ лето'!ay658*1.1</f>
        <v>1878.8</v>
      </c>
      <c r="J658" s="113"/>
    </row>
    <row r="659" customFormat="false" ht="15" hidden="false" customHeight="false" outlineLevel="0" collapsed="false">
      <c r="A659" s="115" t="s">
        <v>246</v>
      </c>
      <c r="B659" s="123" t="s">
        <v>577</v>
      </c>
      <c r="C659" s="116" t="s">
        <v>1249</v>
      </c>
      <c r="D659" s="116"/>
      <c r="E659" s="116"/>
      <c r="F659" s="116"/>
      <c r="G659" s="108" t="s">
        <v>563</v>
      </c>
      <c r="H659" s="105" t="n">
        <f aca="false">'[2]$ лето'!j659-'[2]$ лето'!au659-'[2]$ лето'!at659-'[2]$ лето'!as659-'[2]$ лето'!ar659-'[2]$ лето'!aq659-'[2]$ лето'!ap659-'[2]$ лето'!an659-'[2]$ лето'!am659-'[2]$ лето'!al659-'[2]$ лето'!ak659-'[2]$ лето'!aj659-'[2]$ лето'!ah659-'[2]$ лето'!ag659-'[2]$ лето'!af659-'[2]$ лето'!ae659-'[2]$ лето'!ad659-'[2]$ лето'!ab659-'[2]$ лето'!aa659-'[2]$ лето'!z659-'[2]$ лето'!y659-'[2]$ лето'!x659-'[2]$ лето'!v659-'[2]$ лето'!u659-'[2]$ лето'!t659-'[2]$ лето'!s659-'[2]$ лето'!r659-'[2]$ лето'!p659-'[2]$ лето'!o659-'[2]$ лето'!n659-'[2]$ лето'!m659-'[2]$ лето'!l659+'[2]$ лето'!k659+'[2]$ лето'!q659+'[2]$ лето'!w659+'[2]$ лето'!ac659+'[2]$ лето'!ai659+'[2]$ лето'!ao659</f>
        <v>4</v>
      </c>
      <c r="I659" s="109" t="n">
        <f aca="false">'[2]$ лето'!ay659*1.1</f>
        <v>1909.6</v>
      </c>
      <c r="J659" s="113" t="n">
        <v>2018</v>
      </c>
    </row>
    <row r="660" customFormat="false" ht="15" hidden="true" customHeight="false" outlineLevel="0" collapsed="false">
      <c r="A660" s="115" t="s">
        <v>246</v>
      </c>
      <c r="B660" s="123" t="s">
        <v>583</v>
      </c>
      <c r="C660" s="116" t="s">
        <v>1250</v>
      </c>
      <c r="D660" s="116"/>
      <c r="E660" s="116"/>
      <c r="F660" s="116"/>
      <c r="G660" s="108"/>
      <c r="H660" s="105" t="n">
        <f aca="false">'[2]$ лето'!j660-'[2]$ лето'!au660-'[2]$ лето'!at660-'[2]$ лето'!as660-'[2]$ лето'!ar660-'[2]$ лето'!aq660-'[2]$ лето'!ap660-'[2]$ лето'!an660-'[2]$ лето'!am660-'[2]$ лето'!al660-'[2]$ лето'!ak660-'[2]$ лето'!aj660-'[2]$ лето'!ah660-'[2]$ лето'!ag660-'[2]$ лето'!af660-'[2]$ лето'!ae660-'[2]$ лето'!ad660-'[2]$ лето'!ab660-'[2]$ лето'!aa660-'[2]$ лето'!z660-'[2]$ лето'!y660-'[2]$ лето'!x660-'[2]$ лето'!v660-'[2]$ лето'!u660-'[2]$ лето'!t660-'[2]$ лето'!s660-'[2]$ лето'!r660-'[2]$ лето'!p660-'[2]$ лето'!o660-'[2]$ лето'!n660-'[2]$ лето'!m660-'[2]$ лето'!l660+'[2]$ лето'!k660+'[2]$ лето'!q660+'[2]$ лето'!w660+'[2]$ лето'!ac660+'[2]$ лето'!ai660+'[2]$ лето'!ao660</f>
        <v>0</v>
      </c>
      <c r="I660" s="109" t="n">
        <f aca="false">'[2]$ лето'!ay660*1.1</f>
        <v>1540</v>
      </c>
      <c r="J660" s="113"/>
    </row>
    <row r="661" customFormat="false" ht="15" hidden="false" customHeight="false" outlineLevel="0" collapsed="false">
      <c r="A661" s="115" t="s">
        <v>246</v>
      </c>
      <c r="B661" s="123" t="s">
        <v>583</v>
      </c>
      <c r="C661" s="116" t="s">
        <v>1251</v>
      </c>
      <c r="D661" s="116"/>
      <c r="E661" s="116"/>
      <c r="F661" s="116"/>
      <c r="G661" s="108" t="s">
        <v>570</v>
      </c>
      <c r="H661" s="105" t="n">
        <f aca="false">'[2]$ лето'!j661-'[2]$ лето'!au661-'[2]$ лето'!at661-'[2]$ лето'!as661-'[2]$ лето'!ar661-'[2]$ лето'!aq661-'[2]$ лето'!ap661-'[2]$ лето'!an661-'[2]$ лето'!am661-'[2]$ лето'!al661-'[2]$ лето'!ak661-'[2]$ лето'!aj661-'[2]$ лето'!ah661-'[2]$ лето'!ag661-'[2]$ лето'!af661-'[2]$ лето'!ae661-'[2]$ лето'!ad661-'[2]$ лето'!ab661-'[2]$ лето'!aa661-'[2]$ лето'!z661-'[2]$ лето'!y661-'[2]$ лето'!x661-'[2]$ лето'!v661-'[2]$ лето'!u661-'[2]$ лето'!t661-'[2]$ лето'!s661-'[2]$ лето'!r661-'[2]$ лето'!p661-'[2]$ лето'!o661-'[2]$ лето'!n661-'[2]$ лето'!m661-'[2]$ лето'!l661+'[2]$ лето'!k661+'[2]$ лето'!q661+'[2]$ лето'!w661+'[2]$ лето'!ac661+'[2]$ лето'!ai661+'[2]$ лето'!ao661</f>
        <v>2</v>
      </c>
      <c r="I661" s="109" t="n">
        <f aca="false">'[2]$ лето'!ay661*1.1</f>
        <v>1817.2</v>
      </c>
      <c r="J661" s="113" t="n">
        <v>2018</v>
      </c>
    </row>
    <row r="662" customFormat="false" ht="15" hidden="false" customHeight="false" outlineLevel="0" collapsed="false">
      <c r="A662" s="129" t="s">
        <v>246</v>
      </c>
      <c r="B662" s="129" t="s">
        <v>613</v>
      </c>
      <c r="C662" s="131"/>
      <c r="D662" s="131"/>
      <c r="E662" s="131"/>
      <c r="F662" s="131"/>
      <c r="G662" s="132"/>
      <c r="H662" s="105" t="n">
        <f aca="false">'[2]$ лето'!j662-'[2]$ лето'!au662-'[2]$ лето'!at662-'[2]$ лето'!as662-'[2]$ лето'!ar662-'[2]$ лето'!aq662-'[2]$ лето'!ap662-'[2]$ лето'!an662-'[2]$ лето'!am662-'[2]$ лето'!al662-'[2]$ лето'!ak662-'[2]$ лето'!aj662-'[2]$ лето'!ah662-'[2]$ лето'!ag662-'[2]$ лето'!af662-'[2]$ лето'!ae662-'[2]$ лето'!ad662-'[2]$ лето'!ab662-'[2]$ лето'!aa662-'[2]$ лето'!z662-'[2]$ лето'!y662-'[2]$ лето'!x662-'[2]$ лето'!v662-'[2]$ лето'!u662-'[2]$ лето'!t662-'[2]$ лето'!s662-'[2]$ лето'!r662-'[2]$ лето'!p662-'[2]$ лето'!o662-'[2]$ лето'!n662-'[2]$ лето'!m662-'[2]$ лето'!l662+'[2]$ лето'!k662+'[2]$ лето'!q662+'[2]$ лето'!w662+'[2]$ лето'!ac662+'[2]$ лето'!ai662+'[2]$ лето'!ao662</f>
        <v>2</v>
      </c>
      <c r="I662" s="133" t="n">
        <f aca="false">'[2]$ лето'!ay662*1.1</f>
        <v>165</v>
      </c>
      <c r="J662" s="113"/>
    </row>
    <row r="663" customFormat="false" ht="15" hidden="false" customHeight="false" outlineLevel="0" collapsed="false">
      <c r="A663" s="115" t="s">
        <v>246</v>
      </c>
      <c r="B663" s="115" t="s">
        <v>593</v>
      </c>
      <c r="C663" s="116" t="s">
        <v>1252</v>
      </c>
      <c r="D663" s="116"/>
      <c r="E663" s="116"/>
      <c r="F663" s="116"/>
      <c r="G663" s="108"/>
      <c r="H663" s="105" t="n">
        <f aca="false">'[2]$ лето'!j663-'[2]$ лето'!au663-'[2]$ лето'!at663-'[2]$ лето'!as663-'[2]$ лето'!ar663-'[2]$ лето'!aq663-'[2]$ лето'!ap663-'[2]$ лето'!an663-'[2]$ лето'!am663-'[2]$ лето'!al663-'[2]$ лето'!ak663-'[2]$ лето'!aj663-'[2]$ лето'!ah663-'[2]$ лето'!ag663-'[2]$ лето'!af663-'[2]$ лето'!ae663-'[2]$ лето'!ad663-'[2]$ лето'!ab663-'[2]$ лето'!aa663-'[2]$ лето'!z663-'[2]$ лето'!y663-'[2]$ лето'!x663-'[2]$ лето'!v663-'[2]$ лето'!u663-'[2]$ лето'!t663-'[2]$ лето'!s663-'[2]$ лето'!r663-'[2]$ лето'!p663-'[2]$ лето'!o663-'[2]$ лето'!n663-'[2]$ лето'!m663-'[2]$ лето'!l663+'[2]$ лето'!k663+'[2]$ лето'!q663+'[2]$ лето'!w663+'[2]$ лето'!ac663+'[2]$ лето'!ai663+'[2]$ лето'!ao663</f>
        <v>4</v>
      </c>
      <c r="I663" s="109" t="n">
        <f aca="false">'[2]$ лето'!ay663*1.1</f>
        <v>3542</v>
      </c>
      <c r="J663" s="113"/>
    </row>
    <row r="664" customFormat="false" ht="15" hidden="false" customHeight="false" outlineLevel="0" collapsed="false">
      <c r="A664" s="115" t="s">
        <v>246</v>
      </c>
      <c r="B664" s="115" t="s">
        <v>593</v>
      </c>
      <c r="C664" s="126" t="s">
        <v>1253</v>
      </c>
      <c r="D664" s="126"/>
      <c r="E664" s="126"/>
      <c r="F664" s="126"/>
      <c r="G664" s="108" t="s">
        <v>843</v>
      </c>
      <c r="H664" s="105" t="n">
        <f aca="false">'[2]$ лето'!j664-'[2]$ лето'!au664-'[2]$ лето'!at664-'[2]$ лето'!as664-'[2]$ лето'!ar664-'[2]$ лето'!aq664-'[2]$ лето'!ap664-'[2]$ лето'!an664-'[2]$ лето'!am664-'[2]$ лето'!al664-'[2]$ лето'!ak664-'[2]$ лето'!aj664-'[2]$ лето'!ah664-'[2]$ лето'!ag664-'[2]$ лето'!af664-'[2]$ лето'!ae664-'[2]$ лето'!ad664-'[2]$ лето'!ab664-'[2]$ лето'!aa664-'[2]$ лето'!z664-'[2]$ лето'!y664-'[2]$ лето'!x664-'[2]$ лето'!v664-'[2]$ лето'!u664-'[2]$ лето'!t664-'[2]$ лето'!s664-'[2]$ лето'!r664-'[2]$ лето'!p664-'[2]$ лето'!o664-'[2]$ лето'!n664-'[2]$ лето'!m664-'[2]$ лето'!l664+'[2]$ лето'!k664+'[2]$ лето'!q664+'[2]$ лето'!w664+'[2]$ лето'!ac664+'[2]$ лето'!ai664+'[2]$ лето'!ao664</f>
        <v>2</v>
      </c>
      <c r="I664" s="109" t="n">
        <f aca="false">'[2]$ лето'!ay664*1.1</f>
        <v>4004</v>
      </c>
      <c r="J664" s="85" t="n">
        <v>2018</v>
      </c>
    </row>
    <row r="665" customFormat="false" ht="15" hidden="true" customHeight="false" outlineLevel="0" collapsed="false">
      <c r="A665" s="115" t="s">
        <v>246</v>
      </c>
      <c r="B665" s="115" t="s">
        <v>586</v>
      </c>
      <c r="C665" s="126" t="s">
        <v>1254</v>
      </c>
      <c r="D665" s="126"/>
      <c r="E665" s="126"/>
      <c r="F665" s="126"/>
      <c r="G665" s="108" t="s">
        <v>520</v>
      </c>
      <c r="H665" s="105" t="n">
        <f aca="false">'[2]$ лето'!j665-'[2]$ лето'!au665-'[2]$ лето'!at665-'[2]$ лето'!as665-'[2]$ лето'!ar665-'[2]$ лето'!aq665-'[2]$ лето'!ap665-'[2]$ лето'!an665-'[2]$ лето'!am665-'[2]$ лето'!al665-'[2]$ лето'!ak665-'[2]$ лето'!aj665-'[2]$ лето'!ah665-'[2]$ лето'!ag665-'[2]$ лето'!af665-'[2]$ лето'!ae665-'[2]$ лето'!ad665-'[2]$ лето'!ab665-'[2]$ лето'!aa665-'[2]$ лето'!z665-'[2]$ лето'!y665-'[2]$ лето'!x665-'[2]$ лето'!v665-'[2]$ лето'!u665-'[2]$ лето'!t665-'[2]$ лето'!s665-'[2]$ лето'!r665-'[2]$ лето'!p665-'[2]$ лето'!o665-'[2]$ лето'!n665-'[2]$ лето'!m665-'[2]$ лето'!l665+'[2]$ лето'!k665+'[2]$ лето'!q665+'[2]$ лето'!w665+'[2]$ лето'!ac665+'[2]$ лето'!ai665+'[2]$ лето'!ao665</f>
        <v>0</v>
      </c>
      <c r="I665" s="109" t="n">
        <f aca="false">'[2]$ лето'!ay665*1.1</f>
        <v>1293.6</v>
      </c>
      <c r="J665" s="85" t="n">
        <v>2018</v>
      </c>
    </row>
    <row r="666" customFormat="false" ht="15" hidden="true" customHeight="false" outlineLevel="0" collapsed="false">
      <c r="A666" s="115" t="s">
        <v>246</v>
      </c>
      <c r="B666" s="115" t="s">
        <v>615</v>
      </c>
      <c r="C666" s="116" t="s">
        <v>1255</v>
      </c>
      <c r="D666" s="116"/>
      <c r="E666" s="116"/>
      <c r="F666" s="116"/>
      <c r="G666" s="108"/>
      <c r="H666" s="105" t="n">
        <f aca="false">'[2]$ лето'!j666-'[2]$ лето'!au666-'[2]$ лето'!at666-'[2]$ лето'!as666-'[2]$ лето'!ar666-'[2]$ лето'!aq666-'[2]$ лето'!ap666-'[2]$ лето'!an666-'[2]$ лето'!am666-'[2]$ лето'!al666-'[2]$ лето'!ak666-'[2]$ лето'!aj666-'[2]$ лето'!ah666-'[2]$ лето'!ag666-'[2]$ лето'!af666-'[2]$ лето'!ae666-'[2]$ лето'!ad666-'[2]$ лето'!ab666-'[2]$ лето'!aa666-'[2]$ лето'!z666-'[2]$ лето'!y666-'[2]$ лето'!x666-'[2]$ лето'!v666-'[2]$ лето'!u666-'[2]$ лето'!t666-'[2]$ лето'!s666-'[2]$ лето'!r666-'[2]$ лето'!p666-'[2]$ лето'!o666-'[2]$ лето'!n666-'[2]$ лето'!m666-'[2]$ лето'!l666+'[2]$ лето'!k666+'[2]$ лето'!q666+'[2]$ лето'!w666+'[2]$ лето'!ac666+'[2]$ лето'!ai666+'[2]$ лето'!ao666</f>
        <v>0</v>
      </c>
      <c r="I666" s="109" t="n">
        <f aca="false">'[2]$ лето'!ay666*1.1</f>
        <v>1694</v>
      </c>
    </row>
    <row r="667" customFormat="false" ht="15" hidden="true" customHeight="false" outlineLevel="0" collapsed="false">
      <c r="A667" s="115" t="s">
        <v>246</v>
      </c>
      <c r="B667" s="115" t="s">
        <v>615</v>
      </c>
      <c r="C667" s="116" t="s">
        <v>1256</v>
      </c>
      <c r="D667" s="116"/>
      <c r="E667" s="116"/>
      <c r="F667" s="116"/>
      <c r="G667" s="108"/>
      <c r="H667" s="105" t="n">
        <f aca="false">'[2]$ лето'!j667-'[2]$ лето'!au667-'[2]$ лето'!at667-'[2]$ лето'!as667-'[2]$ лето'!ar667-'[2]$ лето'!aq667-'[2]$ лето'!ap667-'[2]$ лето'!an667-'[2]$ лето'!am667-'[2]$ лето'!al667-'[2]$ лето'!ak667-'[2]$ лето'!aj667-'[2]$ лето'!ah667-'[2]$ лето'!ag667-'[2]$ лето'!af667-'[2]$ лето'!ae667-'[2]$ лето'!ad667-'[2]$ лето'!ab667-'[2]$ лето'!aa667-'[2]$ лето'!z667-'[2]$ лето'!y667-'[2]$ лето'!x667-'[2]$ лето'!v667-'[2]$ лето'!u667-'[2]$ лето'!t667-'[2]$ лето'!s667-'[2]$ лето'!r667-'[2]$ лето'!p667-'[2]$ лето'!o667-'[2]$ лето'!n667-'[2]$ лето'!m667-'[2]$ лето'!l667+'[2]$ лето'!k667+'[2]$ лето'!q667+'[2]$ лето'!w667+'[2]$ лето'!ac667+'[2]$ лето'!ai667+'[2]$ лето'!ao667</f>
        <v>0</v>
      </c>
      <c r="I667" s="109" t="n">
        <f aca="false">'[2]$ лето'!ay667*1.1</f>
        <v>1632.4</v>
      </c>
    </row>
    <row r="668" customFormat="false" ht="15" hidden="true" customHeight="false" outlineLevel="0" collapsed="false">
      <c r="A668" s="115" t="s">
        <v>246</v>
      </c>
      <c r="B668" s="115" t="s">
        <v>762</v>
      </c>
      <c r="C668" s="116" t="s">
        <v>1257</v>
      </c>
      <c r="D668" s="116"/>
      <c r="E668" s="116"/>
      <c r="F668" s="116"/>
      <c r="G668" s="108" t="s">
        <v>570</v>
      </c>
      <c r="H668" s="105" t="n">
        <f aca="false">'[2]$ лето'!j668-'[2]$ лето'!au668-'[2]$ лето'!at668-'[2]$ лето'!as668-'[2]$ лето'!ar668-'[2]$ лето'!aq668-'[2]$ лето'!ap668-'[2]$ лето'!an668-'[2]$ лето'!am668-'[2]$ лето'!al668-'[2]$ лето'!ak668-'[2]$ лето'!aj668-'[2]$ лето'!ah668-'[2]$ лето'!ag668-'[2]$ лето'!af668-'[2]$ лето'!ae668-'[2]$ лето'!ad668-'[2]$ лето'!ab668-'[2]$ лето'!aa668-'[2]$ лето'!z668-'[2]$ лето'!y668-'[2]$ лето'!x668-'[2]$ лето'!v668-'[2]$ лето'!u668-'[2]$ лето'!t668-'[2]$ лето'!s668-'[2]$ лето'!r668-'[2]$ лето'!p668-'[2]$ лето'!o668-'[2]$ лето'!n668-'[2]$ лето'!m668-'[2]$ лето'!l668+'[2]$ лето'!k668+'[2]$ лето'!q668+'[2]$ лето'!w668+'[2]$ лето'!ac668+'[2]$ лето'!ai668+'[2]$ лето'!ao668</f>
        <v>0</v>
      </c>
      <c r="I668" s="109" t="n">
        <f aca="false">'[2]$ лето'!ay668*1.1</f>
        <v>1663.2</v>
      </c>
      <c r="J668" s="85" t="n">
        <v>2018</v>
      </c>
    </row>
    <row r="669" customFormat="false" ht="15" hidden="true" customHeight="false" outlineLevel="0" collapsed="false">
      <c r="A669" s="115" t="s">
        <v>246</v>
      </c>
      <c r="B669" s="115" t="s">
        <v>617</v>
      </c>
      <c r="C669" s="116" t="s">
        <v>1258</v>
      </c>
      <c r="D669" s="116"/>
      <c r="E669" s="116"/>
      <c r="F669" s="116"/>
      <c r="G669" s="108"/>
      <c r="H669" s="105" t="n">
        <f aca="false">'[2]$ лето'!j669-'[2]$ лето'!au669-'[2]$ лето'!at669-'[2]$ лето'!as669-'[2]$ лето'!ar669-'[2]$ лето'!aq669-'[2]$ лето'!ap669-'[2]$ лето'!an669-'[2]$ лето'!am669-'[2]$ лето'!al669-'[2]$ лето'!ak669-'[2]$ лето'!aj669-'[2]$ лето'!ah669-'[2]$ лето'!ag669-'[2]$ лето'!af669-'[2]$ лето'!ae669-'[2]$ лето'!ad669-'[2]$ лето'!ab669-'[2]$ лето'!aa669-'[2]$ лето'!z669-'[2]$ лето'!y669-'[2]$ лето'!x669-'[2]$ лето'!v669-'[2]$ лето'!u669-'[2]$ лето'!t669-'[2]$ лето'!s669-'[2]$ лето'!r669-'[2]$ лето'!p669-'[2]$ лето'!o669-'[2]$ лето'!n669-'[2]$ лето'!m669-'[2]$ лето'!l669+'[2]$ лето'!k669+'[2]$ лето'!q669+'[2]$ лето'!w669+'[2]$ лето'!ac669+'[2]$ лето'!ai669+'[2]$ лето'!ao669</f>
        <v>0</v>
      </c>
      <c r="I669" s="109" t="n">
        <f aca="false">'[2]$ лето'!ay669*1.1</f>
        <v>1386</v>
      </c>
      <c r="J669" s="85" t="n">
        <v>2017</v>
      </c>
    </row>
    <row r="670" customFormat="false" ht="15" hidden="false" customHeight="false" outlineLevel="0" collapsed="false">
      <c r="A670" s="115" t="s">
        <v>246</v>
      </c>
      <c r="B670" s="115" t="s">
        <v>621</v>
      </c>
      <c r="C670" s="107" t="s">
        <v>1259</v>
      </c>
      <c r="D670" s="107"/>
      <c r="E670" s="116"/>
      <c r="F670" s="116"/>
      <c r="G670" s="108" t="s">
        <v>520</v>
      </c>
      <c r="H670" s="105" t="n">
        <f aca="false">'[2]$ лето'!j670-'[2]$ лето'!au670-'[2]$ лето'!at670-'[2]$ лето'!as670-'[2]$ лето'!ar670-'[2]$ лето'!aq670-'[2]$ лето'!ap670-'[2]$ лето'!an670-'[2]$ лето'!am670-'[2]$ лето'!al670-'[2]$ лето'!ak670-'[2]$ лето'!aj670-'[2]$ лето'!ah670-'[2]$ лето'!ag670-'[2]$ лето'!af670-'[2]$ лето'!ae670-'[2]$ лето'!ad670-'[2]$ лето'!ab670-'[2]$ лето'!aa670-'[2]$ лето'!z670-'[2]$ лето'!y670-'[2]$ лето'!x670-'[2]$ лето'!v670-'[2]$ лето'!u670-'[2]$ лето'!t670-'[2]$ лето'!s670-'[2]$ лето'!r670-'[2]$ лето'!p670-'[2]$ лето'!o670-'[2]$ лето'!n670-'[2]$ лето'!m670-'[2]$ лето'!l670+'[2]$ лето'!k670+'[2]$ лето'!q670+'[2]$ лето'!w670+'[2]$ лето'!ac670+'[2]$ лето'!ai670+'[2]$ лето'!ao670</f>
        <v>6</v>
      </c>
      <c r="I670" s="109" t="n">
        <f aca="false">'[2]$ лето'!ay670*1.1</f>
        <v>1324.4</v>
      </c>
      <c r="J670" s="85" t="n">
        <v>2018</v>
      </c>
    </row>
    <row r="671" customFormat="false" ht="15" hidden="false" customHeight="false" outlineLevel="0" collapsed="false">
      <c r="A671" s="115" t="s">
        <v>246</v>
      </c>
      <c r="B671" s="115" t="s">
        <v>623</v>
      </c>
      <c r="C671" s="107" t="s">
        <v>1260</v>
      </c>
      <c r="D671" s="107"/>
      <c r="E671" s="116"/>
      <c r="F671" s="116"/>
      <c r="G671" s="108"/>
      <c r="H671" s="105" t="n">
        <f aca="false">'[2]$ лето'!j671-'[2]$ лето'!au671-'[2]$ лето'!at671-'[2]$ лето'!as671-'[2]$ лето'!ar671-'[2]$ лето'!aq671-'[2]$ лето'!ap671-'[2]$ лето'!an671-'[2]$ лето'!am671-'[2]$ лето'!al671-'[2]$ лето'!ak671-'[2]$ лето'!aj671-'[2]$ лето'!ah671-'[2]$ лето'!ag671-'[2]$ лето'!af671-'[2]$ лето'!ae671-'[2]$ лето'!ad671-'[2]$ лето'!ab671-'[2]$ лето'!aa671-'[2]$ лето'!z671-'[2]$ лето'!y671-'[2]$ лето'!x671-'[2]$ лето'!v671-'[2]$ лето'!u671-'[2]$ лето'!t671-'[2]$ лето'!s671-'[2]$ лето'!r671-'[2]$ лето'!p671-'[2]$ лето'!o671-'[2]$ лето'!n671-'[2]$ лето'!m671-'[2]$ лето'!l671+'[2]$ лето'!k671+'[2]$ лето'!q671+'[2]$ лето'!w671+'[2]$ лето'!ac671+'[2]$ лето'!ai671+'[2]$ лето'!ao671</f>
        <v>6</v>
      </c>
      <c r="I671" s="109" t="n">
        <f aca="false">'[2]$ лето'!ay671*1.1</f>
        <v>1416.8</v>
      </c>
      <c r="J671" s="85" t="n">
        <v>2018</v>
      </c>
    </row>
    <row r="672" customFormat="false" ht="15" hidden="true" customHeight="false" outlineLevel="0" collapsed="false">
      <c r="A672" s="115" t="s">
        <v>246</v>
      </c>
      <c r="B672" s="115" t="s">
        <v>589</v>
      </c>
      <c r="C672" s="107" t="s">
        <v>1261</v>
      </c>
      <c r="D672" s="107"/>
      <c r="E672" s="107"/>
      <c r="F672" s="107"/>
      <c r="G672" s="108"/>
      <c r="H672" s="105" t="n">
        <f aca="false">'[2]$ лето'!j672-'[2]$ лето'!au672-'[2]$ лето'!at672-'[2]$ лето'!as672-'[2]$ лето'!ar672-'[2]$ лето'!aq672-'[2]$ лето'!ap672-'[2]$ лето'!an672-'[2]$ лето'!am672-'[2]$ лето'!al672-'[2]$ лето'!ak672-'[2]$ лето'!aj672-'[2]$ лето'!ah672-'[2]$ лето'!ag672-'[2]$ лето'!af672-'[2]$ лето'!ae672-'[2]$ лето'!ad672-'[2]$ лето'!ab672-'[2]$ лето'!aa672-'[2]$ лето'!z672-'[2]$ лето'!y672-'[2]$ лето'!x672-'[2]$ лето'!v672-'[2]$ лето'!u672-'[2]$ лето'!t672-'[2]$ лето'!s672-'[2]$ лето'!r672-'[2]$ лето'!p672-'[2]$ лето'!o672-'[2]$ лето'!n672-'[2]$ лето'!m672-'[2]$ лето'!l672+'[2]$ лето'!k672+'[2]$ лето'!q672+'[2]$ лето'!w672+'[2]$ лето'!ac672+'[2]$ лето'!ai672+'[2]$ лето'!ao672</f>
        <v>0</v>
      </c>
      <c r="I672" s="109" t="n">
        <f aca="false">'[2]$ лето'!ay672*1.1</f>
        <v>2587.2</v>
      </c>
      <c r="J672" s="85" t="n">
        <v>2017</v>
      </c>
    </row>
    <row r="673" customFormat="false" ht="15" hidden="false" customHeight="false" outlineLevel="0" collapsed="false">
      <c r="A673" s="115" t="s">
        <v>246</v>
      </c>
      <c r="B673" s="115" t="s">
        <v>589</v>
      </c>
      <c r="C673" s="116" t="s">
        <v>1262</v>
      </c>
      <c r="D673" s="116"/>
      <c r="E673" s="116"/>
      <c r="F673" s="116"/>
      <c r="G673" s="108" t="s">
        <v>1263</v>
      </c>
      <c r="H673" s="105" t="n">
        <f aca="false">'[2]$ лето'!j673-'[2]$ лето'!au673-'[2]$ лето'!at673-'[2]$ лето'!as673-'[2]$ лето'!ar673-'[2]$ лето'!aq673-'[2]$ лето'!ap673-'[2]$ лето'!an673-'[2]$ лето'!am673-'[2]$ лето'!al673-'[2]$ лето'!ak673-'[2]$ лето'!aj673-'[2]$ лето'!ah673-'[2]$ лето'!ag673-'[2]$ лето'!af673-'[2]$ лето'!ae673-'[2]$ лето'!ad673-'[2]$ лето'!ab673-'[2]$ лето'!aa673-'[2]$ лето'!z673-'[2]$ лето'!y673-'[2]$ лето'!x673-'[2]$ лето'!v673-'[2]$ лето'!u673-'[2]$ лето'!t673-'[2]$ лето'!s673-'[2]$ лето'!r673-'[2]$ лето'!p673-'[2]$ лето'!o673-'[2]$ лето'!n673-'[2]$ лето'!m673-'[2]$ лето'!l673+'[2]$ лето'!k673+'[2]$ лето'!q673+'[2]$ лето'!w673+'[2]$ лето'!ac673+'[2]$ лето'!ai673+'[2]$ лето'!ao673</f>
        <v>6</v>
      </c>
      <c r="I673" s="109" t="n">
        <f aca="false">'[2]$ лето'!ay673*1.1</f>
        <v>2530.44</v>
      </c>
      <c r="J673" s="85" t="s">
        <v>1264</v>
      </c>
    </row>
    <row r="674" customFormat="false" ht="15" hidden="true" customHeight="false" outlineLevel="0" collapsed="false">
      <c r="A674" s="115" t="s">
        <v>246</v>
      </c>
      <c r="B674" s="115" t="s">
        <v>564</v>
      </c>
      <c r="C674" s="116" t="s">
        <v>1265</v>
      </c>
      <c r="D674" s="116"/>
      <c r="E674" s="116"/>
      <c r="F674" s="116"/>
      <c r="G674" s="108" t="s">
        <v>520</v>
      </c>
      <c r="H674" s="105" t="n">
        <f aca="false">'[2]$ лето'!j674-'[2]$ лето'!au674-'[2]$ лето'!at674-'[2]$ лето'!as674-'[2]$ лето'!ar674-'[2]$ лето'!aq674-'[2]$ лето'!ap674-'[2]$ лето'!an674-'[2]$ лето'!am674-'[2]$ лето'!al674-'[2]$ лето'!ak674-'[2]$ лето'!aj674-'[2]$ лето'!ah674-'[2]$ лето'!ag674-'[2]$ лето'!af674-'[2]$ лето'!ae674-'[2]$ лето'!ad674-'[2]$ лето'!ab674-'[2]$ лето'!aa674-'[2]$ лето'!z674-'[2]$ лето'!y674-'[2]$ лето'!x674-'[2]$ лето'!v674-'[2]$ лето'!u674-'[2]$ лето'!t674-'[2]$ лето'!s674-'[2]$ лето'!r674-'[2]$ лето'!p674-'[2]$ лето'!o674-'[2]$ лето'!n674-'[2]$ лето'!m674-'[2]$ лето'!l674+'[2]$ лето'!k674+'[2]$ лето'!q674+'[2]$ лето'!w674+'[2]$ лето'!ac674+'[2]$ лето'!ai674+'[2]$ лето'!ao674</f>
        <v>0</v>
      </c>
      <c r="I674" s="109" t="n">
        <f aca="false">'[2]$ лето'!ay674*1.1</f>
        <v>1324.4</v>
      </c>
      <c r="J674" s="85" t="n">
        <v>2017</v>
      </c>
    </row>
    <row r="675" customFormat="false" ht="15" hidden="true" customHeight="false" outlineLevel="0" collapsed="false">
      <c r="A675" s="123" t="s">
        <v>247</v>
      </c>
      <c r="B675" s="115" t="s">
        <v>991</v>
      </c>
      <c r="C675" s="116" t="s">
        <v>992</v>
      </c>
      <c r="D675" s="116"/>
      <c r="E675" s="116"/>
      <c r="F675" s="116"/>
      <c r="G675" s="108" t="s">
        <v>520</v>
      </c>
      <c r="H675" s="105" t="n">
        <f aca="false">'[2]$ лето'!j675-'[2]$ лето'!au675-'[2]$ лето'!at675-'[2]$ лето'!as675-'[2]$ лето'!ar675-'[2]$ лето'!aq675-'[2]$ лето'!ap675-'[2]$ лето'!an675-'[2]$ лето'!am675-'[2]$ лето'!al675-'[2]$ лето'!ak675-'[2]$ лето'!aj675-'[2]$ лето'!ah675-'[2]$ лето'!ag675-'[2]$ лето'!af675-'[2]$ лето'!ae675-'[2]$ лето'!ad675-'[2]$ лето'!ab675-'[2]$ лето'!aa675-'[2]$ лето'!z675-'[2]$ лето'!y675-'[2]$ лето'!x675-'[2]$ лето'!v675-'[2]$ лето'!u675-'[2]$ лето'!t675-'[2]$ лето'!s675-'[2]$ лето'!r675-'[2]$ лето'!p675-'[2]$ лето'!o675-'[2]$ лето'!n675-'[2]$ лето'!m675-'[2]$ лето'!l675+'[2]$ лето'!k675+'[2]$ лето'!q675+'[2]$ лето'!w675+'[2]$ лето'!ac675+'[2]$ лето'!ai675+'[2]$ лето'!ao675</f>
        <v>0</v>
      </c>
      <c r="I675" s="109" t="n">
        <f aca="false">'[2]$ лето'!ay675*1.1</f>
        <v>1540</v>
      </c>
    </row>
    <row r="676" customFormat="false" ht="15" hidden="true" customHeight="false" outlineLevel="0" collapsed="false">
      <c r="A676" s="123" t="s">
        <v>247</v>
      </c>
      <c r="B676" s="115" t="s">
        <v>991</v>
      </c>
      <c r="C676" s="116" t="s">
        <v>1266</v>
      </c>
      <c r="D676" s="116"/>
      <c r="E676" s="116"/>
      <c r="F676" s="116"/>
      <c r="G676" s="108" t="s">
        <v>520</v>
      </c>
      <c r="H676" s="105" t="n">
        <f aca="false">'[2]$ лето'!j676-'[2]$ лето'!au676-'[2]$ лето'!at676-'[2]$ лето'!as676-'[2]$ лето'!ar676-'[2]$ лето'!aq676-'[2]$ лето'!ap676-'[2]$ лето'!an676-'[2]$ лето'!am676-'[2]$ лето'!al676-'[2]$ лето'!ak676-'[2]$ лето'!aj676-'[2]$ лето'!ah676-'[2]$ лето'!ag676-'[2]$ лето'!af676-'[2]$ лето'!ae676-'[2]$ лето'!ad676-'[2]$ лето'!ab676-'[2]$ лето'!aa676-'[2]$ лето'!z676-'[2]$ лето'!y676-'[2]$ лето'!x676-'[2]$ лето'!v676-'[2]$ лето'!u676-'[2]$ лето'!t676-'[2]$ лето'!s676-'[2]$ лето'!r676-'[2]$ лето'!p676-'[2]$ лето'!o676-'[2]$ лето'!n676-'[2]$ лето'!m676-'[2]$ лето'!l676+'[2]$ лето'!k676+'[2]$ лето'!q676+'[2]$ лето'!w676+'[2]$ лето'!ac676+'[2]$ лето'!ai676+'[2]$ лето'!ao676</f>
        <v>0</v>
      </c>
      <c r="I676" s="109" t="n">
        <f aca="false">'[2]$ лето'!ay676*1.1</f>
        <v>1540</v>
      </c>
    </row>
    <row r="677" customFormat="false" ht="15" hidden="true" customHeight="false" outlineLevel="0" collapsed="false">
      <c r="A677" s="123" t="s">
        <v>247</v>
      </c>
      <c r="B677" s="115" t="s">
        <v>566</v>
      </c>
      <c r="C677" s="116" t="s">
        <v>1267</v>
      </c>
      <c r="D677" s="116"/>
      <c r="E677" s="116"/>
      <c r="F677" s="116"/>
      <c r="G677" s="108" t="s">
        <v>563</v>
      </c>
      <c r="H677" s="105" t="n">
        <f aca="false">'[2]$ лето'!j677-'[2]$ лето'!au677-'[2]$ лето'!at677-'[2]$ лето'!as677-'[2]$ лето'!ar677-'[2]$ лето'!aq677-'[2]$ лето'!ap677-'[2]$ лето'!an677-'[2]$ лето'!am677-'[2]$ лето'!al677-'[2]$ лето'!ak677-'[2]$ лето'!aj677-'[2]$ лето'!ah677-'[2]$ лето'!ag677-'[2]$ лето'!af677-'[2]$ лето'!ae677-'[2]$ лето'!ad677-'[2]$ лето'!ab677-'[2]$ лето'!aa677-'[2]$ лето'!z677-'[2]$ лето'!y677-'[2]$ лето'!x677-'[2]$ лето'!v677-'[2]$ лето'!u677-'[2]$ лето'!t677-'[2]$ лето'!s677-'[2]$ лето'!r677-'[2]$ лето'!p677-'[2]$ лето'!o677-'[2]$ лето'!n677-'[2]$ лето'!m677-'[2]$ лето'!l677+'[2]$ лето'!k677+'[2]$ лето'!q677+'[2]$ лето'!w677+'[2]$ лето'!ac677+'[2]$ лето'!ai677+'[2]$ лето'!ao677</f>
        <v>0</v>
      </c>
      <c r="I677" s="109" t="n">
        <f aca="false">'[2]$ лето'!ay677*1.1</f>
        <v>1262.8</v>
      </c>
      <c r="J677" s="85" t="n">
        <v>2017</v>
      </c>
    </row>
    <row r="678" customFormat="false" ht="15" hidden="false" customHeight="false" outlineLevel="0" collapsed="false">
      <c r="A678" s="123" t="s">
        <v>247</v>
      </c>
      <c r="B678" s="115" t="s">
        <v>601</v>
      </c>
      <c r="C678" s="116" t="s">
        <v>1268</v>
      </c>
      <c r="D678" s="116"/>
      <c r="E678" s="116"/>
      <c r="F678" s="116"/>
      <c r="G678" s="108" t="s">
        <v>626</v>
      </c>
      <c r="H678" s="105" t="n">
        <f aca="false">'[2]$ лето'!j678-'[2]$ лето'!au678-'[2]$ лето'!at678-'[2]$ лето'!as678-'[2]$ лето'!ar678-'[2]$ лето'!aq678-'[2]$ лето'!ap678-'[2]$ лето'!an678-'[2]$ лето'!am678-'[2]$ лето'!al678-'[2]$ лето'!ak678-'[2]$ лето'!aj678-'[2]$ лето'!ah678-'[2]$ лето'!ag678-'[2]$ лето'!af678-'[2]$ лето'!ae678-'[2]$ лето'!ad678-'[2]$ лето'!ab678-'[2]$ лето'!aa678-'[2]$ лето'!z678-'[2]$ лето'!y678-'[2]$ лето'!x678-'[2]$ лето'!v678-'[2]$ лето'!u678-'[2]$ лето'!t678-'[2]$ лето'!s678-'[2]$ лето'!r678-'[2]$ лето'!p678-'[2]$ лето'!o678-'[2]$ лето'!n678-'[2]$ лето'!m678-'[2]$ лето'!l678+'[2]$ лето'!k678+'[2]$ лето'!q678+'[2]$ лето'!w678+'[2]$ лето'!ac678+'[2]$ лето'!ai678+'[2]$ лето'!ao678</f>
        <v>4</v>
      </c>
      <c r="I678" s="109" t="n">
        <f aca="false">'[2]$ лето'!ay678*1.1</f>
        <v>2706</v>
      </c>
      <c r="J678" s="85" t="n">
        <v>2018</v>
      </c>
    </row>
    <row r="679" customFormat="false" ht="15" hidden="false" customHeight="false" outlineLevel="0" collapsed="false">
      <c r="A679" s="123" t="s">
        <v>247</v>
      </c>
      <c r="B679" s="115" t="s">
        <v>601</v>
      </c>
      <c r="C679" s="116" t="s">
        <v>1269</v>
      </c>
      <c r="D679" s="116"/>
      <c r="E679" s="116"/>
      <c r="F679" s="116"/>
      <c r="G679" s="108" t="s">
        <v>849</v>
      </c>
      <c r="H679" s="105" t="n">
        <f aca="false">'[2]$ лето'!j679-'[2]$ лето'!au679-'[2]$ лето'!at679-'[2]$ лето'!as679-'[2]$ лето'!ar679-'[2]$ лето'!aq679-'[2]$ лето'!ap679-'[2]$ лето'!an679-'[2]$ лето'!am679-'[2]$ лето'!al679-'[2]$ лето'!ak679-'[2]$ лето'!aj679-'[2]$ лето'!ah679-'[2]$ лето'!ag679-'[2]$ лето'!af679-'[2]$ лето'!ae679-'[2]$ лето'!ad679-'[2]$ лето'!ab679-'[2]$ лето'!aa679-'[2]$ лето'!z679-'[2]$ лето'!y679-'[2]$ лето'!x679-'[2]$ лето'!v679-'[2]$ лето'!u679-'[2]$ лето'!t679-'[2]$ лето'!s679-'[2]$ лето'!r679-'[2]$ лето'!p679-'[2]$ лето'!o679-'[2]$ лето'!n679-'[2]$ лето'!m679-'[2]$ лето'!l679+'[2]$ лето'!k679+'[2]$ лето'!q679+'[2]$ лето'!w679+'[2]$ лето'!ac679+'[2]$ лето'!ai679+'[2]$ лето'!ao679</f>
        <v>8</v>
      </c>
      <c r="I679" s="109" t="n">
        <f aca="false">'[2]$ лето'!ay679*1.1</f>
        <v>3080</v>
      </c>
      <c r="J679" s="85" t="n">
        <v>2018</v>
      </c>
    </row>
    <row r="680" customFormat="false" ht="15" hidden="false" customHeight="false" outlineLevel="0" collapsed="false">
      <c r="A680" s="123" t="s">
        <v>247</v>
      </c>
      <c r="B680" s="115" t="s">
        <v>601</v>
      </c>
      <c r="C680" s="116" t="s">
        <v>1270</v>
      </c>
      <c r="D680" s="116"/>
      <c r="E680" s="116"/>
      <c r="F680" s="116"/>
      <c r="G680" s="108" t="s">
        <v>563</v>
      </c>
      <c r="H680" s="105" t="n">
        <f aca="false">'[2]$ лето'!j680-'[2]$ лето'!au680-'[2]$ лето'!at680-'[2]$ лето'!as680-'[2]$ лето'!ar680-'[2]$ лето'!aq680-'[2]$ лето'!ap680-'[2]$ лето'!an680-'[2]$ лето'!am680-'[2]$ лето'!al680-'[2]$ лето'!ak680-'[2]$ лето'!aj680-'[2]$ лето'!ah680-'[2]$ лето'!ag680-'[2]$ лето'!af680-'[2]$ лето'!ae680-'[2]$ лето'!ad680-'[2]$ лето'!ab680-'[2]$ лето'!aa680-'[2]$ лето'!z680-'[2]$ лето'!y680-'[2]$ лето'!x680-'[2]$ лето'!v680-'[2]$ лето'!u680-'[2]$ лето'!t680-'[2]$ лето'!s680-'[2]$ лето'!r680-'[2]$ лето'!p680-'[2]$ лето'!o680-'[2]$ лето'!n680-'[2]$ лето'!m680-'[2]$ лето'!l680+'[2]$ лето'!k680+'[2]$ лето'!q680+'[2]$ лето'!w680+'[2]$ лето'!ac680+'[2]$ лето'!ai680+'[2]$ лето'!ao680</f>
        <v>2</v>
      </c>
      <c r="I680" s="109" t="n">
        <f aca="false">'[2]$ лето'!ay680*1.1</f>
        <v>2402.4</v>
      </c>
      <c r="J680" s="85" t="n">
        <v>2016</v>
      </c>
    </row>
    <row r="681" customFormat="false" ht="15" hidden="true" customHeight="false" outlineLevel="0" collapsed="false">
      <c r="A681" s="123" t="s">
        <v>247</v>
      </c>
      <c r="B681" s="115" t="s">
        <v>844</v>
      </c>
      <c r="C681" s="116" t="s">
        <v>1271</v>
      </c>
      <c r="D681" s="116"/>
      <c r="E681" s="116"/>
      <c r="F681" s="116"/>
      <c r="G681" s="108"/>
      <c r="H681" s="105" t="n">
        <f aca="false">'[2]$ лето'!j681-'[2]$ лето'!au681-'[2]$ лето'!at681-'[2]$ лето'!as681-'[2]$ лето'!ar681-'[2]$ лето'!aq681-'[2]$ лето'!ap681-'[2]$ лето'!an681-'[2]$ лето'!am681-'[2]$ лето'!al681-'[2]$ лето'!ak681-'[2]$ лето'!aj681-'[2]$ лето'!ah681-'[2]$ лето'!ag681-'[2]$ лето'!af681-'[2]$ лето'!ae681-'[2]$ лето'!ad681-'[2]$ лето'!ab681-'[2]$ лето'!aa681-'[2]$ лето'!z681-'[2]$ лето'!y681-'[2]$ лето'!x681-'[2]$ лето'!v681-'[2]$ лето'!u681-'[2]$ лето'!t681-'[2]$ лето'!s681-'[2]$ лето'!r681-'[2]$ лето'!p681-'[2]$ лето'!o681-'[2]$ лето'!n681-'[2]$ лето'!m681-'[2]$ лето'!l681+'[2]$ лето'!k681+'[2]$ лето'!q681+'[2]$ лето'!w681+'[2]$ лето'!ac681+'[2]$ лето'!ai681+'[2]$ лето'!ao681</f>
        <v>0</v>
      </c>
      <c r="I681" s="109" t="n">
        <f aca="false">'[2]$ лето'!ay681*1.1</f>
        <v>1940.4</v>
      </c>
      <c r="J681" s="85" t="n">
        <v>2017</v>
      </c>
    </row>
    <row r="682" customFormat="false" ht="15" hidden="true" customHeight="false" outlineLevel="0" collapsed="false">
      <c r="A682" s="123" t="s">
        <v>247</v>
      </c>
      <c r="B682" s="115" t="s">
        <v>658</v>
      </c>
      <c r="C682" s="116" t="s">
        <v>1272</v>
      </c>
      <c r="D682" s="116"/>
      <c r="E682" s="116"/>
      <c r="F682" s="116"/>
      <c r="G682" s="108"/>
      <c r="H682" s="105" t="n">
        <f aca="false">'[2]$ лето'!j682-'[2]$ лето'!au682-'[2]$ лето'!at682-'[2]$ лето'!as682-'[2]$ лето'!ar682-'[2]$ лето'!aq682-'[2]$ лето'!ap682-'[2]$ лето'!an682-'[2]$ лето'!am682-'[2]$ лето'!al682-'[2]$ лето'!ak682-'[2]$ лето'!aj682-'[2]$ лето'!ah682-'[2]$ лето'!ag682-'[2]$ лето'!af682-'[2]$ лето'!ae682-'[2]$ лето'!ad682-'[2]$ лето'!ab682-'[2]$ лето'!aa682-'[2]$ лето'!z682-'[2]$ лето'!y682-'[2]$ лето'!x682-'[2]$ лето'!v682-'[2]$ лето'!u682-'[2]$ лето'!t682-'[2]$ лето'!s682-'[2]$ лето'!r682-'[2]$ лето'!p682-'[2]$ лето'!o682-'[2]$ лето'!n682-'[2]$ лето'!m682-'[2]$ лето'!l682+'[2]$ лето'!k682+'[2]$ лето'!q682+'[2]$ лето'!w682+'[2]$ лето'!ac682+'[2]$ лето'!ai682+'[2]$ лето'!ao682</f>
        <v>0</v>
      </c>
      <c r="I682" s="109" t="n">
        <f aca="false">'[2]$ лето'!ay682*1.1</f>
        <v>2772</v>
      </c>
    </row>
    <row r="683" customFormat="false" ht="15" hidden="false" customHeight="false" outlineLevel="0" collapsed="false">
      <c r="A683" s="115" t="s">
        <v>247</v>
      </c>
      <c r="B683" s="115" t="s">
        <v>658</v>
      </c>
      <c r="C683" s="116" t="s">
        <v>1273</v>
      </c>
      <c r="D683" s="116"/>
      <c r="E683" s="116" t="n">
        <v>95</v>
      </c>
      <c r="F683" s="116" t="s">
        <v>634</v>
      </c>
      <c r="G683" s="108" t="s">
        <v>585</v>
      </c>
      <c r="H683" s="105" t="n">
        <f aca="false">'[2]$ лето'!j683-'[2]$ лето'!au683-'[2]$ лето'!at683-'[2]$ лето'!as683-'[2]$ лето'!ar683-'[2]$ лето'!aq683-'[2]$ лето'!ap683-'[2]$ лето'!an683-'[2]$ лето'!am683-'[2]$ лето'!al683-'[2]$ лето'!ak683-'[2]$ лето'!aj683-'[2]$ лето'!ah683-'[2]$ лето'!ag683-'[2]$ лето'!af683-'[2]$ лето'!ae683-'[2]$ лето'!ad683-'[2]$ лето'!ab683-'[2]$ лето'!aa683-'[2]$ лето'!z683-'[2]$ лето'!y683-'[2]$ лето'!x683-'[2]$ лето'!v683-'[2]$ лето'!u683-'[2]$ лето'!t683-'[2]$ лето'!s683-'[2]$ лето'!r683-'[2]$ лето'!p683-'[2]$ лето'!o683-'[2]$ лето'!n683-'[2]$ лето'!m683-'[2]$ лето'!l683+'[2]$ лето'!k683+'[2]$ лето'!q683+'[2]$ лето'!w683+'[2]$ лето'!ac683+'[2]$ лето'!ai683+'[2]$ лето'!ao683</f>
        <v>3</v>
      </c>
      <c r="I683" s="109" t="n">
        <f aca="false">'[2]$ лето'!ay683*1.1</f>
        <v>3264.8</v>
      </c>
      <c r="J683" s="85" t="n">
        <v>2018</v>
      </c>
    </row>
    <row r="684" customFormat="false" ht="15" hidden="true" customHeight="false" outlineLevel="0" collapsed="false">
      <c r="A684" s="115" t="s">
        <v>247</v>
      </c>
      <c r="B684" s="115" t="s">
        <v>604</v>
      </c>
      <c r="C684" s="116" t="s">
        <v>1274</v>
      </c>
      <c r="D684" s="116"/>
      <c r="E684" s="116"/>
      <c r="F684" s="116"/>
      <c r="G684" s="108" t="s">
        <v>933</v>
      </c>
      <c r="H684" s="105" t="n">
        <f aca="false">'[2]$ лето'!j684-'[2]$ лето'!au684-'[2]$ лето'!at684-'[2]$ лето'!as684-'[2]$ лето'!ar684-'[2]$ лето'!aq684-'[2]$ лето'!ap684-'[2]$ лето'!an684-'[2]$ лето'!am684-'[2]$ лето'!al684-'[2]$ лето'!ak684-'[2]$ лето'!aj684-'[2]$ лето'!ah684-'[2]$ лето'!ag684-'[2]$ лето'!af684-'[2]$ лето'!ae684-'[2]$ лето'!ad684-'[2]$ лето'!ab684-'[2]$ лето'!aa684-'[2]$ лето'!z684-'[2]$ лето'!y684-'[2]$ лето'!x684-'[2]$ лето'!v684-'[2]$ лето'!u684-'[2]$ лето'!t684-'[2]$ лето'!s684-'[2]$ лето'!r684-'[2]$ лето'!p684-'[2]$ лето'!o684-'[2]$ лето'!n684-'[2]$ лето'!m684-'[2]$ лето'!l684+'[2]$ лето'!k684+'[2]$ лето'!q684+'[2]$ лето'!w684+'[2]$ лето'!ac684+'[2]$ лето'!ai684+'[2]$ лето'!ao684</f>
        <v>0</v>
      </c>
      <c r="I684" s="109" t="n">
        <f aca="false">'[2]$ лето'!ay684*1.1</f>
        <v>2464</v>
      </c>
      <c r="J684" s="85" t="n">
        <v>2017</v>
      </c>
    </row>
    <row r="685" customFormat="false" ht="15" hidden="true" customHeight="false" outlineLevel="0" collapsed="false">
      <c r="A685" s="115" t="s">
        <v>247</v>
      </c>
      <c r="B685" s="115" t="s">
        <v>948</v>
      </c>
      <c r="C685" s="116" t="s">
        <v>1275</v>
      </c>
      <c r="D685" s="116"/>
      <c r="E685" s="116"/>
      <c r="F685" s="116"/>
      <c r="G685" s="108"/>
      <c r="H685" s="105" t="n">
        <f aca="false">'[2]$ лето'!j685-'[2]$ лето'!au685-'[2]$ лето'!at685-'[2]$ лето'!as685-'[2]$ лето'!ar685-'[2]$ лето'!aq685-'[2]$ лето'!ap685-'[2]$ лето'!an685-'[2]$ лето'!am685-'[2]$ лето'!al685-'[2]$ лето'!ak685-'[2]$ лето'!aj685-'[2]$ лето'!ah685-'[2]$ лето'!ag685-'[2]$ лето'!af685-'[2]$ лето'!ae685-'[2]$ лето'!ad685-'[2]$ лето'!ab685-'[2]$ лето'!aa685-'[2]$ лето'!z685-'[2]$ лето'!y685-'[2]$ лето'!x685-'[2]$ лето'!v685-'[2]$ лето'!u685-'[2]$ лето'!t685-'[2]$ лето'!s685-'[2]$ лето'!r685-'[2]$ лето'!p685-'[2]$ лето'!o685-'[2]$ лето'!n685-'[2]$ лето'!m685-'[2]$ лето'!l685+'[2]$ лето'!k685+'[2]$ лето'!q685+'[2]$ лето'!w685+'[2]$ лето'!ac685+'[2]$ лето'!ai685+'[2]$ лето'!ao685</f>
        <v>0</v>
      </c>
      <c r="I685" s="109" t="n">
        <f aca="false">'[2]$ лето'!ay685*1.1</f>
        <v>2618</v>
      </c>
      <c r="J685" s="85" t="n">
        <v>2017</v>
      </c>
    </row>
    <row r="686" customFormat="false" ht="15" hidden="true" customHeight="false" outlineLevel="0" collapsed="false">
      <c r="A686" s="115" t="s">
        <v>247</v>
      </c>
      <c r="B686" s="115" t="s">
        <v>606</v>
      </c>
      <c r="C686" s="116" t="s">
        <v>1276</v>
      </c>
      <c r="D686" s="116"/>
      <c r="E686" s="116"/>
      <c r="F686" s="116"/>
      <c r="G686" s="108" t="s">
        <v>609</v>
      </c>
      <c r="H686" s="105" t="n">
        <f aca="false">'[2]$ лето'!j686-'[2]$ лето'!au686-'[2]$ лето'!at686-'[2]$ лето'!as686-'[2]$ лето'!ar686-'[2]$ лето'!aq686-'[2]$ лето'!ap686-'[2]$ лето'!an686-'[2]$ лето'!am686-'[2]$ лето'!al686-'[2]$ лето'!ak686-'[2]$ лето'!aj686-'[2]$ лето'!ah686-'[2]$ лето'!ag686-'[2]$ лето'!af686-'[2]$ лето'!ae686-'[2]$ лето'!ad686-'[2]$ лето'!ab686-'[2]$ лето'!aa686-'[2]$ лето'!z686-'[2]$ лето'!y686-'[2]$ лето'!x686-'[2]$ лето'!v686-'[2]$ лето'!u686-'[2]$ лето'!t686-'[2]$ лето'!s686-'[2]$ лето'!r686-'[2]$ лето'!p686-'[2]$ лето'!o686-'[2]$ лето'!n686-'[2]$ лето'!m686-'[2]$ лето'!l686+'[2]$ лето'!k686+'[2]$ лето'!q686+'[2]$ лето'!w686+'[2]$ лето'!ac686+'[2]$ лето'!ai686+'[2]$ лето'!ao686</f>
        <v>0</v>
      </c>
      <c r="I686" s="109" t="n">
        <f aca="false">'[2]$ лето'!ay686*1.1</f>
        <v>2125.2</v>
      </c>
      <c r="J686" s="85" t="n">
        <v>2018</v>
      </c>
    </row>
    <row r="687" customFormat="false" ht="15" hidden="true" customHeight="false" outlineLevel="0" collapsed="false">
      <c r="A687" s="115" t="s">
        <v>247</v>
      </c>
      <c r="B687" s="115" t="s">
        <v>1130</v>
      </c>
      <c r="C687" s="116" t="s">
        <v>1277</v>
      </c>
      <c r="D687" s="116"/>
      <c r="E687" s="116"/>
      <c r="F687" s="116"/>
      <c r="G687" s="108"/>
      <c r="H687" s="105" t="n">
        <f aca="false">'[2]$ лето'!j687-'[2]$ лето'!au687-'[2]$ лето'!at687-'[2]$ лето'!as687-'[2]$ лето'!ar687-'[2]$ лето'!aq687-'[2]$ лето'!ap687-'[2]$ лето'!an687-'[2]$ лето'!am687-'[2]$ лето'!al687-'[2]$ лето'!ak687-'[2]$ лето'!aj687-'[2]$ лето'!ah687-'[2]$ лето'!ag687-'[2]$ лето'!af687-'[2]$ лето'!ae687-'[2]$ лето'!ad687-'[2]$ лето'!ab687-'[2]$ лето'!aa687-'[2]$ лето'!z687-'[2]$ лето'!y687-'[2]$ лето'!x687-'[2]$ лето'!v687-'[2]$ лето'!u687-'[2]$ лето'!t687-'[2]$ лето'!s687-'[2]$ лето'!r687-'[2]$ лето'!p687-'[2]$ лето'!o687-'[2]$ лето'!n687-'[2]$ лето'!m687-'[2]$ лето'!l687+'[2]$ лето'!k687+'[2]$ лето'!q687+'[2]$ лето'!w687+'[2]$ лето'!ac687+'[2]$ лето'!ai687+'[2]$ лето'!ao687</f>
        <v>0</v>
      </c>
      <c r="I687" s="109" t="n">
        <f aca="false">'[2]$ лето'!ay687*1.1</f>
        <v>1262.8</v>
      </c>
    </row>
    <row r="688" customFormat="false" ht="15" hidden="false" customHeight="false" outlineLevel="0" collapsed="false">
      <c r="A688" s="123" t="s">
        <v>247</v>
      </c>
      <c r="B688" s="115" t="s">
        <v>666</v>
      </c>
      <c r="C688" s="116" t="s">
        <v>713</v>
      </c>
      <c r="D688" s="116"/>
      <c r="E688" s="116"/>
      <c r="F688" s="116"/>
      <c r="G688" s="108" t="s">
        <v>663</v>
      </c>
      <c r="H688" s="105" t="n">
        <f aca="false">'[2]$ лето'!j688-'[2]$ лето'!au688-'[2]$ лето'!at688-'[2]$ лето'!as688-'[2]$ лето'!ar688-'[2]$ лето'!aq688-'[2]$ лето'!ap688-'[2]$ лето'!an688-'[2]$ лето'!am688-'[2]$ лето'!al688-'[2]$ лето'!ak688-'[2]$ лето'!aj688-'[2]$ лето'!ah688-'[2]$ лето'!ag688-'[2]$ лето'!af688-'[2]$ лето'!ae688-'[2]$ лето'!ad688-'[2]$ лето'!ab688-'[2]$ лето'!aa688-'[2]$ лето'!z688-'[2]$ лето'!y688-'[2]$ лето'!x688-'[2]$ лето'!v688-'[2]$ лето'!u688-'[2]$ лето'!t688-'[2]$ лето'!s688-'[2]$ лето'!r688-'[2]$ лето'!p688-'[2]$ лето'!o688-'[2]$ лето'!n688-'[2]$ лето'!m688-'[2]$ лето'!l688+'[2]$ лето'!k688+'[2]$ лето'!q688+'[2]$ лето'!w688+'[2]$ лето'!ac688+'[2]$ лето'!ai688+'[2]$ лето'!ao688</f>
        <v>4</v>
      </c>
      <c r="I688" s="109" t="n">
        <f aca="false">'[2]$ лето'!ay688*1.1</f>
        <v>2156</v>
      </c>
    </row>
    <row r="689" customFormat="false" ht="15" hidden="false" customHeight="false" outlineLevel="0" collapsed="false">
      <c r="A689" s="123" t="s">
        <v>247</v>
      </c>
      <c r="B689" s="123" t="s">
        <v>668</v>
      </c>
      <c r="C689" s="107" t="s">
        <v>1278</v>
      </c>
      <c r="D689" s="107"/>
      <c r="E689" s="116"/>
      <c r="F689" s="116"/>
      <c r="G689" s="108" t="s">
        <v>609</v>
      </c>
      <c r="H689" s="105" t="n">
        <f aca="false">'[2]$ лето'!j689-'[2]$ лето'!au689-'[2]$ лето'!at689-'[2]$ лето'!as689-'[2]$ лето'!ar689-'[2]$ лето'!aq689-'[2]$ лето'!ap689-'[2]$ лето'!an689-'[2]$ лето'!am689-'[2]$ лето'!al689-'[2]$ лето'!ak689-'[2]$ лето'!aj689-'[2]$ лето'!ah689-'[2]$ лето'!ag689-'[2]$ лето'!af689-'[2]$ лето'!ae689-'[2]$ лето'!ad689-'[2]$ лето'!ab689-'[2]$ лето'!aa689-'[2]$ лето'!z689-'[2]$ лето'!y689-'[2]$ лето'!x689-'[2]$ лето'!v689-'[2]$ лето'!u689-'[2]$ лето'!t689-'[2]$ лето'!s689-'[2]$ лето'!r689-'[2]$ лето'!p689-'[2]$ лето'!o689-'[2]$ лето'!n689-'[2]$ лето'!m689-'[2]$ лето'!l689+'[2]$ лето'!k689+'[2]$ лето'!q689+'[2]$ лето'!w689+'[2]$ лето'!ac689+'[2]$ лето'!ai689+'[2]$ лето'!ao689</f>
        <v>2</v>
      </c>
      <c r="I689" s="109" t="n">
        <f aca="false">'[2]$ лето'!ay689*1.1</f>
        <v>1540</v>
      </c>
      <c r="J689" s="85" t="n">
        <v>2016</v>
      </c>
    </row>
    <row r="690" customFormat="false" ht="15" hidden="false" customHeight="false" outlineLevel="0" collapsed="false">
      <c r="A690" s="123" t="s">
        <v>247</v>
      </c>
      <c r="B690" s="123" t="s">
        <v>668</v>
      </c>
      <c r="C690" s="107" t="s">
        <v>1009</v>
      </c>
      <c r="D690" s="107"/>
      <c r="E690" s="116"/>
      <c r="F690" s="116"/>
      <c r="G690" s="108" t="s">
        <v>609</v>
      </c>
      <c r="H690" s="105" t="n">
        <f aca="false">'[2]$ лето'!j690-'[2]$ лето'!au690-'[2]$ лето'!at690-'[2]$ лето'!as690-'[2]$ лето'!ar690-'[2]$ лето'!aq690-'[2]$ лето'!ap690-'[2]$ лето'!an690-'[2]$ лето'!am690-'[2]$ лето'!al690-'[2]$ лето'!ak690-'[2]$ лето'!aj690-'[2]$ лето'!ah690-'[2]$ лето'!ag690-'[2]$ лето'!af690-'[2]$ лето'!ae690-'[2]$ лето'!ad690-'[2]$ лето'!ab690-'[2]$ лето'!aa690-'[2]$ лето'!z690-'[2]$ лето'!y690-'[2]$ лето'!x690-'[2]$ лето'!v690-'[2]$ лето'!u690-'[2]$ лето'!t690-'[2]$ лето'!s690-'[2]$ лето'!r690-'[2]$ лето'!p690-'[2]$ лето'!o690-'[2]$ лето'!n690-'[2]$ лето'!m690-'[2]$ лето'!l690+'[2]$ лето'!k690+'[2]$ лето'!q690+'[2]$ лето'!w690+'[2]$ лето'!ac690+'[2]$ лето'!ai690+'[2]$ лето'!ao690</f>
        <v>6</v>
      </c>
      <c r="I690" s="109" t="n">
        <f aca="false">'[2]$ лето'!ay690*1.1</f>
        <v>1980</v>
      </c>
      <c r="J690" s="85" t="n">
        <v>2017</v>
      </c>
    </row>
    <row r="691" customFormat="false" ht="15" hidden="true" customHeight="false" outlineLevel="0" collapsed="false">
      <c r="A691" s="123" t="s">
        <v>247</v>
      </c>
      <c r="B691" s="123" t="s">
        <v>574</v>
      </c>
      <c r="C691" s="116" t="s">
        <v>1279</v>
      </c>
      <c r="D691" s="116"/>
      <c r="E691" s="116"/>
      <c r="F691" s="116"/>
      <c r="G691" s="108" t="s">
        <v>576</v>
      </c>
      <c r="H691" s="105" t="n">
        <f aca="false">'[2]$ лето'!j691-'[2]$ лето'!au691-'[2]$ лето'!at691-'[2]$ лето'!as691-'[2]$ лето'!ar691-'[2]$ лето'!aq691-'[2]$ лето'!ap691-'[2]$ лето'!an691-'[2]$ лето'!am691-'[2]$ лето'!al691-'[2]$ лето'!ak691-'[2]$ лето'!aj691-'[2]$ лето'!ah691-'[2]$ лето'!ag691-'[2]$ лето'!af691-'[2]$ лето'!ae691-'[2]$ лето'!ad691-'[2]$ лето'!ab691-'[2]$ лето'!aa691-'[2]$ лето'!z691-'[2]$ лето'!y691-'[2]$ лето'!x691-'[2]$ лето'!v691-'[2]$ лето'!u691-'[2]$ лето'!t691-'[2]$ лето'!s691-'[2]$ лето'!r691-'[2]$ лето'!p691-'[2]$ лето'!o691-'[2]$ лето'!n691-'[2]$ лето'!m691-'[2]$ лето'!l691+'[2]$ лето'!k691+'[2]$ лето'!q691+'[2]$ лето'!w691+'[2]$ лето'!ac691+'[2]$ лето'!ai691+'[2]$ лето'!ao691</f>
        <v>0</v>
      </c>
      <c r="I691" s="109" t="n">
        <f aca="false">'[2]$ лето'!ay691*1.1</f>
        <v>1940.4</v>
      </c>
      <c r="J691" s="85" t="n">
        <v>2018</v>
      </c>
    </row>
    <row r="692" customFormat="false" ht="15" hidden="true" customHeight="false" outlineLevel="0" collapsed="false">
      <c r="A692" s="123" t="s">
        <v>247</v>
      </c>
      <c r="B692" s="123" t="s">
        <v>574</v>
      </c>
      <c r="C692" s="116" t="s">
        <v>1280</v>
      </c>
      <c r="D692" s="116"/>
      <c r="E692" s="116"/>
      <c r="F692" s="116"/>
      <c r="G692" s="108" t="s">
        <v>576</v>
      </c>
      <c r="H692" s="105" t="n">
        <f aca="false">'[2]$ лето'!j692-'[2]$ лето'!au692-'[2]$ лето'!at692-'[2]$ лето'!as692-'[2]$ лето'!ar692-'[2]$ лето'!aq692-'[2]$ лето'!ap692-'[2]$ лето'!an692-'[2]$ лето'!am692-'[2]$ лето'!al692-'[2]$ лето'!ak692-'[2]$ лето'!aj692-'[2]$ лето'!ah692-'[2]$ лето'!ag692-'[2]$ лето'!af692-'[2]$ лето'!ae692-'[2]$ лето'!ad692-'[2]$ лето'!ab692-'[2]$ лето'!aa692-'[2]$ лето'!z692-'[2]$ лето'!y692-'[2]$ лето'!x692-'[2]$ лето'!v692-'[2]$ лето'!u692-'[2]$ лето'!t692-'[2]$ лето'!s692-'[2]$ лето'!r692-'[2]$ лето'!p692-'[2]$ лето'!o692-'[2]$ лето'!n692-'[2]$ лето'!m692-'[2]$ лето'!l692+'[2]$ лето'!k692+'[2]$ лето'!q692+'[2]$ лето'!w692+'[2]$ лето'!ac692+'[2]$ лето'!ai692+'[2]$ лето'!ao692</f>
        <v>0</v>
      </c>
      <c r="I692" s="109" t="n">
        <f aca="false">'[2]$ лето'!ay692*1.1</f>
        <v>1971.2</v>
      </c>
      <c r="J692" s="85" t="n">
        <v>2017</v>
      </c>
    </row>
    <row r="693" customFormat="false" ht="15" hidden="false" customHeight="false" outlineLevel="0" collapsed="false">
      <c r="A693" s="123" t="s">
        <v>247</v>
      </c>
      <c r="B693" s="123" t="s">
        <v>577</v>
      </c>
      <c r="C693" s="116" t="s">
        <v>1281</v>
      </c>
      <c r="D693" s="116"/>
      <c r="E693" s="116"/>
      <c r="F693" s="116"/>
      <c r="G693" s="108" t="s">
        <v>563</v>
      </c>
      <c r="H693" s="105" t="n">
        <f aca="false">'[2]$ лето'!j693-'[2]$ лето'!au693-'[2]$ лето'!at693-'[2]$ лето'!as693-'[2]$ лето'!ar693-'[2]$ лето'!aq693-'[2]$ лето'!ap693-'[2]$ лето'!an693-'[2]$ лето'!am693-'[2]$ лето'!al693-'[2]$ лето'!ak693-'[2]$ лето'!aj693-'[2]$ лето'!ah693-'[2]$ лето'!ag693-'[2]$ лето'!af693-'[2]$ лето'!ae693-'[2]$ лето'!ad693-'[2]$ лето'!ab693-'[2]$ лето'!aa693-'[2]$ лето'!z693-'[2]$ лето'!y693-'[2]$ лето'!x693-'[2]$ лето'!v693-'[2]$ лето'!u693-'[2]$ лето'!t693-'[2]$ лето'!s693-'[2]$ лето'!r693-'[2]$ лето'!p693-'[2]$ лето'!o693-'[2]$ лето'!n693-'[2]$ лето'!m693-'[2]$ лето'!l693+'[2]$ лето'!k693+'[2]$ лето'!q693+'[2]$ лето'!w693+'[2]$ лето'!ac693+'[2]$ лето'!ai693+'[2]$ лето'!ao693</f>
        <v>4</v>
      </c>
      <c r="I693" s="109" t="n">
        <f aca="false">'[2]$ лето'!ay693*1.1</f>
        <v>1925</v>
      </c>
    </row>
    <row r="694" customFormat="false" ht="15" hidden="true" customHeight="false" outlineLevel="0" collapsed="false">
      <c r="A694" s="115" t="s">
        <v>247</v>
      </c>
      <c r="B694" s="123" t="s">
        <v>583</v>
      </c>
      <c r="C694" s="116" t="s">
        <v>1282</v>
      </c>
      <c r="D694" s="116"/>
      <c r="E694" s="116"/>
      <c r="F694" s="116"/>
      <c r="G694" s="108"/>
      <c r="H694" s="105" t="n">
        <f aca="false">'[2]$ лето'!j694-'[2]$ лето'!au694-'[2]$ лето'!at694-'[2]$ лето'!as694-'[2]$ лето'!ar694-'[2]$ лето'!aq694-'[2]$ лето'!ap694-'[2]$ лето'!an694-'[2]$ лето'!am694-'[2]$ лето'!al694-'[2]$ лето'!ak694-'[2]$ лето'!aj694-'[2]$ лето'!ah694-'[2]$ лето'!ag694-'[2]$ лето'!af694-'[2]$ лето'!ae694-'[2]$ лето'!ad694-'[2]$ лето'!ab694-'[2]$ лето'!aa694-'[2]$ лето'!z694-'[2]$ лето'!y694-'[2]$ лето'!x694-'[2]$ лето'!v694-'[2]$ лето'!u694-'[2]$ лето'!t694-'[2]$ лето'!s694-'[2]$ лето'!r694-'[2]$ лето'!p694-'[2]$ лето'!o694-'[2]$ лето'!n694-'[2]$ лето'!m694-'[2]$ лето'!l694+'[2]$ лето'!k694+'[2]$ лето'!q694+'[2]$ лето'!w694+'[2]$ лето'!ac694+'[2]$ лето'!ai694+'[2]$ лето'!ao694</f>
        <v>0</v>
      </c>
      <c r="I694" s="109" t="n">
        <f aca="false">'[2]$ лето'!ay694*1.1</f>
        <v>1940.4</v>
      </c>
    </row>
    <row r="695" customFormat="false" ht="15" hidden="false" customHeight="false" outlineLevel="0" collapsed="false">
      <c r="A695" s="115" t="s">
        <v>247</v>
      </c>
      <c r="B695" s="123" t="s">
        <v>583</v>
      </c>
      <c r="C695" s="116" t="s">
        <v>1283</v>
      </c>
      <c r="D695" s="116"/>
      <c r="E695" s="116"/>
      <c r="F695" s="116"/>
      <c r="G695" s="108" t="s">
        <v>585</v>
      </c>
      <c r="H695" s="105" t="n">
        <f aca="false">'[2]$ лето'!j695-'[2]$ лето'!au695-'[2]$ лето'!at695-'[2]$ лето'!as695-'[2]$ лето'!ar695-'[2]$ лето'!aq695-'[2]$ лето'!ap695-'[2]$ лето'!an695-'[2]$ лето'!am695-'[2]$ лето'!al695-'[2]$ лето'!ak695-'[2]$ лето'!aj695-'[2]$ лето'!ah695-'[2]$ лето'!ag695-'[2]$ лето'!af695-'[2]$ лето'!ae695-'[2]$ лето'!ad695-'[2]$ лето'!ab695-'[2]$ лето'!aa695-'[2]$ лето'!z695-'[2]$ лето'!y695-'[2]$ лето'!x695-'[2]$ лето'!v695-'[2]$ лето'!u695-'[2]$ лето'!t695-'[2]$ лето'!s695-'[2]$ лето'!r695-'[2]$ лето'!p695-'[2]$ лето'!o695-'[2]$ лето'!n695-'[2]$ лето'!m695-'[2]$ лето'!l695+'[2]$ лето'!k695+'[2]$ лето'!q695+'[2]$ лето'!w695+'[2]$ лето'!ac695+'[2]$ лето'!ai695+'[2]$ лето'!ao695</f>
        <v>4</v>
      </c>
      <c r="I695" s="109" t="n">
        <f aca="false">'[2]$ лето'!ay695*1.1</f>
        <v>1940.4</v>
      </c>
      <c r="J695" s="85" t="s">
        <v>1284</v>
      </c>
    </row>
    <row r="696" customFormat="false" ht="15" hidden="false" customHeight="false" outlineLevel="0" collapsed="false">
      <c r="A696" s="115" t="s">
        <v>247</v>
      </c>
      <c r="B696" s="115" t="s">
        <v>593</v>
      </c>
      <c r="C696" s="116" t="s">
        <v>1285</v>
      </c>
      <c r="D696" s="116"/>
      <c r="E696" s="116"/>
      <c r="F696" s="116"/>
      <c r="G696" s="108" t="s">
        <v>843</v>
      </c>
      <c r="H696" s="105" t="n">
        <f aca="false">'[2]$ лето'!j696-'[2]$ лето'!au696-'[2]$ лето'!at696-'[2]$ лето'!as696-'[2]$ лето'!ar696-'[2]$ лето'!aq696-'[2]$ лето'!ap696-'[2]$ лето'!an696-'[2]$ лето'!am696-'[2]$ лето'!al696-'[2]$ лето'!ak696-'[2]$ лето'!aj696-'[2]$ лето'!ah696-'[2]$ лето'!ag696-'[2]$ лето'!af696-'[2]$ лето'!ae696-'[2]$ лето'!ad696-'[2]$ лето'!ab696-'[2]$ лето'!aa696-'[2]$ лето'!z696-'[2]$ лето'!y696-'[2]$ лето'!x696-'[2]$ лето'!v696-'[2]$ лето'!u696-'[2]$ лето'!t696-'[2]$ лето'!s696-'[2]$ лето'!r696-'[2]$ лето'!p696-'[2]$ лето'!o696-'[2]$ лето'!n696-'[2]$ лето'!m696-'[2]$ лето'!l696+'[2]$ лето'!k696+'[2]$ лето'!q696+'[2]$ лето'!w696+'[2]$ лето'!ac696+'[2]$ лето'!ai696+'[2]$ лето'!ao696</f>
        <v>8</v>
      </c>
      <c r="I696" s="109" t="n">
        <f aca="false">'[2]$ лето'!ay696*1.1</f>
        <v>2987.6</v>
      </c>
      <c r="J696" s="85" t="n">
        <v>2017</v>
      </c>
    </row>
    <row r="697" customFormat="false" ht="15" hidden="false" customHeight="false" outlineLevel="0" collapsed="false">
      <c r="A697" s="115" t="s">
        <v>247</v>
      </c>
      <c r="B697" s="115" t="s">
        <v>593</v>
      </c>
      <c r="C697" s="116" t="s">
        <v>1286</v>
      </c>
      <c r="D697" s="116"/>
      <c r="E697" s="116"/>
      <c r="F697" s="116"/>
      <c r="G697" s="108" t="s">
        <v>911</v>
      </c>
      <c r="H697" s="105" t="n">
        <f aca="false">'[2]$ лето'!j697-'[2]$ лето'!au697-'[2]$ лето'!at697-'[2]$ лето'!as697-'[2]$ лето'!ar697-'[2]$ лето'!aq697-'[2]$ лето'!ap697-'[2]$ лето'!an697-'[2]$ лето'!am697-'[2]$ лето'!al697-'[2]$ лето'!ak697-'[2]$ лето'!aj697-'[2]$ лето'!ah697-'[2]$ лето'!ag697-'[2]$ лето'!af697-'[2]$ лето'!ae697-'[2]$ лето'!ad697-'[2]$ лето'!ab697-'[2]$ лето'!aa697-'[2]$ лето'!z697-'[2]$ лето'!y697-'[2]$ лето'!x697-'[2]$ лето'!v697-'[2]$ лето'!u697-'[2]$ лето'!t697-'[2]$ лето'!s697-'[2]$ лето'!r697-'[2]$ лето'!p697-'[2]$ лето'!o697-'[2]$ лето'!n697-'[2]$ лето'!m697-'[2]$ лето'!l697+'[2]$ лето'!k697+'[2]$ лето'!q697+'[2]$ лето'!w697+'[2]$ лето'!ac697+'[2]$ лето'!ai697+'[2]$ лето'!ao697</f>
        <v>4</v>
      </c>
      <c r="I697" s="109" t="n">
        <f aca="false">'[2]$ лето'!ay697*1.1</f>
        <v>3665.2</v>
      </c>
      <c r="J697" s="85" t="n">
        <v>2018</v>
      </c>
    </row>
    <row r="698" customFormat="false" ht="15" hidden="false" customHeight="false" outlineLevel="0" collapsed="false">
      <c r="A698" s="115" t="s">
        <v>247</v>
      </c>
      <c r="B698" s="115" t="s">
        <v>593</v>
      </c>
      <c r="C698" s="116" t="s">
        <v>1287</v>
      </c>
      <c r="D698" s="116"/>
      <c r="E698" s="116"/>
      <c r="F698" s="116"/>
      <c r="G698" s="108" t="s">
        <v>722</v>
      </c>
      <c r="H698" s="105" t="n">
        <f aca="false">'[2]$ лето'!j698-'[2]$ лето'!au698-'[2]$ лето'!at698-'[2]$ лето'!as698-'[2]$ лето'!ar698-'[2]$ лето'!aq698-'[2]$ лето'!ap698-'[2]$ лето'!an698-'[2]$ лето'!am698-'[2]$ лето'!al698-'[2]$ лето'!ak698-'[2]$ лето'!aj698-'[2]$ лето'!ah698-'[2]$ лето'!ag698-'[2]$ лето'!af698-'[2]$ лето'!ae698-'[2]$ лето'!ad698-'[2]$ лето'!ab698-'[2]$ лето'!aa698-'[2]$ лето'!z698-'[2]$ лето'!y698-'[2]$ лето'!x698-'[2]$ лето'!v698-'[2]$ лето'!u698-'[2]$ лето'!t698-'[2]$ лето'!s698-'[2]$ лето'!r698-'[2]$ лето'!p698-'[2]$ лето'!o698-'[2]$ лето'!n698-'[2]$ лето'!m698-'[2]$ лето'!l698+'[2]$ лето'!k698+'[2]$ лето'!q698+'[2]$ лето'!w698+'[2]$ лето'!ac698+'[2]$ лето'!ai698+'[2]$ лето'!ao698</f>
        <v>10</v>
      </c>
      <c r="I698" s="109" t="n">
        <f aca="false">'[2]$ лето'!ay698*1.1</f>
        <v>2926</v>
      </c>
      <c r="J698" s="85" t="n">
        <v>2016</v>
      </c>
    </row>
    <row r="699" customFormat="false" ht="15" hidden="false" customHeight="false" outlineLevel="0" collapsed="false">
      <c r="A699" s="115" t="s">
        <v>247</v>
      </c>
      <c r="B699" s="115" t="s">
        <v>593</v>
      </c>
      <c r="C699" s="107" t="s">
        <v>1288</v>
      </c>
      <c r="D699" s="107"/>
      <c r="E699" s="116"/>
      <c r="F699" s="116"/>
      <c r="G699" s="108" t="s">
        <v>911</v>
      </c>
      <c r="H699" s="105" t="n">
        <f aca="false">'[2]$ лето'!j699-'[2]$ лето'!au699-'[2]$ лето'!at699-'[2]$ лето'!as699-'[2]$ лето'!ar699-'[2]$ лето'!aq699-'[2]$ лето'!ap699-'[2]$ лето'!an699-'[2]$ лето'!am699-'[2]$ лето'!al699-'[2]$ лето'!ak699-'[2]$ лето'!aj699-'[2]$ лето'!ah699-'[2]$ лето'!ag699-'[2]$ лето'!af699-'[2]$ лето'!ae699-'[2]$ лето'!ad699-'[2]$ лето'!ab699-'[2]$ лето'!aa699-'[2]$ лето'!z699-'[2]$ лето'!y699-'[2]$ лето'!x699-'[2]$ лето'!v699-'[2]$ лето'!u699-'[2]$ лето'!t699-'[2]$ лето'!s699-'[2]$ лето'!r699-'[2]$ лето'!p699-'[2]$ лето'!o699-'[2]$ лето'!n699-'[2]$ лето'!m699-'[2]$ лето'!l699+'[2]$ лето'!k699+'[2]$ лето'!q699+'[2]$ лето'!w699+'[2]$ лето'!ac699+'[2]$ лето'!ai699+'[2]$ лето'!ao699</f>
        <v>4</v>
      </c>
      <c r="I699" s="109" t="n">
        <f aca="false">'[2]$ лето'!ay699*1.1</f>
        <v>3080</v>
      </c>
      <c r="J699" s="85" t="s">
        <v>1289</v>
      </c>
    </row>
    <row r="700" customFormat="false" ht="15" hidden="false" customHeight="false" outlineLevel="0" collapsed="false">
      <c r="A700" s="115" t="s">
        <v>247</v>
      </c>
      <c r="B700" s="115" t="s">
        <v>586</v>
      </c>
      <c r="C700" s="107" t="s">
        <v>1290</v>
      </c>
      <c r="D700" s="107"/>
      <c r="E700" s="116"/>
      <c r="F700" s="116"/>
      <c r="G700" s="108" t="s">
        <v>520</v>
      </c>
      <c r="H700" s="105" t="n">
        <f aca="false">'[2]$ лето'!j700-'[2]$ лето'!au700-'[2]$ лето'!at700-'[2]$ лето'!as700-'[2]$ лето'!ar700-'[2]$ лето'!aq700-'[2]$ лето'!ap700-'[2]$ лето'!an700-'[2]$ лето'!am700-'[2]$ лето'!al700-'[2]$ лето'!ak700-'[2]$ лето'!aj700-'[2]$ лето'!ah700-'[2]$ лето'!ag700-'[2]$ лето'!af700-'[2]$ лето'!ae700-'[2]$ лето'!ad700-'[2]$ лето'!ab700-'[2]$ лето'!aa700-'[2]$ лето'!z700-'[2]$ лето'!y700-'[2]$ лето'!x700-'[2]$ лето'!v700-'[2]$ лето'!u700-'[2]$ лето'!t700-'[2]$ лето'!s700-'[2]$ лето'!r700-'[2]$ лето'!p700-'[2]$ лето'!o700-'[2]$ лето'!n700-'[2]$ лето'!m700-'[2]$ лето'!l700+'[2]$ лето'!k700+'[2]$ лето'!q700+'[2]$ лето'!w700+'[2]$ лето'!ac700+'[2]$ лето'!ai700+'[2]$ лето'!ao700</f>
        <v>2</v>
      </c>
      <c r="I700" s="109" t="n">
        <f aca="false">'[2]$ лето'!ay700*1.1</f>
        <v>1262.8</v>
      </c>
      <c r="J700" s="85" t="n">
        <v>2018</v>
      </c>
    </row>
    <row r="701" customFormat="false" ht="15" hidden="true" customHeight="false" outlineLevel="0" collapsed="false">
      <c r="A701" s="115" t="s">
        <v>247</v>
      </c>
      <c r="B701" s="115" t="s">
        <v>615</v>
      </c>
      <c r="C701" s="107" t="s">
        <v>1291</v>
      </c>
      <c r="D701" s="107"/>
      <c r="E701" s="107"/>
      <c r="F701" s="107"/>
      <c r="G701" s="108"/>
      <c r="H701" s="105" t="n">
        <f aca="false">'[2]$ лето'!j701-'[2]$ лето'!au701-'[2]$ лето'!at701-'[2]$ лето'!as701-'[2]$ лето'!ar701-'[2]$ лето'!aq701-'[2]$ лето'!ap701-'[2]$ лето'!an701-'[2]$ лето'!am701-'[2]$ лето'!al701-'[2]$ лето'!ak701-'[2]$ лето'!aj701-'[2]$ лето'!ah701-'[2]$ лето'!ag701-'[2]$ лето'!af701-'[2]$ лето'!ae701-'[2]$ лето'!ad701-'[2]$ лето'!ab701-'[2]$ лето'!aa701-'[2]$ лето'!z701-'[2]$ лето'!y701-'[2]$ лето'!x701-'[2]$ лето'!v701-'[2]$ лето'!u701-'[2]$ лето'!t701-'[2]$ лето'!s701-'[2]$ лето'!r701-'[2]$ лето'!p701-'[2]$ лето'!o701-'[2]$ лето'!n701-'[2]$ лето'!m701-'[2]$ лето'!l701+'[2]$ лето'!k701+'[2]$ лето'!q701+'[2]$ лето'!w701+'[2]$ лето'!ac701+'[2]$ лето'!ai701+'[2]$ лето'!ao701</f>
        <v>0</v>
      </c>
      <c r="I701" s="109" t="n">
        <f aca="false">'[2]$ лето'!ay701*1.1</f>
        <v>1632.4</v>
      </c>
      <c r="J701" s="85" t="n">
        <v>2016</v>
      </c>
    </row>
    <row r="702" customFormat="false" ht="15" hidden="true" customHeight="false" outlineLevel="0" collapsed="false">
      <c r="A702" s="115" t="s">
        <v>247</v>
      </c>
      <c r="B702" s="115" t="s">
        <v>615</v>
      </c>
      <c r="C702" s="107" t="s">
        <v>1292</v>
      </c>
      <c r="D702" s="107"/>
      <c r="E702" s="107"/>
      <c r="F702" s="107"/>
      <c r="G702" s="108" t="s">
        <v>609</v>
      </c>
      <c r="H702" s="105" t="n">
        <f aca="false">'[2]$ лето'!j702-'[2]$ лето'!au702-'[2]$ лето'!at702-'[2]$ лето'!as702-'[2]$ лето'!ar702-'[2]$ лето'!aq702-'[2]$ лето'!ap702-'[2]$ лето'!an702-'[2]$ лето'!am702-'[2]$ лето'!al702-'[2]$ лето'!ak702-'[2]$ лето'!aj702-'[2]$ лето'!ah702-'[2]$ лето'!ag702-'[2]$ лето'!af702-'[2]$ лето'!ae702-'[2]$ лето'!ad702-'[2]$ лето'!ab702-'[2]$ лето'!aa702-'[2]$ лето'!z702-'[2]$ лето'!y702-'[2]$ лето'!x702-'[2]$ лето'!v702-'[2]$ лето'!u702-'[2]$ лето'!t702-'[2]$ лето'!s702-'[2]$ лето'!r702-'[2]$ лето'!p702-'[2]$ лето'!o702-'[2]$ лето'!n702-'[2]$ лето'!m702-'[2]$ лето'!l702+'[2]$ лето'!k702+'[2]$ лето'!q702+'[2]$ лето'!w702+'[2]$ лето'!ac702+'[2]$ лето'!ai702+'[2]$ лето'!ao702</f>
        <v>0</v>
      </c>
      <c r="I702" s="109" t="n">
        <f aca="false">'[2]$ лето'!ay702*1.1</f>
        <v>924</v>
      </c>
    </row>
    <row r="703" customFormat="false" ht="15" hidden="true" customHeight="false" outlineLevel="0" collapsed="false">
      <c r="A703" s="115" t="s">
        <v>247</v>
      </c>
      <c r="B703" s="115" t="s">
        <v>1214</v>
      </c>
      <c r="C703" s="107" t="s">
        <v>1293</v>
      </c>
      <c r="D703" s="107"/>
      <c r="E703" s="107"/>
      <c r="F703" s="107"/>
      <c r="G703" s="108"/>
      <c r="H703" s="105" t="n">
        <f aca="false">'[2]$ лето'!j703-'[2]$ лето'!au703-'[2]$ лето'!at703-'[2]$ лето'!as703-'[2]$ лето'!ar703-'[2]$ лето'!aq703-'[2]$ лето'!ap703-'[2]$ лето'!an703-'[2]$ лето'!am703-'[2]$ лето'!al703-'[2]$ лето'!ak703-'[2]$ лето'!aj703-'[2]$ лето'!ah703-'[2]$ лето'!ag703-'[2]$ лето'!af703-'[2]$ лето'!ae703-'[2]$ лето'!ad703-'[2]$ лето'!ab703-'[2]$ лето'!aa703-'[2]$ лето'!z703-'[2]$ лето'!y703-'[2]$ лето'!x703-'[2]$ лето'!v703-'[2]$ лето'!u703-'[2]$ лето'!t703-'[2]$ лето'!s703-'[2]$ лето'!r703-'[2]$ лето'!p703-'[2]$ лето'!o703-'[2]$ лето'!n703-'[2]$ лето'!m703-'[2]$ лето'!l703+'[2]$ лето'!k703+'[2]$ лето'!q703+'[2]$ лето'!w703+'[2]$ лето'!ac703+'[2]$ лето'!ai703+'[2]$ лето'!ao703</f>
        <v>0</v>
      </c>
      <c r="I703" s="109" t="n">
        <f aca="false">'[2]$ лето'!ay703*1.1</f>
        <v>1416.8</v>
      </c>
    </row>
    <row r="704" customFormat="false" ht="15" hidden="false" customHeight="false" outlineLevel="0" collapsed="false">
      <c r="A704" s="115" t="s">
        <v>247</v>
      </c>
      <c r="B704" s="115" t="s">
        <v>762</v>
      </c>
      <c r="C704" s="107" t="s">
        <v>1294</v>
      </c>
      <c r="D704" s="107"/>
      <c r="E704" s="116" t="n">
        <v>99</v>
      </c>
      <c r="F704" s="116" t="s">
        <v>832</v>
      </c>
      <c r="G704" s="108" t="s">
        <v>640</v>
      </c>
      <c r="H704" s="105" t="n">
        <f aca="false">'[2]$ лето'!j704-'[2]$ лето'!au704-'[2]$ лето'!at704-'[2]$ лето'!as704-'[2]$ лето'!ar704-'[2]$ лето'!aq704-'[2]$ лето'!ap704-'[2]$ лето'!an704-'[2]$ лето'!am704-'[2]$ лето'!al704-'[2]$ лето'!ak704-'[2]$ лето'!aj704-'[2]$ лето'!ah704-'[2]$ лето'!ag704-'[2]$ лето'!af704-'[2]$ лето'!ae704-'[2]$ лето'!ad704-'[2]$ лето'!ab704-'[2]$ лето'!aa704-'[2]$ лето'!z704-'[2]$ лето'!y704-'[2]$ лето'!x704-'[2]$ лето'!v704-'[2]$ лето'!u704-'[2]$ лето'!t704-'[2]$ лето'!s704-'[2]$ лето'!r704-'[2]$ лето'!p704-'[2]$ лето'!o704-'[2]$ лето'!n704-'[2]$ лето'!m704-'[2]$ лето'!l704+'[2]$ лето'!k704+'[2]$ лето'!q704+'[2]$ лето'!w704+'[2]$ лето'!ac704+'[2]$ лето'!ai704+'[2]$ лето'!ao704</f>
        <v>4</v>
      </c>
      <c r="I704" s="109" t="n">
        <f aca="false">'[2]$ лето'!ay704*1.1</f>
        <v>1755.6</v>
      </c>
      <c r="J704" s="85" t="n">
        <v>2018</v>
      </c>
    </row>
    <row r="705" customFormat="false" ht="15" hidden="false" customHeight="false" outlineLevel="0" collapsed="false">
      <c r="A705" s="115" t="s">
        <v>247</v>
      </c>
      <c r="B705" s="115" t="s">
        <v>833</v>
      </c>
      <c r="C705" s="116" t="s">
        <v>1293</v>
      </c>
      <c r="D705" s="116"/>
      <c r="E705" s="116"/>
      <c r="F705" s="116"/>
      <c r="G705" s="108"/>
      <c r="H705" s="105" t="n">
        <f aca="false">'[2]$ лето'!j705-'[2]$ лето'!au705-'[2]$ лето'!at705-'[2]$ лето'!as705-'[2]$ лето'!ar705-'[2]$ лето'!aq705-'[2]$ лето'!ap705-'[2]$ лето'!an705-'[2]$ лето'!am705-'[2]$ лето'!al705-'[2]$ лето'!ak705-'[2]$ лето'!aj705-'[2]$ лето'!ah705-'[2]$ лето'!ag705-'[2]$ лето'!af705-'[2]$ лето'!ae705-'[2]$ лето'!ad705-'[2]$ лето'!ab705-'[2]$ лето'!aa705-'[2]$ лето'!z705-'[2]$ лето'!y705-'[2]$ лето'!x705-'[2]$ лето'!v705-'[2]$ лето'!u705-'[2]$ лето'!t705-'[2]$ лето'!s705-'[2]$ лето'!r705-'[2]$ лето'!p705-'[2]$ лето'!o705-'[2]$ лето'!n705-'[2]$ лето'!m705-'[2]$ лето'!l705+'[2]$ лето'!k705+'[2]$ лето'!q705+'[2]$ лето'!w705+'[2]$ лето'!ac705+'[2]$ лето'!ai705+'[2]$ лето'!ao705</f>
        <v>4</v>
      </c>
      <c r="I705" s="109" t="n">
        <f aca="false">'[2]$ лето'!ay705*1.1</f>
        <v>1355.2</v>
      </c>
    </row>
    <row r="706" customFormat="false" ht="15" hidden="true" customHeight="false" outlineLevel="0" collapsed="false">
      <c r="A706" s="115" t="s">
        <v>247</v>
      </c>
      <c r="B706" s="115" t="s">
        <v>621</v>
      </c>
      <c r="C706" s="116" t="s">
        <v>1056</v>
      </c>
      <c r="D706" s="116"/>
      <c r="E706" s="116"/>
      <c r="F706" s="116"/>
      <c r="G706" s="108" t="s">
        <v>520</v>
      </c>
      <c r="H706" s="105" t="n">
        <f aca="false">'[2]$ лето'!j706-'[2]$ лето'!au706-'[2]$ лето'!at706-'[2]$ лето'!as706-'[2]$ лето'!ar706-'[2]$ лето'!aq706-'[2]$ лето'!ap706-'[2]$ лето'!an706-'[2]$ лето'!am706-'[2]$ лето'!al706-'[2]$ лето'!ak706-'[2]$ лето'!aj706-'[2]$ лето'!ah706-'[2]$ лето'!ag706-'[2]$ лето'!af706-'[2]$ лето'!ae706-'[2]$ лето'!ad706-'[2]$ лето'!ab706-'[2]$ лето'!aa706-'[2]$ лето'!z706-'[2]$ лето'!y706-'[2]$ лето'!x706-'[2]$ лето'!v706-'[2]$ лето'!u706-'[2]$ лето'!t706-'[2]$ лето'!s706-'[2]$ лето'!r706-'[2]$ лето'!p706-'[2]$ лето'!o706-'[2]$ лето'!n706-'[2]$ лето'!m706-'[2]$ лето'!l706+'[2]$ лето'!k706+'[2]$ лето'!q706+'[2]$ лето'!w706+'[2]$ лето'!ac706+'[2]$ лето'!ai706+'[2]$ лето'!ao706</f>
        <v>0</v>
      </c>
      <c r="I706" s="109" t="n">
        <f aca="false">'[2]$ лето'!ay706*1.1</f>
        <v>1324.4</v>
      </c>
    </row>
    <row r="707" customFormat="false" ht="15" hidden="false" customHeight="false" outlineLevel="0" collapsed="false">
      <c r="A707" s="115" t="s">
        <v>247</v>
      </c>
      <c r="B707" s="115" t="s">
        <v>623</v>
      </c>
      <c r="C707" s="116" t="s">
        <v>1293</v>
      </c>
      <c r="D707" s="116"/>
      <c r="E707" s="116"/>
      <c r="F707" s="116"/>
      <c r="G707" s="108"/>
      <c r="H707" s="105" t="n">
        <f aca="false">'[2]$ лето'!j707-'[2]$ лето'!au707-'[2]$ лето'!at707-'[2]$ лето'!as707-'[2]$ лето'!ar707-'[2]$ лето'!aq707-'[2]$ лето'!ap707-'[2]$ лето'!an707-'[2]$ лето'!am707-'[2]$ лето'!al707-'[2]$ лето'!ak707-'[2]$ лето'!aj707-'[2]$ лето'!ah707-'[2]$ лето'!ag707-'[2]$ лето'!af707-'[2]$ лето'!ae707-'[2]$ лето'!ad707-'[2]$ лето'!ab707-'[2]$ лето'!aa707-'[2]$ лето'!z707-'[2]$ лето'!y707-'[2]$ лето'!x707-'[2]$ лето'!v707-'[2]$ лето'!u707-'[2]$ лето'!t707-'[2]$ лето'!s707-'[2]$ лето'!r707-'[2]$ лето'!p707-'[2]$ лето'!o707-'[2]$ лето'!n707-'[2]$ лето'!m707-'[2]$ лето'!l707+'[2]$ лето'!k707+'[2]$ лето'!q707+'[2]$ лето'!w707+'[2]$ лето'!ac707+'[2]$ лето'!ai707+'[2]$ лето'!ao707</f>
        <v>2</v>
      </c>
      <c r="I707" s="109" t="n">
        <f aca="false">'[2]$ лето'!ay707*1.1</f>
        <v>1355.2</v>
      </c>
      <c r="J707" s="85" t="n">
        <v>2018</v>
      </c>
    </row>
    <row r="708" customFormat="false" ht="15" hidden="true" customHeight="false" outlineLevel="0" collapsed="false">
      <c r="A708" s="115" t="s">
        <v>247</v>
      </c>
      <c r="B708" s="115" t="s">
        <v>589</v>
      </c>
      <c r="C708" s="116" t="s">
        <v>1295</v>
      </c>
      <c r="D708" s="116"/>
      <c r="E708" s="116"/>
      <c r="F708" s="116"/>
      <c r="G708" s="108" t="s">
        <v>626</v>
      </c>
      <c r="H708" s="105" t="n">
        <f aca="false">'[2]$ лето'!j708-'[2]$ лето'!au708-'[2]$ лето'!at708-'[2]$ лето'!as708-'[2]$ лето'!ar708-'[2]$ лето'!aq708-'[2]$ лето'!ap708-'[2]$ лето'!an708-'[2]$ лето'!am708-'[2]$ лето'!al708-'[2]$ лето'!ak708-'[2]$ лето'!aj708-'[2]$ лето'!ah708-'[2]$ лето'!ag708-'[2]$ лето'!af708-'[2]$ лето'!ae708-'[2]$ лето'!ad708-'[2]$ лето'!ab708-'[2]$ лето'!aa708-'[2]$ лето'!z708-'[2]$ лето'!y708-'[2]$ лето'!x708-'[2]$ лето'!v708-'[2]$ лето'!u708-'[2]$ лето'!t708-'[2]$ лето'!s708-'[2]$ лето'!r708-'[2]$ лето'!p708-'[2]$ лето'!o708-'[2]$ лето'!n708-'[2]$ лето'!m708-'[2]$ лето'!l708+'[2]$ лето'!k708+'[2]$ лето'!q708+'[2]$ лето'!w708+'[2]$ лето'!ac708+'[2]$ лето'!ai708+'[2]$ лето'!ao708</f>
        <v>0</v>
      </c>
      <c r="I708" s="109" t="n">
        <f aca="false">'[2]$ лето'!ay708*1.1</f>
        <v>2156</v>
      </c>
    </row>
    <row r="709" customFormat="false" ht="15" hidden="false" customHeight="false" outlineLevel="0" collapsed="false">
      <c r="A709" s="115" t="s">
        <v>247</v>
      </c>
      <c r="B709" s="115" t="s">
        <v>589</v>
      </c>
      <c r="C709" s="116" t="s">
        <v>1296</v>
      </c>
      <c r="D709" s="116"/>
      <c r="E709" s="116"/>
      <c r="F709" s="116"/>
      <c r="G709" s="108" t="s">
        <v>626</v>
      </c>
      <c r="H709" s="105" t="n">
        <f aca="false">'[2]$ лето'!j709-'[2]$ лето'!au709-'[2]$ лето'!at709-'[2]$ лето'!as709-'[2]$ лето'!ar709-'[2]$ лето'!aq709-'[2]$ лето'!ap709-'[2]$ лето'!an709-'[2]$ лето'!am709-'[2]$ лето'!al709-'[2]$ лето'!ak709-'[2]$ лето'!aj709-'[2]$ лето'!ah709-'[2]$ лето'!ag709-'[2]$ лето'!af709-'[2]$ лето'!ae709-'[2]$ лето'!ad709-'[2]$ лето'!ab709-'[2]$ лето'!aa709-'[2]$ лето'!z709-'[2]$ лето'!y709-'[2]$ лето'!x709-'[2]$ лето'!v709-'[2]$ лето'!u709-'[2]$ лето'!t709-'[2]$ лето'!s709-'[2]$ лето'!r709-'[2]$ лето'!p709-'[2]$ лето'!o709-'[2]$ лето'!n709-'[2]$ лето'!m709-'[2]$ лето'!l709+'[2]$ лето'!k709+'[2]$ лето'!q709+'[2]$ лето'!w709+'[2]$ лето'!ac709+'[2]$ лето'!ai709+'[2]$ лето'!ao709</f>
        <v>2</v>
      </c>
      <c r="I709" s="109" t="n">
        <f aca="false">'[2]$ лето'!ay709*1.1</f>
        <v>2124.32</v>
      </c>
      <c r="J709" s="85" t="n">
        <v>2017</v>
      </c>
    </row>
    <row r="710" customFormat="false" ht="15" hidden="true" customHeight="false" outlineLevel="0" collapsed="false">
      <c r="A710" s="115" t="s">
        <v>247</v>
      </c>
      <c r="B710" s="115" t="s">
        <v>589</v>
      </c>
      <c r="C710" s="116" t="s">
        <v>1297</v>
      </c>
      <c r="D710" s="116"/>
      <c r="E710" s="116"/>
      <c r="F710" s="116"/>
      <c r="G710" s="108" t="s">
        <v>626</v>
      </c>
      <c r="H710" s="105" t="n">
        <f aca="false">'[2]$ лето'!j710-'[2]$ лето'!au710-'[2]$ лето'!at710-'[2]$ лето'!as710-'[2]$ лето'!ar710-'[2]$ лето'!aq710-'[2]$ лето'!ap710-'[2]$ лето'!an710-'[2]$ лето'!am710-'[2]$ лето'!al710-'[2]$ лето'!ak710-'[2]$ лето'!aj710-'[2]$ лето'!ah710-'[2]$ лето'!ag710-'[2]$ лето'!af710-'[2]$ лето'!ae710-'[2]$ лето'!ad710-'[2]$ лето'!ab710-'[2]$ лето'!aa710-'[2]$ лето'!z710-'[2]$ лето'!y710-'[2]$ лето'!x710-'[2]$ лето'!v710-'[2]$ лето'!u710-'[2]$ лето'!t710-'[2]$ лето'!s710-'[2]$ лето'!r710-'[2]$ лето'!p710-'[2]$ лето'!o710-'[2]$ лето'!n710-'[2]$ лето'!m710-'[2]$ лето'!l710+'[2]$ лето'!k710+'[2]$ лето'!q710+'[2]$ лето'!w710+'[2]$ лето'!ac710+'[2]$ лето'!ai710+'[2]$ лето'!ao710</f>
        <v>0</v>
      </c>
      <c r="I710" s="109" t="n">
        <f aca="false">'[2]$ лето'!ay710*1.1</f>
        <v>2279.2</v>
      </c>
      <c r="J710" s="85" t="n">
        <v>2017</v>
      </c>
    </row>
    <row r="711" customFormat="false" ht="15" hidden="true" customHeight="false" outlineLevel="0" collapsed="false">
      <c r="A711" s="115" t="s">
        <v>247</v>
      </c>
      <c r="B711" s="115" t="s">
        <v>564</v>
      </c>
      <c r="C711" s="116" t="s">
        <v>1298</v>
      </c>
      <c r="D711" s="116"/>
      <c r="E711" s="116"/>
      <c r="F711" s="116"/>
      <c r="G711" s="108" t="s">
        <v>520</v>
      </c>
      <c r="H711" s="105" t="n">
        <f aca="false">'[2]$ лето'!j711-'[2]$ лето'!au711-'[2]$ лето'!at711-'[2]$ лето'!as711-'[2]$ лето'!ar711-'[2]$ лето'!aq711-'[2]$ лето'!ap711-'[2]$ лето'!an711-'[2]$ лето'!am711-'[2]$ лето'!al711-'[2]$ лето'!ak711-'[2]$ лето'!aj711-'[2]$ лето'!ah711-'[2]$ лето'!ag711-'[2]$ лето'!af711-'[2]$ лето'!ae711-'[2]$ лето'!ad711-'[2]$ лето'!ab711-'[2]$ лето'!aa711-'[2]$ лето'!z711-'[2]$ лето'!y711-'[2]$ лето'!x711-'[2]$ лето'!v711-'[2]$ лето'!u711-'[2]$ лето'!t711-'[2]$ лето'!s711-'[2]$ лето'!r711-'[2]$ лето'!p711-'[2]$ лето'!o711-'[2]$ лето'!n711-'[2]$ лето'!m711-'[2]$ лето'!l711+'[2]$ лето'!k711+'[2]$ лето'!q711+'[2]$ лето'!w711+'[2]$ лето'!ac711+'[2]$ лето'!ai711+'[2]$ лето'!ao711</f>
        <v>0</v>
      </c>
      <c r="I711" s="109" t="n">
        <f aca="false">'[2]$ лето'!ay711*1.1</f>
        <v>1416.8</v>
      </c>
      <c r="J711" s="85" t="n">
        <v>2017</v>
      </c>
    </row>
    <row r="712" customFormat="false" ht="15" hidden="true" customHeight="false" outlineLevel="0" collapsed="false">
      <c r="A712" s="115" t="s">
        <v>247</v>
      </c>
      <c r="B712" s="115" t="s">
        <v>981</v>
      </c>
      <c r="C712" s="107" t="s">
        <v>1299</v>
      </c>
      <c r="D712" s="107"/>
      <c r="E712" s="107"/>
      <c r="F712" s="107"/>
      <c r="G712" s="108"/>
      <c r="H712" s="105" t="n">
        <f aca="false">'[2]$ лето'!j712-'[2]$ лето'!au712-'[2]$ лето'!at712-'[2]$ лето'!as712-'[2]$ лето'!ar712-'[2]$ лето'!aq712-'[2]$ лето'!ap712-'[2]$ лето'!an712-'[2]$ лето'!am712-'[2]$ лето'!al712-'[2]$ лето'!ak712-'[2]$ лето'!aj712-'[2]$ лето'!ah712-'[2]$ лето'!ag712-'[2]$ лето'!af712-'[2]$ лето'!ae712-'[2]$ лето'!ad712-'[2]$ лето'!ab712-'[2]$ лето'!aa712-'[2]$ лето'!z712-'[2]$ лето'!y712-'[2]$ лето'!x712-'[2]$ лето'!v712-'[2]$ лето'!u712-'[2]$ лето'!t712-'[2]$ лето'!s712-'[2]$ лето'!r712-'[2]$ лето'!p712-'[2]$ лето'!o712-'[2]$ лето'!n712-'[2]$ лето'!m712-'[2]$ лето'!l712+'[2]$ лето'!k712+'[2]$ лето'!q712+'[2]$ лето'!w712+'[2]$ лето'!ac712+'[2]$ лето'!ai712+'[2]$ лето'!ao712</f>
        <v>0</v>
      </c>
      <c r="I712" s="109" t="n">
        <f aca="false">'[2]$ лето'!ay712*1.1</f>
        <v>2279.2</v>
      </c>
    </row>
    <row r="713" customFormat="false" ht="15" hidden="false" customHeight="false" outlineLevel="0" collapsed="false">
      <c r="A713" s="115" t="s">
        <v>251</v>
      </c>
      <c r="B713" s="115" t="s">
        <v>1300</v>
      </c>
      <c r="C713" s="116" t="s">
        <v>1301</v>
      </c>
      <c r="D713" s="116"/>
      <c r="E713" s="116"/>
      <c r="F713" s="116"/>
      <c r="G713" s="108"/>
      <c r="H713" s="105" t="n">
        <f aca="false">'[2]$ лето'!j713-'[2]$ лето'!au713-'[2]$ лето'!at713-'[2]$ лето'!as713-'[2]$ лето'!ar713-'[2]$ лето'!aq713-'[2]$ лето'!ap713-'[2]$ лето'!an713-'[2]$ лето'!am713-'[2]$ лето'!al713-'[2]$ лето'!ak713-'[2]$ лето'!aj713-'[2]$ лето'!ah713-'[2]$ лето'!ag713-'[2]$ лето'!af713-'[2]$ лето'!ae713-'[2]$ лето'!ad713-'[2]$ лето'!ab713-'[2]$ лето'!aa713-'[2]$ лето'!z713-'[2]$ лето'!y713-'[2]$ лето'!x713-'[2]$ лето'!v713-'[2]$ лето'!u713-'[2]$ лето'!t713-'[2]$ лето'!s713-'[2]$ лето'!r713-'[2]$ лето'!p713-'[2]$ лето'!o713-'[2]$ лето'!n713-'[2]$ лето'!m713-'[2]$ лето'!l713+'[2]$ лето'!k713+'[2]$ лето'!q713+'[2]$ лето'!w713+'[2]$ лето'!ac713+'[2]$ лето'!ai713+'[2]$ лето'!ao713</f>
        <v>2</v>
      </c>
      <c r="I713" s="109" t="n">
        <f aca="false">'[2]$ лето'!ay713*1.1</f>
        <v>1232</v>
      </c>
    </row>
    <row r="714" customFormat="false" ht="15" hidden="false" customHeight="false" outlineLevel="0" collapsed="false">
      <c r="A714" s="115" t="s">
        <v>251</v>
      </c>
      <c r="B714" s="123" t="s">
        <v>568</v>
      </c>
      <c r="C714" s="116" t="s">
        <v>1302</v>
      </c>
      <c r="D714" s="116"/>
      <c r="E714" s="116"/>
      <c r="F714" s="116"/>
      <c r="G714" s="108" t="s">
        <v>1303</v>
      </c>
      <c r="H714" s="105" t="n">
        <f aca="false">'[2]$ лето'!j714-'[2]$ лето'!au714-'[2]$ лето'!at714-'[2]$ лето'!as714-'[2]$ лето'!ar714-'[2]$ лето'!aq714-'[2]$ лето'!ap714-'[2]$ лето'!an714-'[2]$ лето'!am714-'[2]$ лето'!al714-'[2]$ лето'!ak714-'[2]$ лето'!aj714-'[2]$ лето'!ah714-'[2]$ лето'!ag714-'[2]$ лето'!af714-'[2]$ лето'!ae714-'[2]$ лето'!ad714-'[2]$ лето'!ab714-'[2]$ лето'!aa714-'[2]$ лето'!z714-'[2]$ лето'!y714-'[2]$ лето'!x714-'[2]$ лето'!v714-'[2]$ лето'!u714-'[2]$ лето'!t714-'[2]$ лето'!s714-'[2]$ лето'!r714-'[2]$ лето'!p714-'[2]$ лето'!o714-'[2]$ лето'!n714-'[2]$ лето'!m714-'[2]$ лето'!l714+'[2]$ лето'!k714+'[2]$ лето'!q714+'[2]$ лето'!w714+'[2]$ лето'!ac714+'[2]$ лето'!ai714+'[2]$ лето'!ao714</f>
        <v>4</v>
      </c>
      <c r="I714" s="109" t="n">
        <f aca="false">'[2]$ лето'!ay714*1.1</f>
        <v>2002</v>
      </c>
      <c r="J714" s="85" t="n">
        <v>2017</v>
      </c>
    </row>
    <row r="715" customFormat="false" ht="15" hidden="false" customHeight="false" outlineLevel="0" collapsed="false">
      <c r="A715" s="115" t="s">
        <v>251</v>
      </c>
      <c r="B715" s="115" t="s">
        <v>601</v>
      </c>
      <c r="C715" s="116" t="s">
        <v>1304</v>
      </c>
      <c r="D715" s="116"/>
      <c r="E715" s="116"/>
      <c r="F715" s="116"/>
      <c r="G715" s="108" t="s">
        <v>911</v>
      </c>
      <c r="H715" s="105" t="n">
        <f aca="false">'[2]$ лето'!j715-'[2]$ лето'!au715-'[2]$ лето'!at715-'[2]$ лето'!as715-'[2]$ лето'!ar715-'[2]$ лето'!aq715-'[2]$ лето'!ap715-'[2]$ лето'!an715-'[2]$ лето'!am715-'[2]$ лето'!al715-'[2]$ лето'!ak715-'[2]$ лето'!aj715-'[2]$ лето'!ah715-'[2]$ лето'!ag715-'[2]$ лето'!af715-'[2]$ лето'!ae715-'[2]$ лето'!ad715-'[2]$ лето'!ab715-'[2]$ лето'!aa715-'[2]$ лето'!z715-'[2]$ лето'!y715-'[2]$ лето'!x715-'[2]$ лето'!v715-'[2]$ лето'!u715-'[2]$ лето'!t715-'[2]$ лето'!s715-'[2]$ лето'!r715-'[2]$ лето'!p715-'[2]$ лето'!o715-'[2]$ лето'!n715-'[2]$ лето'!m715-'[2]$ лето'!l715+'[2]$ лето'!k715+'[2]$ лето'!q715+'[2]$ лето'!w715+'[2]$ лето'!ac715+'[2]$ лето'!ai715+'[2]$ лето'!ao715</f>
        <v>4</v>
      </c>
      <c r="I715" s="109" t="n">
        <f aca="false">'[2]$ лето'!ay715*1.1</f>
        <v>2464</v>
      </c>
      <c r="J715" s="85" t="n">
        <v>2018</v>
      </c>
    </row>
    <row r="716" customFormat="false" ht="15" hidden="false" customHeight="false" outlineLevel="0" collapsed="false">
      <c r="A716" s="115" t="s">
        <v>251</v>
      </c>
      <c r="B716" s="115" t="s">
        <v>601</v>
      </c>
      <c r="C716" s="116" t="s">
        <v>1305</v>
      </c>
      <c r="D716" s="116"/>
      <c r="E716" s="116"/>
      <c r="F716" s="116"/>
      <c r="G716" s="145"/>
      <c r="H716" s="105" t="n">
        <f aca="false">'[2]$ лето'!j716-'[2]$ лето'!au716-'[2]$ лето'!at716-'[2]$ лето'!as716-'[2]$ лето'!ar716-'[2]$ лето'!aq716-'[2]$ лето'!ap716-'[2]$ лето'!an716-'[2]$ лето'!am716-'[2]$ лето'!al716-'[2]$ лето'!ak716-'[2]$ лето'!aj716-'[2]$ лето'!ah716-'[2]$ лето'!ag716-'[2]$ лето'!af716-'[2]$ лето'!ae716-'[2]$ лето'!ad716-'[2]$ лето'!ab716-'[2]$ лето'!aa716-'[2]$ лето'!z716-'[2]$ лето'!y716-'[2]$ лето'!x716-'[2]$ лето'!v716-'[2]$ лето'!u716-'[2]$ лето'!t716-'[2]$ лето'!s716-'[2]$ лето'!r716-'[2]$ лето'!p716-'[2]$ лето'!o716-'[2]$ лето'!n716-'[2]$ лето'!m716-'[2]$ лето'!l716+'[2]$ лето'!k716+'[2]$ лето'!q716+'[2]$ лето'!w716+'[2]$ лето'!ac716+'[2]$ лето'!ai716+'[2]$ лето'!ao716</f>
        <v>6</v>
      </c>
      <c r="I716" s="109" t="n">
        <f aca="false">'[2]$ лето'!ay716*1.1</f>
        <v>1947</v>
      </c>
      <c r="J716" s="146"/>
    </row>
    <row r="717" customFormat="false" ht="15" hidden="false" customHeight="false" outlineLevel="0" collapsed="false">
      <c r="A717" s="115" t="s">
        <v>251</v>
      </c>
      <c r="B717" s="115" t="s">
        <v>601</v>
      </c>
      <c r="C717" s="116" t="s">
        <v>1306</v>
      </c>
      <c r="D717" s="116"/>
      <c r="E717" s="116"/>
      <c r="F717" s="116"/>
      <c r="G717" s="145" t="s">
        <v>935</v>
      </c>
      <c r="H717" s="105" t="n">
        <f aca="false">'[2]$ лето'!j717-'[2]$ лето'!au717-'[2]$ лето'!at717-'[2]$ лето'!as717-'[2]$ лето'!ar717-'[2]$ лето'!aq717-'[2]$ лето'!ap717-'[2]$ лето'!an717-'[2]$ лето'!am717-'[2]$ лето'!al717-'[2]$ лето'!ak717-'[2]$ лето'!aj717-'[2]$ лето'!ah717-'[2]$ лето'!ag717-'[2]$ лето'!af717-'[2]$ лето'!ae717-'[2]$ лето'!ad717-'[2]$ лето'!ab717-'[2]$ лето'!aa717-'[2]$ лето'!z717-'[2]$ лето'!y717-'[2]$ лето'!x717-'[2]$ лето'!v717-'[2]$ лето'!u717-'[2]$ лето'!t717-'[2]$ лето'!s717-'[2]$ лето'!r717-'[2]$ лето'!p717-'[2]$ лето'!o717-'[2]$ лето'!n717-'[2]$ лето'!m717-'[2]$ лето'!l717+'[2]$ лето'!k717+'[2]$ лето'!q717+'[2]$ лето'!w717+'[2]$ лето'!ac717+'[2]$ лето'!ai717+'[2]$ лето'!ao717</f>
        <v>4</v>
      </c>
      <c r="I717" s="109" t="n">
        <f aca="false">'[2]$ лето'!ay717*1.1</f>
        <v>2464</v>
      </c>
      <c r="J717" s="146" t="n">
        <v>2017</v>
      </c>
    </row>
    <row r="718" customFormat="false" ht="15" hidden="false" customHeight="false" outlineLevel="0" collapsed="false">
      <c r="A718" s="115" t="s">
        <v>251</v>
      </c>
      <c r="B718" s="115" t="s">
        <v>658</v>
      </c>
      <c r="C718" s="116" t="s">
        <v>1307</v>
      </c>
      <c r="D718" s="116"/>
      <c r="E718" s="116"/>
      <c r="F718" s="116"/>
      <c r="G718" s="145" t="s">
        <v>933</v>
      </c>
      <c r="H718" s="105" t="n">
        <f aca="false">'[2]$ лето'!j718-'[2]$ лето'!au718-'[2]$ лето'!at718-'[2]$ лето'!as718-'[2]$ лето'!ar718-'[2]$ лето'!aq718-'[2]$ лето'!ap718-'[2]$ лето'!an718-'[2]$ лето'!am718-'[2]$ лето'!al718-'[2]$ лето'!ak718-'[2]$ лето'!aj718-'[2]$ лето'!ah718-'[2]$ лето'!ag718-'[2]$ лето'!af718-'[2]$ лето'!ae718-'[2]$ лето'!ad718-'[2]$ лето'!ab718-'[2]$ лето'!aa718-'[2]$ лето'!z718-'[2]$ лето'!y718-'[2]$ лето'!x718-'[2]$ лето'!v718-'[2]$ лето'!u718-'[2]$ лето'!t718-'[2]$ лето'!s718-'[2]$ лето'!r718-'[2]$ лето'!p718-'[2]$ лето'!o718-'[2]$ лето'!n718-'[2]$ лето'!m718-'[2]$ лето'!l718+'[2]$ лето'!k718+'[2]$ лето'!q718+'[2]$ лето'!w718+'[2]$ лето'!ac718+'[2]$ лето'!ai718+'[2]$ лето'!ao718</f>
        <v>4</v>
      </c>
      <c r="I718" s="109" t="n">
        <f aca="false">'[2]$ лето'!ay718*1.1</f>
        <v>2772</v>
      </c>
      <c r="J718" s="146" t="n">
        <v>2018</v>
      </c>
    </row>
    <row r="719" customFormat="false" ht="15" hidden="true" customHeight="false" outlineLevel="0" collapsed="false">
      <c r="A719" s="115" t="s">
        <v>251</v>
      </c>
      <c r="B719" s="115" t="s">
        <v>707</v>
      </c>
      <c r="C719" s="116" t="s">
        <v>1308</v>
      </c>
      <c r="D719" s="116"/>
      <c r="E719" s="116"/>
      <c r="F719" s="116"/>
      <c r="G719" s="108"/>
      <c r="H719" s="105" t="n">
        <f aca="false">'[2]$ лето'!j719-'[2]$ лето'!au719-'[2]$ лето'!at719-'[2]$ лето'!as719-'[2]$ лето'!ar719-'[2]$ лето'!aq719-'[2]$ лето'!ap719-'[2]$ лето'!an719-'[2]$ лето'!am719-'[2]$ лето'!al719-'[2]$ лето'!ak719-'[2]$ лето'!aj719-'[2]$ лето'!ah719-'[2]$ лето'!ag719-'[2]$ лето'!af719-'[2]$ лето'!ae719-'[2]$ лето'!ad719-'[2]$ лето'!ab719-'[2]$ лето'!aa719-'[2]$ лето'!z719-'[2]$ лето'!y719-'[2]$ лето'!x719-'[2]$ лето'!v719-'[2]$ лето'!u719-'[2]$ лето'!t719-'[2]$ лето'!s719-'[2]$ лето'!r719-'[2]$ лето'!p719-'[2]$ лето'!o719-'[2]$ лето'!n719-'[2]$ лето'!m719-'[2]$ лето'!l719+'[2]$ лето'!k719+'[2]$ лето'!q719+'[2]$ лето'!w719+'[2]$ лето'!ac719+'[2]$ лето'!ai719+'[2]$ лето'!ao719</f>
        <v>0</v>
      </c>
      <c r="I719" s="109" t="n">
        <f aca="false">'[2]$ лето'!ay719*1.1</f>
        <v>3141.6</v>
      </c>
    </row>
    <row r="720" customFormat="false" ht="15" hidden="true" customHeight="false" outlineLevel="0" collapsed="false">
      <c r="A720" s="115" t="s">
        <v>251</v>
      </c>
      <c r="B720" s="115" t="s">
        <v>553</v>
      </c>
      <c r="C720" s="107" t="s">
        <v>710</v>
      </c>
      <c r="D720" s="107"/>
      <c r="E720" s="107"/>
      <c r="F720" s="107"/>
      <c r="G720" s="108"/>
      <c r="H720" s="105" t="n">
        <f aca="false">'[2]$ лето'!j720-'[2]$ лето'!au720-'[2]$ лето'!at720-'[2]$ лето'!as720-'[2]$ лето'!ar720-'[2]$ лето'!aq720-'[2]$ лето'!ap720-'[2]$ лето'!an720-'[2]$ лето'!am720-'[2]$ лето'!al720-'[2]$ лето'!ak720-'[2]$ лето'!aj720-'[2]$ лето'!ah720-'[2]$ лето'!ag720-'[2]$ лето'!af720-'[2]$ лето'!ae720-'[2]$ лето'!ad720-'[2]$ лето'!ab720-'[2]$ лето'!aa720-'[2]$ лето'!z720-'[2]$ лето'!y720-'[2]$ лето'!x720-'[2]$ лето'!v720-'[2]$ лето'!u720-'[2]$ лето'!t720-'[2]$ лето'!s720-'[2]$ лето'!r720-'[2]$ лето'!p720-'[2]$ лето'!o720-'[2]$ лето'!n720-'[2]$ лето'!m720-'[2]$ лето'!l720+'[2]$ лето'!k720+'[2]$ лето'!q720+'[2]$ лето'!w720+'[2]$ лето'!ac720+'[2]$ лето'!ai720+'[2]$ лето'!ao720</f>
        <v>0</v>
      </c>
      <c r="I720" s="109" t="n">
        <f aca="false">'[2]$ лето'!ay720*1.1</f>
        <v>2772</v>
      </c>
    </row>
    <row r="721" customFormat="false" ht="15" hidden="false" customHeight="false" outlineLevel="0" collapsed="false">
      <c r="A721" s="115" t="s">
        <v>251</v>
      </c>
      <c r="B721" s="115" t="s">
        <v>604</v>
      </c>
      <c r="C721" s="107" t="s">
        <v>1309</v>
      </c>
      <c r="D721" s="107"/>
      <c r="E721" s="116"/>
      <c r="F721" s="116"/>
      <c r="G721" s="108" t="s">
        <v>585</v>
      </c>
      <c r="H721" s="105" t="n">
        <f aca="false">'[2]$ лето'!j721-'[2]$ лето'!au721-'[2]$ лето'!at721-'[2]$ лето'!as721-'[2]$ лето'!ar721-'[2]$ лето'!aq721-'[2]$ лето'!ap721-'[2]$ лето'!an721-'[2]$ лето'!am721-'[2]$ лето'!al721-'[2]$ лето'!ak721-'[2]$ лето'!aj721-'[2]$ лето'!ah721-'[2]$ лето'!ag721-'[2]$ лето'!af721-'[2]$ лето'!ae721-'[2]$ лето'!ad721-'[2]$ лето'!ab721-'[2]$ лето'!aa721-'[2]$ лето'!z721-'[2]$ лето'!y721-'[2]$ лето'!x721-'[2]$ лето'!v721-'[2]$ лето'!u721-'[2]$ лето'!t721-'[2]$ лето'!s721-'[2]$ лето'!r721-'[2]$ лето'!p721-'[2]$ лето'!o721-'[2]$ лето'!n721-'[2]$ лето'!m721-'[2]$ лето'!l721+'[2]$ лето'!k721+'[2]$ лето'!q721+'[2]$ лето'!w721+'[2]$ лето'!ac721+'[2]$ лето'!ai721+'[2]$ лето'!ao721</f>
        <v>2</v>
      </c>
      <c r="I721" s="109" t="n">
        <f aca="false">'[2]$ лето'!ay721*1.1</f>
        <v>2186.8</v>
      </c>
      <c r="J721" s="85" t="n">
        <v>2018</v>
      </c>
    </row>
    <row r="722" customFormat="false" ht="15" hidden="false" customHeight="false" outlineLevel="0" collapsed="false">
      <c r="A722" s="115" t="s">
        <v>251</v>
      </c>
      <c r="B722" s="115" t="s">
        <v>606</v>
      </c>
      <c r="C722" s="107" t="s">
        <v>1310</v>
      </c>
      <c r="D722" s="107"/>
      <c r="E722" s="116"/>
      <c r="F722" s="116"/>
      <c r="G722" s="108" t="s">
        <v>849</v>
      </c>
      <c r="H722" s="105" t="n">
        <f aca="false">'[2]$ лето'!j722-'[2]$ лето'!au722-'[2]$ лето'!at722-'[2]$ лето'!as722-'[2]$ лето'!ar722-'[2]$ лето'!aq722-'[2]$ лето'!ap722-'[2]$ лето'!an722-'[2]$ лето'!am722-'[2]$ лето'!al722-'[2]$ лето'!ak722-'[2]$ лето'!aj722-'[2]$ лето'!ah722-'[2]$ лето'!ag722-'[2]$ лето'!af722-'[2]$ лето'!ae722-'[2]$ лето'!ad722-'[2]$ лето'!ab722-'[2]$ лето'!aa722-'[2]$ лето'!z722-'[2]$ лето'!y722-'[2]$ лето'!x722-'[2]$ лето'!v722-'[2]$ лето'!u722-'[2]$ лето'!t722-'[2]$ лето'!s722-'[2]$ лето'!r722-'[2]$ лето'!p722-'[2]$ лето'!o722-'[2]$ лето'!n722-'[2]$ лето'!m722-'[2]$ лето'!l722+'[2]$ лето'!k722+'[2]$ лето'!q722+'[2]$ лето'!w722+'[2]$ лето'!ac722+'[2]$ лето'!ai722+'[2]$ лето'!ao722</f>
        <v>2</v>
      </c>
      <c r="I722" s="109" t="n">
        <f aca="false">'[2]$ лето'!ay722*1.1</f>
        <v>2402.4</v>
      </c>
      <c r="J722" s="85" t="n">
        <v>2017</v>
      </c>
    </row>
    <row r="723" customFormat="false" ht="15" hidden="false" customHeight="false" outlineLevel="0" collapsed="false">
      <c r="A723" s="115" t="s">
        <v>251</v>
      </c>
      <c r="B723" s="115" t="s">
        <v>606</v>
      </c>
      <c r="C723" s="107" t="s">
        <v>1311</v>
      </c>
      <c r="D723" s="107"/>
      <c r="E723" s="116"/>
      <c r="F723" s="116"/>
      <c r="G723" s="108" t="s">
        <v>849</v>
      </c>
      <c r="H723" s="105" t="n">
        <f aca="false">'[2]$ лето'!j723-'[2]$ лето'!au723-'[2]$ лето'!at723-'[2]$ лето'!as723-'[2]$ лето'!ar723-'[2]$ лето'!aq723-'[2]$ лето'!ap723-'[2]$ лето'!an723-'[2]$ лето'!am723-'[2]$ лето'!al723-'[2]$ лето'!ak723-'[2]$ лето'!aj723-'[2]$ лето'!ah723-'[2]$ лето'!ag723-'[2]$ лето'!af723-'[2]$ лето'!ae723-'[2]$ лето'!ad723-'[2]$ лето'!ab723-'[2]$ лето'!aa723-'[2]$ лето'!z723-'[2]$ лето'!y723-'[2]$ лето'!x723-'[2]$ лето'!v723-'[2]$ лето'!u723-'[2]$ лето'!t723-'[2]$ лето'!s723-'[2]$ лето'!r723-'[2]$ лето'!p723-'[2]$ лето'!o723-'[2]$ лето'!n723-'[2]$ лето'!m723-'[2]$ лето'!l723+'[2]$ лето'!k723+'[2]$ лето'!q723+'[2]$ лето'!w723+'[2]$ лето'!ac723+'[2]$ лето'!ai723+'[2]$ лето'!ao723</f>
        <v>2</v>
      </c>
      <c r="I723" s="109" t="n">
        <f aca="false">'[2]$ лето'!ay723*1.1</f>
        <v>2156</v>
      </c>
      <c r="J723" s="85" t="n">
        <v>2017</v>
      </c>
    </row>
    <row r="724" customFormat="false" ht="15" hidden="false" customHeight="false" outlineLevel="0" collapsed="false">
      <c r="A724" s="115" t="s">
        <v>251</v>
      </c>
      <c r="B724" s="115" t="s">
        <v>668</v>
      </c>
      <c r="C724" s="116" t="s">
        <v>1312</v>
      </c>
      <c r="D724" s="116"/>
      <c r="E724" s="116"/>
      <c r="F724" s="116"/>
      <c r="G724" s="108" t="s">
        <v>609</v>
      </c>
      <c r="H724" s="105" t="n">
        <f aca="false">'[2]$ лето'!j724-'[2]$ лето'!au724-'[2]$ лето'!at724-'[2]$ лето'!as724-'[2]$ лето'!ar724-'[2]$ лето'!aq724-'[2]$ лето'!ap724-'[2]$ лето'!an724-'[2]$ лето'!am724-'[2]$ лето'!al724-'[2]$ лето'!ak724-'[2]$ лето'!aj724-'[2]$ лето'!ah724-'[2]$ лето'!ag724-'[2]$ лето'!af724-'[2]$ лето'!ae724-'[2]$ лето'!ad724-'[2]$ лето'!ab724-'[2]$ лето'!aa724-'[2]$ лето'!z724-'[2]$ лето'!y724-'[2]$ лето'!x724-'[2]$ лето'!v724-'[2]$ лето'!u724-'[2]$ лето'!t724-'[2]$ лето'!s724-'[2]$ лето'!r724-'[2]$ лето'!p724-'[2]$ лето'!o724-'[2]$ лето'!n724-'[2]$ лето'!m724-'[2]$ лето'!l724+'[2]$ лето'!k724+'[2]$ лето'!q724+'[2]$ лето'!w724+'[2]$ лето'!ac724+'[2]$ лето'!ai724+'[2]$ лето'!ao724</f>
        <v>4</v>
      </c>
      <c r="I724" s="109" t="n">
        <f aca="false">'[2]$ лето'!ay724*1.1</f>
        <v>2145</v>
      </c>
      <c r="J724" s="85" t="n">
        <v>2017</v>
      </c>
    </row>
    <row r="725" customFormat="false" ht="15" hidden="true" customHeight="false" outlineLevel="0" collapsed="false">
      <c r="A725" s="115" t="s">
        <v>251</v>
      </c>
      <c r="B725" s="115" t="s">
        <v>668</v>
      </c>
      <c r="C725" s="107" t="s">
        <v>1313</v>
      </c>
      <c r="D725" s="107"/>
      <c r="E725" s="107"/>
      <c r="F725" s="107"/>
      <c r="G725" s="108" t="s">
        <v>609</v>
      </c>
      <c r="H725" s="105" t="n">
        <f aca="false">'[2]$ лето'!j725-'[2]$ лето'!au725-'[2]$ лето'!at725-'[2]$ лето'!as725-'[2]$ лето'!ar725-'[2]$ лето'!aq725-'[2]$ лето'!ap725-'[2]$ лето'!an725-'[2]$ лето'!am725-'[2]$ лето'!al725-'[2]$ лето'!ak725-'[2]$ лето'!aj725-'[2]$ лето'!ah725-'[2]$ лето'!ag725-'[2]$ лето'!af725-'[2]$ лето'!ae725-'[2]$ лето'!ad725-'[2]$ лето'!ab725-'[2]$ лето'!aa725-'[2]$ лето'!z725-'[2]$ лето'!y725-'[2]$ лето'!x725-'[2]$ лето'!v725-'[2]$ лето'!u725-'[2]$ лето'!t725-'[2]$ лето'!s725-'[2]$ лето'!r725-'[2]$ лето'!p725-'[2]$ лето'!o725-'[2]$ лето'!n725-'[2]$ лето'!m725-'[2]$ лето'!l725+'[2]$ лето'!k725+'[2]$ лето'!q725+'[2]$ лето'!w725+'[2]$ лето'!ac725+'[2]$ лето'!ai725+'[2]$ лето'!ao725</f>
        <v>0</v>
      </c>
      <c r="I725" s="109" t="n">
        <f aca="false">'[2]$ лето'!ay725*1.1</f>
        <v>1848</v>
      </c>
    </row>
    <row r="726" customFormat="false" ht="15" hidden="false" customHeight="false" outlineLevel="0" collapsed="false">
      <c r="A726" s="115" t="s">
        <v>251</v>
      </c>
      <c r="B726" s="115" t="s">
        <v>574</v>
      </c>
      <c r="C726" s="116" t="s">
        <v>1314</v>
      </c>
      <c r="D726" s="116"/>
      <c r="E726" s="116"/>
      <c r="F726" s="116"/>
      <c r="G726" s="108" t="s">
        <v>576</v>
      </c>
      <c r="H726" s="105" t="n">
        <f aca="false">'[2]$ лето'!j726-'[2]$ лето'!au726-'[2]$ лето'!at726-'[2]$ лето'!as726-'[2]$ лето'!ar726-'[2]$ лето'!aq726-'[2]$ лето'!ap726-'[2]$ лето'!an726-'[2]$ лето'!am726-'[2]$ лето'!al726-'[2]$ лето'!ak726-'[2]$ лето'!aj726-'[2]$ лето'!ah726-'[2]$ лето'!ag726-'[2]$ лето'!af726-'[2]$ лето'!ae726-'[2]$ лето'!ad726-'[2]$ лето'!ab726-'[2]$ лето'!aa726-'[2]$ лето'!z726-'[2]$ лето'!y726-'[2]$ лето'!x726-'[2]$ лето'!v726-'[2]$ лето'!u726-'[2]$ лето'!t726-'[2]$ лето'!s726-'[2]$ лето'!r726-'[2]$ лето'!p726-'[2]$ лето'!o726-'[2]$ лето'!n726-'[2]$ лето'!m726-'[2]$ лето'!l726+'[2]$ лето'!k726+'[2]$ лето'!q726+'[2]$ лето'!w726+'[2]$ лето'!ac726+'[2]$ лето'!ai726+'[2]$ лето'!ao726</f>
        <v>8</v>
      </c>
      <c r="I726" s="109" t="n">
        <f aca="false">'[2]$ лето'!ay726*1.1</f>
        <v>1968.12</v>
      </c>
      <c r="J726" s="85" t="n">
        <v>2018</v>
      </c>
    </row>
    <row r="727" customFormat="false" ht="15" hidden="false" customHeight="false" outlineLevel="0" collapsed="false">
      <c r="A727" s="115" t="s">
        <v>251</v>
      </c>
      <c r="B727" s="115" t="s">
        <v>574</v>
      </c>
      <c r="C727" s="116" t="s">
        <v>1315</v>
      </c>
      <c r="D727" s="116"/>
      <c r="E727" s="116"/>
      <c r="F727" s="116"/>
      <c r="G727" s="108" t="s">
        <v>576</v>
      </c>
      <c r="H727" s="105" t="n">
        <f aca="false">'[2]$ лето'!j727-'[2]$ лето'!au727-'[2]$ лето'!at727-'[2]$ лето'!as727-'[2]$ лето'!ar727-'[2]$ лето'!aq727-'[2]$ лето'!ap727-'[2]$ лето'!an727-'[2]$ лето'!am727-'[2]$ лето'!al727-'[2]$ лето'!ak727-'[2]$ лето'!aj727-'[2]$ лето'!ah727-'[2]$ лето'!ag727-'[2]$ лето'!af727-'[2]$ лето'!ae727-'[2]$ лето'!ad727-'[2]$ лето'!ab727-'[2]$ лето'!aa727-'[2]$ лето'!z727-'[2]$ лето'!y727-'[2]$ лето'!x727-'[2]$ лето'!v727-'[2]$ лето'!u727-'[2]$ лето'!t727-'[2]$ лето'!s727-'[2]$ лето'!r727-'[2]$ лето'!p727-'[2]$ лето'!o727-'[2]$ лето'!n727-'[2]$ лето'!m727-'[2]$ лето'!l727+'[2]$ лето'!k727+'[2]$ лето'!q727+'[2]$ лето'!w727+'[2]$ лето'!ac727+'[2]$ лето'!ai727+'[2]$ лето'!ao727</f>
        <v>6</v>
      </c>
      <c r="I727" s="109" t="n">
        <f aca="false">'[2]$ лето'!ay727*1.1</f>
        <v>2061.84</v>
      </c>
      <c r="J727" s="85" t="n">
        <v>2017</v>
      </c>
    </row>
    <row r="728" customFormat="false" ht="15" hidden="true" customHeight="false" outlineLevel="0" collapsed="false">
      <c r="A728" s="115" t="s">
        <v>251</v>
      </c>
      <c r="B728" s="115" t="s">
        <v>577</v>
      </c>
      <c r="C728" s="116" t="s">
        <v>1316</v>
      </c>
      <c r="D728" s="116"/>
      <c r="E728" s="116"/>
      <c r="F728" s="116"/>
      <c r="G728" s="108" t="s">
        <v>563</v>
      </c>
      <c r="H728" s="105" t="n">
        <f aca="false">'[2]$ лето'!j728-'[2]$ лето'!au728-'[2]$ лето'!at728-'[2]$ лето'!as728-'[2]$ лето'!ar728-'[2]$ лето'!aq728-'[2]$ лето'!ap728-'[2]$ лето'!an728-'[2]$ лето'!am728-'[2]$ лето'!al728-'[2]$ лето'!ak728-'[2]$ лето'!aj728-'[2]$ лето'!ah728-'[2]$ лето'!ag728-'[2]$ лето'!af728-'[2]$ лето'!ae728-'[2]$ лето'!ad728-'[2]$ лето'!ab728-'[2]$ лето'!aa728-'[2]$ лето'!z728-'[2]$ лето'!y728-'[2]$ лето'!x728-'[2]$ лето'!v728-'[2]$ лето'!u728-'[2]$ лето'!t728-'[2]$ лето'!s728-'[2]$ лето'!r728-'[2]$ лето'!p728-'[2]$ лето'!o728-'[2]$ лето'!n728-'[2]$ лето'!m728-'[2]$ лето'!l728+'[2]$ лето'!k728+'[2]$ лето'!q728+'[2]$ лето'!w728+'[2]$ лето'!ac728+'[2]$ лето'!ai728+'[2]$ лето'!ao728</f>
        <v>0</v>
      </c>
      <c r="I728" s="109" t="n">
        <f aca="false">'[2]$ лето'!ay728*1.1</f>
        <v>1716</v>
      </c>
    </row>
    <row r="729" customFormat="false" ht="15" hidden="false" customHeight="false" outlineLevel="0" collapsed="false">
      <c r="A729" s="115" t="s">
        <v>251</v>
      </c>
      <c r="B729" s="115" t="s">
        <v>1135</v>
      </c>
      <c r="C729" s="116" t="s">
        <v>1317</v>
      </c>
      <c r="D729" s="116"/>
      <c r="E729" s="116"/>
      <c r="F729" s="116"/>
      <c r="G729" s="108" t="s">
        <v>609</v>
      </c>
      <c r="H729" s="105" t="n">
        <f aca="false">'[2]$ лето'!j729-'[2]$ лето'!au729-'[2]$ лето'!at729-'[2]$ лето'!as729-'[2]$ лето'!ar729-'[2]$ лето'!aq729-'[2]$ лето'!ap729-'[2]$ лето'!an729-'[2]$ лето'!am729-'[2]$ лето'!al729-'[2]$ лето'!ak729-'[2]$ лето'!aj729-'[2]$ лето'!ah729-'[2]$ лето'!ag729-'[2]$ лето'!af729-'[2]$ лето'!ae729-'[2]$ лето'!ad729-'[2]$ лето'!ab729-'[2]$ лето'!aa729-'[2]$ лето'!z729-'[2]$ лето'!y729-'[2]$ лето'!x729-'[2]$ лето'!v729-'[2]$ лето'!u729-'[2]$ лето'!t729-'[2]$ лето'!s729-'[2]$ лето'!r729-'[2]$ лето'!p729-'[2]$ лето'!o729-'[2]$ лето'!n729-'[2]$ лето'!m729-'[2]$ лето'!l729+'[2]$ лето'!k729+'[2]$ лето'!q729+'[2]$ лето'!w729+'[2]$ лето'!ac729+'[2]$ лето'!ai729+'[2]$ лето'!ao729</f>
        <v>8</v>
      </c>
      <c r="I729" s="109" t="n">
        <f aca="false">'[2]$ лето'!ay729*1.1</f>
        <v>2002</v>
      </c>
      <c r="J729" s="85" t="n">
        <v>2017</v>
      </c>
    </row>
    <row r="730" customFormat="false" ht="15" hidden="false" customHeight="false" outlineLevel="0" collapsed="false">
      <c r="A730" s="115" t="s">
        <v>251</v>
      </c>
      <c r="B730" s="115" t="s">
        <v>583</v>
      </c>
      <c r="C730" s="116" t="s">
        <v>1318</v>
      </c>
      <c r="D730" s="116"/>
      <c r="E730" s="116"/>
      <c r="F730" s="116"/>
      <c r="G730" s="108" t="s">
        <v>640</v>
      </c>
      <c r="H730" s="105" t="n">
        <f aca="false">'[2]$ лето'!j730-'[2]$ лето'!au730-'[2]$ лето'!at730-'[2]$ лето'!as730-'[2]$ лето'!ar730-'[2]$ лето'!aq730-'[2]$ лето'!ap730-'[2]$ лето'!an730-'[2]$ лето'!am730-'[2]$ лето'!al730-'[2]$ лето'!ak730-'[2]$ лето'!aj730-'[2]$ лето'!ah730-'[2]$ лето'!ag730-'[2]$ лето'!af730-'[2]$ лето'!ae730-'[2]$ лето'!ad730-'[2]$ лето'!ab730-'[2]$ лето'!aa730-'[2]$ лето'!z730-'[2]$ лето'!y730-'[2]$ лето'!x730-'[2]$ лето'!v730-'[2]$ лето'!u730-'[2]$ лето'!t730-'[2]$ лето'!s730-'[2]$ лето'!r730-'[2]$ лето'!p730-'[2]$ лето'!o730-'[2]$ лето'!n730-'[2]$ лето'!m730-'[2]$ лето'!l730+'[2]$ лето'!k730+'[2]$ лето'!q730+'[2]$ лето'!w730+'[2]$ лето'!ac730+'[2]$ лето'!ai730+'[2]$ лето'!ao730</f>
        <v>8</v>
      </c>
      <c r="I730" s="109" t="n">
        <f aca="false">'[2]$ лето'!ay730*1.1</f>
        <v>1848</v>
      </c>
      <c r="J730" s="85" t="n">
        <v>2018</v>
      </c>
    </row>
    <row r="731" customFormat="false" ht="15" hidden="true" customHeight="false" outlineLevel="0" collapsed="false">
      <c r="A731" s="115" t="s">
        <v>251</v>
      </c>
      <c r="B731" s="115" t="s">
        <v>613</v>
      </c>
      <c r="C731" s="116" t="s">
        <v>1319</v>
      </c>
      <c r="D731" s="116"/>
      <c r="E731" s="116"/>
      <c r="F731" s="116"/>
      <c r="G731" s="108"/>
      <c r="H731" s="105" t="n">
        <f aca="false">'[2]$ лето'!j731-'[2]$ лето'!au731-'[2]$ лето'!at731-'[2]$ лето'!as731-'[2]$ лето'!ar731-'[2]$ лето'!aq731-'[2]$ лето'!ap731-'[2]$ лето'!an731-'[2]$ лето'!am731-'[2]$ лето'!al731-'[2]$ лето'!ak731-'[2]$ лето'!aj731-'[2]$ лето'!ah731-'[2]$ лето'!ag731-'[2]$ лето'!af731-'[2]$ лето'!ae731-'[2]$ лето'!ad731-'[2]$ лето'!ab731-'[2]$ лето'!aa731-'[2]$ лето'!z731-'[2]$ лето'!y731-'[2]$ лето'!x731-'[2]$ лето'!v731-'[2]$ лето'!u731-'[2]$ лето'!t731-'[2]$ лето'!s731-'[2]$ лето'!r731-'[2]$ лето'!p731-'[2]$ лето'!o731-'[2]$ лето'!n731-'[2]$ лето'!m731-'[2]$ лето'!l731+'[2]$ лето'!k731+'[2]$ лето'!q731+'[2]$ лето'!w731+'[2]$ лето'!ac731+'[2]$ лето'!ai731+'[2]$ лето'!ao731</f>
        <v>0</v>
      </c>
      <c r="I731" s="109" t="n">
        <f aca="false">'[2]$ лето'!ay731*1.1</f>
        <v>1540</v>
      </c>
    </row>
    <row r="732" customFormat="false" ht="15" hidden="false" customHeight="false" outlineLevel="0" collapsed="false">
      <c r="A732" s="115" t="s">
        <v>251</v>
      </c>
      <c r="B732" s="115" t="s">
        <v>593</v>
      </c>
      <c r="C732" s="116" t="s">
        <v>1320</v>
      </c>
      <c r="D732" s="116"/>
      <c r="E732" s="116"/>
      <c r="F732" s="116"/>
      <c r="G732" s="108" t="s">
        <v>911</v>
      </c>
      <c r="H732" s="105" t="n">
        <f aca="false">'[2]$ лето'!j732-'[2]$ лето'!au732-'[2]$ лето'!at732-'[2]$ лето'!as732-'[2]$ лето'!ar732-'[2]$ лето'!aq732-'[2]$ лето'!ap732-'[2]$ лето'!an732-'[2]$ лето'!am732-'[2]$ лето'!al732-'[2]$ лето'!ak732-'[2]$ лето'!aj732-'[2]$ лето'!ah732-'[2]$ лето'!ag732-'[2]$ лето'!af732-'[2]$ лето'!ae732-'[2]$ лето'!ad732-'[2]$ лето'!ab732-'[2]$ лето'!aa732-'[2]$ лето'!z732-'[2]$ лето'!y732-'[2]$ лето'!x732-'[2]$ лето'!v732-'[2]$ лето'!u732-'[2]$ лето'!t732-'[2]$ лето'!s732-'[2]$ лето'!r732-'[2]$ лето'!p732-'[2]$ лето'!o732-'[2]$ лето'!n732-'[2]$ лето'!m732-'[2]$ лето'!l732+'[2]$ лето'!k732+'[2]$ лето'!q732+'[2]$ лето'!w732+'[2]$ лето'!ac732+'[2]$ лето'!ai732+'[2]$ лето'!ao732</f>
        <v>16</v>
      </c>
      <c r="I732" s="109" t="n">
        <f aca="false">'[2]$ лето'!ay732*1.1</f>
        <v>3141.6</v>
      </c>
      <c r="J732" s="85" t="n">
        <v>2018</v>
      </c>
    </row>
    <row r="733" customFormat="false" ht="15" hidden="false" customHeight="false" outlineLevel="0" collapsed="false">
      <c r="A733" s="115" t="s">
        <v>251</v>
      </c>
      <c r="B733" s="115" t="s">
        <v>593</v>
      </c>
      <c r="C733" s="116" t="s">
        <v>1321</v>
      </c>
      <c r="D733" s="116"/>
      <c r="E733" s="116"/>
      <c r="F733" s="116"/>
      <c r="G733" s="108" t="s">
        <v>935</v>
      </c>
      <c r="H733" s="105" t="n">
        <f aca="false">'[2]$ лето'!j733-'[2]$ лето'!au733-'[2]$ лето'!at733-'[2]$ лето'!as733-'[2]$ лето'!ar733-'[2]$ лето'!aq733-'[2]$ лето'!ap733-'[2]$ лето'!an733-'[2]$ лето'!am733-'[2]$ лето'!al733-'[2]$ лето'!ak733-'[2]$ лето'!aj733-'[2]$ лето'!ah733-'[2]$ лето'!ag733-'[2]$ лето'!af733-'[2]$ лето'!ae733-'[2]$ лето'!ad733-'[2]$ лето'!ab733-'[2]$ лето'!aa733-'[2]$ лето'!z733-'[2]$ лето'!y733-'[2]$ лето'!x733-'[2]$ лето'!v733-'[2]$ лето'!u733-'[2]$ лето'!t733-'[2]$ лето'!s733-'[2]$ лето'!r733-'[2]$ лето'!p733-'[2]$ лето'!o733-'[2]$ лето'!n733-'[2]$ лето'!m733-'[2]$ лето'!l733+'[2]$ лето'!k733+'[2]$ лето'!q733+'[2]$ лето'!w733+'[2]$ лето'!ac733+'[2]$ лето'!ai733+'[2]$ лето'!ao733</f>
        <v>20</v>
      </c>
      <c r="I733" s="109" t="n">
        <f aca="false">'[2]$ лето'!ay733*1.1</f>
        <v>2926</v>
      </c>
      <c r="J733" s="113" t="n">
        <v>2018</v>
      </c>
    </row>
    <row r="734" customFormat="false" ht="15" hidden="false" customHeight="false" outlineLevel="0" collapsed="false">
      <c r="A734" s="115" t="s">
        <v>251</v>
      </c>
      <c r="B734" s="115" t="s">
        <v>593</v>
      </c>
      <c r="C734" s="119" t="s">
        <v>1322</v>
      </c>
      <c r="D734" s="119"/>
      <c r="E734" s="119"/>
      <c r="F734" s="119"/>
      <c r="G734" s="108" t="s">
        <v>933</v>
      </c>
      <c r="H734" s="105" t="n">
        <f aca="false">'[2]$ лето'!j734-'[2]$ лето'!au734-'[2]$ лето'!at734-'[2]$ лето'!as734-'[2]$ лето'!ar734-'[2]$ лето'!aq734-'[2]$ лето'!ap734-'[2]$ лето'!an734-'[2]$ лето'!am734-'[2]$ лето'!al734-'[2]$ лето'!ak734-'[2]$ лето'!aj734-'[2]$ лето'!ah734-'[2]$ лето'!ag734-'[2]$ лето'!af734-'[2]$ лето'!ae734-'[2]$ лето'!ad734-'[2]$ лето'!ab734-'[2]$ лето'!aa734-'[2]$ лето'!z734-'[2]$ лето'!y734-'[2]$ лето'!x734-'[2]$ лето'!v734-'[2]$ лето'!u734-'[2]$ лето'!t734-'[2]$ лето'!s734-'[2]$ лето'!r734-'[2]$ лето'!p734-'[2]$ лето'!o734-'[2]$ лето'!n734-'[2]$ лето'!m734-'[2]$ лето'!l734+'[2]$ лето'!k734+'[2]$ лето'!q734+'[2]$ лето'!w734+'[2]$ лето'!ac734+'[2]$ лето'!ai734+'[2]$ лето'!ao734</f>
        <v>20</v>
      </c>
      <c r="I734" s="109" t="n">
        <f aca="false">'[2]$ лето'!ay734*1.1</f>
        <v>3172.4</v>
      </c>
      <c r="J734" s="113" t="n">
        <v>2018</v>
      </c>
    </row>
    <row r="735" customFormat="false" ht="15" hidden="false" customHeight="false" outlineLevel="0" collapsed="false">
      <c r="A735" s="115" t="s">
        <v>251</v>
      </c>
      <c r="B735" s="115" t="s">
        <v>593</v>
      </c>
      <c r="C735" s="107" t="s">
        <v>1323</v>
      </c>
      <c r="D735" s="107"/>
      <c r="E735" s="116"/>
      <c r="F735" s="116"/>
      <c r="G735" s="108" t="s">
        <v>935</v>
      </c>
      <c r="H735" s="105" t="n">
        <f aca="false">'[2]$ лето'!j735-'[2]$ лето'!au735-'[2]$ лето'!at735-'[2]$ лето'!as735-'[2]$ лето'!ar735-'[2]$ лето'!aq735-'[2]$ лето'!ap735-'[2]$ лето'!an735-'[2]$ лето'!am735-'[2]$ лето'!al735-'[2]$ лето'!ak735-'[2]$ лето'!aj735-'[2]$ лето'!ah735-'[2]$ лето'!ag735-'[2]$ лето'!af735-'[2]$ лето'!ae735-'[2]$ лето'!ad735-'[2]$ лето'!ab735-'[2]$ лето'!aa735-'[2]$ лето'!z735-'[2]$ лето'!y735-'[2]$ лето'!x735-'[2]$ лето'!v735-'[2]$ лето'!u735-'[2]$ лето'!t735-'[2]$ лето'!s735-'[2]$ лето'!r735-'[2]$ лето'!p735-'[2]$ лето'!o735-'[2]$ лето'!n735-'[2]$ лето'!m735-'[2]$ лето'!l735+'[2]$ лето'!k735+'[2]$ лето'!q735+'[2]$ лето'!w735+'[2]$ лето'!ac735+'[2]$ лето'!ai735+'[2]$ лето'!ao735</f>
        <v>6</v>
      </c>
      <c r="I735" s="109" t="n">
        <f aca="false">'[2]$ лето'!ay735*1.1</f>
        <v>3234</v>
      </c>
      <c r="J735" s="113" t="n">
        <v>2018</v>
      </c>
    </row>
    <row r="736" customFormat="false" ht="15" hidden="true" customHeight="false" outlineLevel="0" collapsed="false">
      <c r="A736" s="115" t="s">
        <v>251</v>
      </c>
      <c r="B736" s="115" t="s">
        <v>586</v>
      </c>
      <c r="C736" s="116" t="s">
        <v>1324</v>
      </c>
      <c r="D736" s="116"/>
      <c r="E736" s="116"/>
      <c r="F736" s="116"/>
      <c r="G736" s="108" t="s">
        <v>520</v>
      </c>
      <c r="H736" s="105" t="n">
        <f aca="false">'[2]$ лето'!j736-'[2]$ лето'!au736-'[2]$ лето'!at736-'[2]$ лето'!as736-'[2]$ лето'!ar736-'[2]$ лето'!aq736-'[2]$ лето'!ap736-'[2]$ лето'!an736-'[2]$ лето'!am736-'[2]$ лето'!al736-'[2]$ лето'!ak736-'[2]$ лето'!aj736-'[2]$ лето'!ah736-'[2]$ лето'!ag736-'[2]$ лето'!af736-'[2]$ лето'!ae736-'[2]$ лето'!ad736-'[2]$ лето'!ab736-'[2]$ лето'!aa736-'[2]$ лето'!z736-'[2]$ лето'!y736-'[2]$ лето'!x736-'[2]$ лето'!v736-'[2]$ лето'!u736-'[2]$ лето'!t736-'[2]$ лето'!s736-'[2]$ лето'!r736-'[2]$ лето'!p736-'[2]$ лето'!o736-'[2]$ лето'!n736-'[2]$ лето'!m736-'[2]$ лето'!l736+'[2]$ лето'!k736+'[2]$ лето'!q736+'[2]$ лето'!w736+'[2]$ лето'!ac736+'[2]$ лето'!ai736+'[2]$ лето'!ao736</f>
        <v>0</v>
      </c>
      <c r="I736" s="109" t="n">
        <f aca="false">'[2]$ лето'!ay736*1.1</f>
        <v>1386</v>
      </c>
    </row>
    <row r="737" customFormat="false" ht="15" hidden="false" customHeight="false" outlineLevel="0" collapsed="false">
      <c r="A737" s="115" t="s">
        <v>251</v>
      </c>
      <c r="B737" s="115" t="s">
        <v>586</v>
      </c>
      <c r="C737" s="119" t="s">
        <v>1325</v>
      </c>
      <c r="D737" s="119"/>
      <c r="E737" s="119"/>
      <c r="F737" s="119"/>
      <c r="G737" s="108" t="s">
        <v>520</v>
      </c>
      <c r="H737" s="105" t="n">
        <f aca="false">'[2]$ лето'!j737-'[2]$ лето'!au737-'[2]$ лето'!at737-'[2]$ лето'!as737-'[2]$ лето'!ar737-'[2]$ лето'!aq737-'[2]$ лето'!ap737-'[2]$ лето'!an737-'[2]$ лето'!am737-'[2]$ лето'!al737-'[2]$ лето'!ak737-'[2]$ лето'!aj737-'[2]$ лето'!ah737-'[2]$ лето'!ag737-'[2]$ лето'!af737-'[2]$ лето'!ae737-'[2]$ лето'!ad737-'[2]$ лето'!ab737-'[2]$ лето'!aa737-'[2]$ лето'!z737-'[2]$ лето'!y737-'[2]$ лето'!x737-'[2]$ лето'!v737-'[2]$ лето'!u737-'[2]$ лето'!t737-'[2]$ лето'!s737-'[2]$ лето'!r737-'[2]$ лето'!p737-'[2]$ лето'!o737-'[2]$ лето'!n737-'[2]$ лето'!m737-'[2]$ лето'!l737+'[2]$ лето'!k737+'[2]$ лето'!q737+'[2]$ лето'!w737+'[2]$ лето'!ac737+'[2]$ лето'!ai737+'[2]$ лето'!ao737</f>
        <v>1</v>
      </c>
      <c r="I737" s="109" t="n">
        <f aca="false">'[2]$ лето'!ay737*1.1</f>
        <v>1478.4</v>
      </c>
    </row>
    <row r="738" customFormat="false" ht="15" hidden="false" customHeight="false" outlineLevel="0" collapsed="false">
      <c r="A738" s="115" t="s">
        <v>251</v>
      </c>
      <c r="B738" s="115" t="s">
        <v>762</v>
      </c>
      <c r="C738" s="107" t="s">
        <v>1326</v>
      </c>
      <c r="D738" s="119" t="s">
        <v>1327</v>
      </c>
      <c r="E738" s="119" t="n">
        <v>98</v>
      </c>
      <c r="F738" s="119" t="s">
        <v>1328</v>
      </c>
      <c r="G738" s="108" t="s">
        <v>640</v>
      </c>
      <c r="H738" s="105" t="n">
        <f aca="false">'[2]$ лето'!j738-'[2]$ лето'!au738-'[2]$ лето'!at738-'[2]$ лето'!as738-'[2]$ лето'!ar738-'[2]$ лето'!aq738-'[2]$ лето'!ap738-'[2]$ лето'!an738-'[2]$ лето'!am738-'[2]$ лето'!al738-'[2]$ лето'!ak738-'[2]$ лето'!aj738-'[2]$ лето'!ah738-'[2]$ лето'!ag738-'[2]$ лето'!af738-'[2]$ лето'!ae738-'[2]$ лето'!ad738-'[2]$ лето'!ab738-'[2]$ лето'!aa738-'[2]$ лето'!z738-'[2]$ лето'!y738-'[2]$ лето'!x738-'[2]$ лето'!v738-'[2]$ лето'!u738-'[2]$ лето'!t738-'[2]$ лето'!s738-'[2]$ лето'!r738-'[2]$ лето'!p738-'[2]$ лето'!o738-'[2]$ лето'!n738-'[2]$ лето'!m738-'[2]$ лето'!l738+'[2]$ лето'!k738+'[2]$ лето'!q738+'[2]$ лето'!w738+'[2]$ лето'!ac738+'[2]$ лето'!ai738+'[2]$ лето'!ao738</f>
        <v>4</v>
      </c>
      <c r="I738" s="109" t="n">
        <f aca="false">'[2]$ лето'!ay738*1.1</f>
        <v>1724.8</v>
      </c>
      <c r="J738" s="85" t="n">
        <v>2018</v>
      </c>
    </row>
    <row r="739" customFormat="false" ht="15" hidden="true" customHeight="false" outlineLevel="0" collapsed="false">
      <c r="A739" s="115" t="s">
        <v>251</v>
      </c>
      <c r="B739" s="115" t="s">
        <v>617</v>
      </c>
      <c r="C739" s="119" t="s">
        <v>1329</v>
      </c>
      <c r="D739" s="119"/>
      <c r="E739" s="119"/>
      <c r="F739" s="119"/>
      <c r="G739" s="108" t="s">
        <v>625</v>
      </c>
      <c r="H739" s="105" t="n">
        <f aca="false">'[2]$ лето'!j739-'[2]$ лето'!au739-'[2]$ лето'!at739-'[2]$ лето'!as739-'[2]$ лето'!ar739-'[2]$ лето'!aq739-'[2]$ лето'!ap739-'[2]$ лето'!an739-'[2]$ лето'!am739-'[2]$ лето'!al739-'[2]$ лето'!ak739-'[2]$ лето'!aj739-'[2]$ лето'!ah739-'[2]$ лето'!ag739-'[2]$ лето'!af739-'[2]$ лето'!ae739-'[2]$ лето'!ad739-'[2]$ лето'!ab739-'[2]$ лето'!aa739-'[2]$ лето'!z739-'[2]$ лето'!y739-'[2]$ лето'!x739-'[2]$ лето'!v739-'[2]$ лето'!u739-'[2]$ лето'!t739-'[2]$ лето'!s739-'[2]$ лето'!r739-'[2]$ лето'!p739-'[2]$ лето'!o739-'[2]$ лето'!n739-'[2]$ лето'!m739-'[2]$ лето'!l739+'[2]$ лето'!k739+'[2]$ лето'!q739+'[2]$ лето'!w739+'[2]$ лето'!ac739+'[2]$ лето'!ai739+'[2]$ лето'!ao739</f>
        <v>0</v>
      </c>
      <c r="I739" s="109" t="n">
        <f aca="false">'[2]$ лето'!ay739*1.1</f>
        <v>1663.2</v>
      </c>
      <c r="J739" s="85" t="n">
        <v>2018</v>
      </c>
    </row>
    <row r="740" customFormat="false" ht="15" hidden="true" customHeight="false" outlineLevel="0" collapsed="false">
      <c r="A740" s="115" t="s">
        <v>251</v>
      </c>
      <c r="B740" s="115" t="s">
        <v>677</v>
      </c>
      <c r="C740" s="116" t="s">
        <v>1159</v>
      </c>
      <c r="D740" s="116"/>
      <c r="E740" s="116"/>
      <c r="F740" s="116"/>
      <c r="G740" s="108"/>
      <c r="H740" s="105" t="n">
        <f aca="false">'[2]$ лето'!j740-'[2]$ лето'!au740-'[2]$ лето'!at740-'[2]$ лето'!as740-'[2]$ лето'!ar740-'[2]$ лето'!aq740-'[2]$ лето'!ap740-'[2]$ лето'!an740-'[2]$ лето'!am740-'[2]$ лето'!al740-'[2]$ лето'!ak740-'[2]$ лето'!aj740-'[2]$ лето'!ah740-'[2]$ лето'!ag740-'[2]$ лето'!af740-'[2]$ лето'!ae740-'[2]$ лето'!ad740-'[2]$ лето'!ab740-'[2]$ лето'!aa740-'[2]$ лето'!z740-'[2]$ лето'!y740-'[2]$ лето'!x740-'[2]$ лето'!v740-'[2]$ лето'!u740-'[2]$ лето'!t740-'[2]$ лето'!s740-'[2]$ лето'!r740-'[2]$ лето'!p740-'[2]$ лето'!o740-'[2]$ лето'!n740-'[2]$ лето'!m740-'[2]$ лето'!l740+'[2]$ лето'!k740+'[2]$ лето'!q740+'[2]$ лето'!w740+'[2]$ лето'!ac740+'[2]$ лето'!ai740+'[2]$ лето'!ao740</f>
        <v>0</v>
      </c>
      <c r="I740" s="109" t="n">
        <f aca="false">'[2]$ лето'!ay740*1.1</f>
        <v>1386</v>
      </c>
    </row>
    <row r="741" customFormat="false" ht="15" hidden="true" customHeight="false" outlineLevel="0" collapsed="false">
      <c r="A741" s="119" t="s">
        <v>251</v>
      </c>
      <c r="B741" s="119" t="s">
        <v>1330</v>
      </c>
      <c r="C741" s="115" t="s">
        <v>1331</v>
      </c>
      <c r="D741" s="115"/>
      <c r="E741" s="115"/>
      <c r="F741" s="115"/>
      <c r="G741" s="108"/>
      <c r="H741" s="105" t="n">
        <f aca="false">'[2]$ лето'!j741-'[2]$ лето'!au741-'[2]$ лето'!at741-'[2]$ лето'!as741-'[2]$ лето'!ar741-'[2]$ лето'!aq741-'[2]$ лето'!ap741-'[2]$ лето'!an741-'[2]$ лето'!am741-'[2]$ лето'!al741-'[2]$ лето'!ak741-'[2]$ лето'!aj741-'[2]$ лето'!ah741-'[2]$ лето'!ag741-'[2]$ лето'!af741-'[2]$ лето'!ae741-'[2]$ лето'!ad741-'[2]$ лето'!ab741-'[2]$ лето'!aa741-'[2]$ лето'!z741-'[2]$ лето'!y741-'[2]$ лето'!x741-'[2]$ лето'!v741-'[2]$ лето'!u741-'[2]$ лето'!t741-'[2]$ лето'!s741-'[2]$ лето'!r741-'[2]$ лето'!p741-'[2]$ лето'!o741-'[2]$ лето'!n741-'[2]$ лето'!m741-'[2]$ лето'!l741+'[2]$ лето'!k741+'[2]$ лето'!q741+'[2]$ лето'!w741+'[2]$ лето'!ac741+'[2]$ лето'!ai741+'[2]$ лето'!ao741</f>
        <v>0</v>
      </c>
      <c r="I741" s="109" t="n">
        <f aca="false">'[2]$ лето'!ay741*1.1</f>
        <v>1386</v>
      </c>
    </row>
    <row r="742" customFormat="false" ht="15" hidden="true" customHeight="false" outlineLevel="0" collapsed="false">
      <c r="A742" s="119" t="s">
        <v>251</v>
      </c>
      <c r="B742" s="119" t="s">
        <v>621</v>
      </c>
      <c r="C742" s="115" t="s">
        <v>1332</v>
      </c>
      <c r="D742" s="115"/>
      <c r="E742" s="119"/>
      <c r="F742" s="119"/>
      <c r="G742" s="108" t="s">
        <v>520</v>
      </c>
      <c r="H742" s="105" t="n">
        <f aca="false">'[2]$ лето'!j742-'[2]$ лето'!au742-'[2]$ лето'!at742-'[2]$ лето'!as742-'[2]$ лето'!ar742-'[2]$ лето'!aq742-'[2]$ лето'!ap742-'[2]$ лето'!an742-'[2]$ лето'!am742-'[2]$ лето'!al742-'[2]$ лето'!ak742-'[2]$ лето'!aj742-'[2]$ лето'!ah742-'[2]$ лето'!ag742-'[2]$ лето'!af742-'[2]$ лето'!ae742-'[2]$ лето'!ad742-'[2]$ лето'!ab742-'[2]$ лето'!aa742-'[2]$ лето'!z742-'[2]$ лето'!y742-'[2]$ лето'!x742-'[2]$ лето'!v742-'[2]$ лето'!u742-'[2]$ лето'!t742-'[2]$ лето'!s742-'[2]$ лето'!r742-'[2]$ лето'!p742-'[2]$ лето'!o742-'[2]$ лето'!n742-'[2]$ лето'!m742-'[2]$ лето'!l742+'[2]$ лето'!k742+'[2]$ лето'!q742+'[2]$ лето'!w742+'[2]$ лето'!ac742+'[2]$ лето'!ai742+'[2]$ лето'!ao742</f>
        <v>0</v>
      </c>
      <c r="I742" s="109" t="n">
        <f aca="false">'[2]$ лето'!ay742*1.1</f>
        <v>1309</v>
      </c>
    </row>
    <row r="743" customFormat="false" ht="15" hidden="true" customHeight="false" outlineLevel="0" collapsed="false">
      <c r="A743" s="115" t="s">
        <v>251</v>
      </c>
      <c r="B743" s="119" t="s">
        <v>623</v>
      </c>
      <c r="C743" s="115" t="s">
        <v>1333</v>
      </c>
      <c r="D743" s="115"/>
      <c r="E743" s="115"/>
      <c r="F743" s="115"/>
      <c r="G743" s="108"/>
      <c r="H743" s="105" t="n">
        <f aca="false">'[2]$ лето'!j743-'[2]$ лето'!au743-'[2]$ лето'!at743-'[2]$ лето'!as743-'[2]$ лето'!ar743-'[2]$ лето'!aq743-'[2]$ лето'!ap743-'[2]$ лето'!an743-'[2]$ лето'!am743-'[2]$ лето'!al743-'[2]$ лето'!ak743-'[2]$ лето'!aj743-'[2]$ лето'!ah743-'[2]$ лето'!ag743-'[2]$ лето'!af743-'[2]$ лето'!ae743-'[2]$ лето'!ad743-'[2]$ лето'!ab743-'[2]$ лето'!aa743-'[2]$ лето'!z743-'[2]$ лето'!y743-'[2]$ лето'!x743-'[2]$ лето'!v743-'[2]$ лето'!u743-'[2]$ лето'!t743-'[2]$ лето'!s743-'[2]$ лето'!r743-'[2]$ лето'!p743-'[2]$ лето'!o743-'[2]$ лето'!n743-'[2]$ лето'!m743-'[2]$ лето'!l743+'[2]$ лето'!k743+'[2]$ лето'!q743+'[2]$ лето'!w743+'[2]$ лето'!ac743+'[2]$ лето'!ai743+'[2]$ лето'!ao743</f>
        <v>0</v>
      </c>
      <c r="I743" s="109" t="n">
        <f aca="false">'[2]$ лето'!ay743*1.1</f>
        <v>1632.4</v>
      </c>
      <c r="J743" s="85" t="n">
        <v>2017</v>
      </c>
    </row>
    <row r="744" customFormat="false" ht="15" hidden="false" customHeight="false" outlineLevel="0" collapsed="false">
      <c r="A744" s="115" t="s">
        <v>251</v>
      </c>
      <c r="B744" s="115" t="s">
        <v>589</v>
      </c>
      <c r="C744" s="116" t="s">
        <v>1334</v>
      </c>
      <c r="D744" s="116"/>
      <c r="E744" s="116"/>
      <c r="F744" s="116"/>
      <c r="G744" s="108" t="s">
        <v>626</v>
      </c>
      <c r="H744" s="105" t="n">
        <f aca="false">'[2]$ лето'!j744-'[2]$ лето'!au744-'[2]$ лето'!at744-'[2]$ лето'!as744-'[2]$ лето'!ar744-'[2]$ лето'!aq744-'[2]$ лето'!ap744-'[2]$ лето'!an744-'[2]$ лето'!am744-'[2]$ лето'!al744-'[2]$ лето'!ak744-'[2]$ лето'!aj744-'[2]$ лето'!ah744-'[2]$ лето'!ag744-'[2]$ лето'!af744-'[2]$ лето'!ae744-'[2]$ лето'!ad744-'[2]$ лето'!ab744-'[2]$ лето'!aa744-'[2]$ лето'!z744-'[2]$ лето'!y744-'[2]$ лето'!x744-'[2]$ лето'!v744-'[2]$ лето'!u744-'[2]$ лето'!t744-'[2]$ лето'!s744-'[2]$ лето'!r744-'[2]$ лето'!p744-'[2]$ лето'!o744-'[2]$ лето'!n744-'[2]$ лето'!m744-'[2]$ лето'!l744+'[2]$ лето'!k744+'[2]$ лето'!q744+'[2]$ лето'!w744+'[2]$ лето'!ac744+'[2]$ лето'!ai744+'[2]$ лето'!ao744</f>
        <v>4</v>
      </c>
      <c r="I744" s="109" t="n">
        <f aca="false">'[2]$ лето'!ay744*1.1</f>
        <v>2155.56</v>
      </c>
      <c r="J744" s="85" t="n">
        <v>2017</v>
      </c>
    </row>
    <row r="745" customFormat="false" ht="15" hidden="true" customHeight="false" outlineLevel="0" collapsed="false">
      <c r="A745" s="115" t="s">
        <v>251</v>
      </c>
      <c r="B745" s="115" t="s">
        <v>589</v>
      </c>
      <c r="C745" s="116" t="s">
        <v>1335</v>
      </c>
      <c r="D745" s="116"/>
      <c r="E745" s="116"/>
      <c r="F745" s="116"/>
      <c r="G745" s="108"/>
      <c r="H745" s="105" t="n">
        <f aca="false">'[2]$ лето'!j745-'[2]$ лето'!au745-'[2]$ лето'!at745-'[2]$ лето'!as745-'[2]$ лето'!ar745-'[2]$ лето'!aq745-'[2]$ лето'!ap745-'[2]$ лето'!an745-'[2]$ лето'!am745-'[2]$ лето'!al745-'[2]$ лето'!ak745-'[2]$ лето'!aj745-'[2]$ лето'!ah745-'[2]$ лето'!ag745-'[2]$ лето'!af745-'[2]$ лето'!ae745-'[2]$ лето'!ad745-'[2]$ лето'!ab745-'[2]$ лето'!aa745-'[2]$ лето'!z745-'[2]$ лето'!y745-'[2]$ лето'!x745-'[2]$ лето'!v745-'[2]$ лето'!u745-'[2]$ лето'!t745-'[2]$ лето'!s745-'[2]$ лето'!r745-'[2]$ лето'!p745-'[2]$ лето'!o745-'[2]$ лето'!n745-'[2]$ лето'!m745-'[2]$ лето'!l745+'[2]$ лето'!k745+'[2]$ лето'!q745+'[2]$ лето'!w745+'[2]$ лето'!ac745+'[2]$ лето'!ai745+'[2]$ лето'!ao745</f>
        <v>0</v>
      </c>
      <c r="I745" s="109" t="n">
        <f aca="false">'[2]$ лето'!ay745*1.1</f>
        <v>2433.2</v>
      </c>
      <c r="J745" s="85" t="n">
        <v>2017</v>
      </c>
    </row>
    <row r="746" customFormat="false" ht="15" hidden="true" customHeight="false" outlineLevel="0" collapsed="false">
      <c r="A746" s="115" t="s">
        <v>251</v>
      </c>
      <c r="B746" s="115" t="s">
        <v>589</v>
      </c>
      <c r="C746" s="116" t="s">
        <v>1336</v>
      </c>
      <c r="D746" s="116"/>
      <c r="E746" s="116"/>
      <c r="F746" s="116"/>
      <c r="G746" s="108"/>
      <c r="H746" s="105" t="n">
        <f aca="false">'[2]$ лето'!j746-'[2]$ лето'!au746-'[2]$ лето'!at746-'[2]$ лето'!as746-'[2]$ лето'!ar746-'[2]$ лето'!aq746-'[2]$ лето'!ap746-'[2]$ лето'!an746-'[2]$ лето'!am746-'[2]$ лето'!al746-'[2]$ лето'!ak746-'[2]$ лето'!aj746-'[2]$ лето'!ah746-'[2]$ лето'!ag746-'[2]$ лето'!af746-'[2]$ лето'!ae746-'[2]$ лето'!ad746-'[2]$ лето'!ab746-'[2]$ лето'!aa746-'[2]$ лето'!z746-'[2]$ лето'!y746-'[2]$ лето'!x746-'[2]$ лето'!v746-'[2]$ лето'!u746-'[2]$ лето'!t746-'[2]$ лето'!s746-'[2]$ лето'!r746-'[2]$ лето'!p746-'[2]$ лето'!o746-'[2]$ лето'!n746-'[2]$ лето'!m746-'[2]$ лето'!l746+'[2]$ лето'!k746+'[2]$ лето'!q746+'[2]$ лето'!w746+'[2]$ лето'!ac746+'[2]$ лето'!ai746+'[2]$ лето'!ao746</f>
        <v>0</v>
      </c>
      <c r="I746" s="109" t="n">
        <f aca="false">'[2]$ лето'!ay746*1.1</f>
        <v>2340.8</v>
      </c>
    </row>
    <row r="747" customFormat="false" ht="15" hidden="false" customHeight="false" outlineLevel="0" collapsed="false">
      <c r="A747" s="115" t="s">
        <v>251</v>
      </c>
      <c r="B747" s="115" t="s">
        <v>564</v>
      </c>
      <c r="C747" s="116" t="s">
        <v>1071</v>
      </c>
      <c r="D747" s="116"/>
      <c r="E747" s="116"/>
      <c r="F747" s="116"/>
      <c r="G747" s="108" t="s">
        <v>520</v>
      </c>
      <c r="H747" s="105" t="n">
        <f aca="false">'[2]$ лето'!j747-'[2]$ лето'!au747-'[2]$ лето'!at747-'[2]$ лето'!as747-'[2]$ лето'!ar747-'[2]$ лето'!aq747-'[2]$ лето'!ap747-'[2]$ лето'!an747-'[2]$ лето'!am747-'[2]$ лето'!al747-'[2]$ лето'!ak747-'[2]$ лето'!aj747-'[2]$ лето'!ah747-'[2]$ лето'!ag747-'[2]$ лето'!af747-'[2]$ лето'!ae747-'[2]$ лето'!ad747-'[2]$ лето'!ab747-'[2]$ лето'!aa747-'[2]$ лето'!z747-'[2]$ лето'!y747-'[2]$ лето'!x747-'[2]$ лето'!v747-'[2]$ лето'!u747-'[2]$ лето'!t747-'[2]$ лето'!s747-'[2]$ лето'!r747-'[2]$ лето'!p747-'[2]$ лето'!o747-'[2]$ лето'!n747-'[2]$ лето'!m747-'[2]$ лето'!l747+'[2]$ лето'!k747+'[2]$ лето'!q747+'[2]$ лето'!w747+'[2]$ лето'!ac747+'[2]$ лето'!ai747+'[2]$ лето'!ao747</f>
        <v>4</v>
      </c>
      <c r="I747" s="109" t="n">
        <f aca="false">'[2]$ лето'!ay747*1.1</f>
        <v>1509.2</v>
      </c>
      <c r="J747" s="85" t="n">
        <v>2017</v>
      </c>
    </row>
    <row r="748" customFormat="false" ht="15" hidden="false" customHeight="false" outlineLevel="0" collapsed="false">
      <c r="A748" s="115" t="s">
        <v>251</v>
      </c>
      <c r="B748" s="115" t="s">
        <v>564</v>
      </c>
      <c r="C748" s="116" t="s">
        <v>1337</v>
      </c>
      <c r="D748" s="116"/>
      <c r="E748" s="116"/>
      <c r="F748" s="116"/>
      <c r="G748" s="108" t="s">
        <v>520</v>
      </c>
      <c r="H748" s="105" t="n">
        <f aca="false">'[2]$ лето'!j748-'[2]$ лето'!au748-'[2]$ лето'!at748-'[2]$ лето'!as748-'[2]$ лето'!ar748-'[2]$ лето'!aq748-'[2]$ лето'!ap748-'[2]$ лето'!an748-'[2]$ лето'!am748-'[2]$ лето'!al748-'[2]$ лето'!ak748-'[2]$ лето'!aj748-'[2]$ лето'!ah748-'[2]$ лето'!ag748-'[2]$ лето'!af748-'[2]$ лето'!ae748-'[2]$ лето'!ad748-'[2]$ лето'!ab748-'[2]$ лето'!aa748-'[2]$ лето'!z748-'[2]$ лето'!y748-'[2]$ лето'!x748-'[2]$ лето'!v748-'[2]$ лето'!u748-'[2]$ лето'!t748-'[2]$ лето'!s748-'[2]$ лето'!r748-'[2]$ лето'!p748-'[2]$ лето'!o748-'[2]$ лето'!n748-'[2]$ лето'!m748-'[2]$ лето'!l748+'[2]$ лето'!k748+'[2]$ лето'!q748+'[2]$ лето'!w748+'[2]$ лето'!ac748+'[2]$ лето'!ai748+'[2]$ лето'!ao748</f>
        <v>2</v>
      </c>
      <c r="I748" s="109" t="n">
        <f aca="false">'[2]$ лето'!ay748*1.1</f>
        <v>1540</v>
      </c>
      <c r="J748" s="85" t="n">
        <v>2017</v>
      </c>
    </row>
    <row r="749" customFormat="false" ht="15" hidden="true" customHeight="false" outlineLevel="0" collapsed="false">
      <c r="A749" s="115" t="s">
        <v>257</v>
      </c>
      <c r="B749" s="115" t="s">
        <v>1338</v>
      </c>
      <c r="C749" s="116" t="s">
        <v>1339</v>
      </c>
      <c r="D749" s="116"/>
      <c r="E749" s="116"/>
      <c r="F749" s="116"/>
      <c r="G749" s="108"/>
      <c r="H749" s="105" t="n">
        <f aca="false">'[2]$ лето'!j749-'[2]$ лето'!au749-'[2]$ лето'!at749-'[2]$ лето'!as749-'[2]$ лето'!ar749-'[2]$ лето'!aq749-'[2]$ лето'!ap749-'[2]$ лето'!an749-'[2]$ лето'!am749-'[2]$ лето'!al749-'[2]$ лето'!ak749-'[2]$ лето'!aj749-'[2]$ лето'!ah749-'[2]$ лето'!ag749-'[2]$ лето'!af749-'[2]$ лето'!ae749-'[2]$ лето'!ad749-'[2]$ лето'!ab749-'[2]$ лето'!aa749-'[2]$ лето'!z749-'[2]$ лето'!y749-'[2]$ лето'!x749-'[2]$ лето'!v749-'[2]$ лето'!u749-'[2]$ лето'!t749-'[2]$ лето'!s749-'[2]$ лето'!r749-'[2]$ лето'!p749-'[2]$ лето'!o749-'[2]$ лето'!n749-'[2]$ лето'!m749-'[2]$ лето'!l749+'[2]$ лето'!k749+'[2]$ лето'!q749+'[2]$ лето'!w749+'[2]$ лето'!ac749+'[2]$ лето'!ai749+'[2]$ лето'!ao749</f>
        <v>0</v>
      </c>
      <c r="I749" s="109" t="n">
        <f aca="false">'[2]$ лето'!ay749*1.1</f>
        <v>1724.8</v>
      </c>
      <c r="J749" s="85" t="n">
        <v>2017</v>
      </c>
    </row>
    <row r="750" customFormat="false" ht="15" hidden="false" customHeight="false" outlineLevel="0" collapsed="false">
      <c r="A750" s="115" t="s">
        <v>257</v>
      </c>
      <c r="B750" s="115" t="s">
        <v>568</v>
      </c>
      <c r="C750" s="107" t="s">
        <v>1032</v>
      </c>
      <c r="D750" s="107"/>
      <c r="E750" s="116"/>
      <c r="F750" s="116"/>
      <c r="G750" s="108" t="s">
        <v>640</v>
      </c>
      <c r="H750" s="105" t="n">
        <f aca="false">'[2]$ лето'!j750-'[2]$ лето'!au750-'[2]$ лето'!at750-'[2]$ лето'!as750-'[2]$ лето'!ar750-'[2]$ лето'!aq750-'[2]$ лето'!ap750-'[2]$ лето'!an750-'[2]$ лето'!am750-'[2]$ лето'!al750-'[2]$ лето'!ak750-'[2]$ лето'!aj750-'[2]$ лето'!ah750-'[2]$ лето'!ag750-'[2]$ лето'!af750-'[2]$ лето'!ae750-'[2]$ лето'!ad750-'[2]$ лето'!ab750-'[2]$ лето'!aa750-'[2]$ лето'!z750-'[2]$ лето'!y750-'[2]$ лето'!x750-'[2]$ лето'!v750-'[2]$ лето'!u750-'[2]$ лето'!t750-'[2]$ лето'!s750-'[2]$ лето'!r750-'[2]$ лето'!p750-'[2]$ лето'!o750-'[2]$ лето'!n750-'[2]$ лето'!m750-'[2]$ лето'!l750+'[2]$ лето'!k750+'[2]$ лето'!q750+'[2]$ лето'!w750+'[2]$ лето'!ac750+'[2]$ лето'!ai750+'[2]$ лето'!ao750</f>
        <v>3</v>
      </c>
      <c r="I750" s="109" t="n">
        <f aca="false">'[2]$ лето'!ay750*1.1</f>
        <v>2371.6</v>
      </c>
      <c r="J750" s="85" t="n">
        <v>2018</v>
      </c>
    </row>
    <row r="751" customFormat="false" ht="15" hidden="true" customHeight="false" outlineLevel="0" collapsed="false">
      <c r="A751" s="115" t="s">
        <v>257</v>
      </c>
      <c r="B751" s="115" t="s">
        <v>844</v>
      </c>
      <c r="C751" s="107" t="s">
        <v>1340</v>
      </c>
      <c r="D751" s="107"/>
      <c r="E751" s="107"/>
      <c r="F751" s="107"/>
      <c r="G751" s="108"/>
      <c r="H751" s="105" t="n">
        <f aca="false">'[2]$ лето'!j751-'[2]$ лето'!au751-'[2]$ лето'!at751-'[2]$ лето'!as751-'[2]$ лето'!ar751-'[2]$ лето'!aq751-'[2]$ лето'!ap751-'[2]$ лето'!an751-'[2]$ лето'!am751-'[2]$ лето'!al751-'[2]$ лето'!ak751-'[2]$ лето'!aj751-'[2]$ лето'!ah751-'[2]$ лето'!ag751-'[2]$ лето'!af751-'[2]$ лето'!ae751-'[2]$ лето'!ad751-'[2]$ лето'!ab751-'[2]$ лето'!aa751-'[2]$ лето'!z751-'[2]$ лето'!y751-'[2]$ лето'!x751-'[2]$ лето'!v751-'[2]$ лето'!u751-'[2]$ лето'!t751-'[2]$ лето'!s751-'[2]$ лето'!r751-'[2]$ лето'!p751-'[2]$ лето'!o751-'[2]$ лето'!n751-'[2]$ лето'!m751-'[2]$ лето'!l751+'[2]$ лето'!k751+'[2]$ лето'!q751+'[2]$ лето'!w751+'[2]$ лето'!ac751+'[2]$ лето'!ai751+'[2]$ лето'!ao751</f>
        <v>0</v>
      </c>
      <c r="I751" s="109" t="n">
        <f aca="false">'[2]$ лето'!ay751*1.1</f>
        <v>3572.8</v>
      </c>
    </row>
    <row r="752" customFormat="false" ht="15" hidden="true" customHeight="false" outlineLevel="0" collapsed="false">
      <c r="A752" s="115" t="s">
        <v>257</v>
      </c>
      <c r="B752" s="115" t="s">
        <v>601</v>
      </c>
      <c r="C752" s="107" t="s">
        <v>1341</v>
      </c>
      <c r="D752" s="107"/>
      <c r="E752" s="107"/>
      <c r="F752" s="107"/>
      <c r="G752" s="108"/>
      <c r="H752" s="105" t="n">
        <f aca="false">'[2]$ лето'!j752-'[2]$ лето'!au752-'[2]$ лето'!at752-'[2]$ лето'!as752-'[2]$ лето'!ar752-'[2]$ лето'!aq752-'[2]$ лето'!ap752-'[2]$ лето'!an752-'[2]$ лето'!am752-'[2]$ лето'!al752-'[2]$ лето'!ak752-'[2]$ лето'!aj752-'[2]$ лето'!ah752-'[2]$ лето'!ag752-'[2]$ лето'!af752-'[2]$ лето'!ae752-'[2]$ лето'!ad752-'[2]$ лето'!ab752-'[2]$ лето'!aa752-'[2]$ лето'!z752-'[2]$ лето'!y752-'[2]$ лето'!x752-'[2]$ лето'!v752-'[2]$ лето'!u752-'[2]$ лето'!t752-'[2]$ лето'!s752-'[2]$ лето'!r752-'[2]$ лето'!p752-'[2]$ лето'!o752-'[2]$ лето'!n752-'[2]$ лето'!m752-'[2]$ лето'!l752+'[2]$ лето'!k752+'[2]$ лето'!q752+'[2]$ лето'!w752+'[2]$ лето'!ac752+'[2]$ лето'!ai752+'[2]$ лето'!ao752</f>
        <v>0</v>
      </c>
      <c r="I752" s="109" t="n">
        <f aca="false">'[2]$ лето'!ay752*1.1</f>
        <v>2402.4</v>
      </c>
    </row>
    <row r="753" customFormat="false" ht="15" hidden="false" customHeight="false" outlineLevel="0" collapsed="false">
      <c r="A753" s="115" t="s">
        <v>257</v>
      </c>
      <c r="B753" s="115" t="s">
        <v>658</v>
      </c>
      <c r="C753" s="107" t="s">
        <v>1342</v>
      </c>
      <c r="D753" s="107"/>
      <c r="E753" s="116"/>
      <c r="F753" s="116"/>
      <c r="G753" s="108" t="s">
        <v>585</v>
      </c>
      <c r="H753" s="105" t="n">
        <f aca="false">'[2]$ лето'!j753-'[2]$ лето'!au753-'[2]$ лето'!at753-'[2]$ лето'!as753-'[2]$ лето'!ar753-'[2]$ лето'!aq753-'[2]$ лето'!ap753-'[2]$ лето'!an753-'[2]$ лето'!am753-'[2]$ лето'!al753-'[2]$ лето'!ak753-'[2]$ лето'!aj753-'[2]$ лето'!ah753-'[2]$ лето'!ag753-'[2]$ лето'!af753-'[2]$ лето'!ae753-'[2]$ лето'!ad753-'[2]$ лето'!ab753-'[2]$ лето'!aa753-'[2]$ лето'!z753-'[2]$ лето'!y753-'[2]$ лето'!x753-'[2]$ лето'!v753-'[2]$ лето'!u753-'[2]$ лето'!t753-'[2]$ лето'!s753-'[2]$ лето'!r753-'[2]$ лето'!p753-'[2]$ лето'!o753-'[2]$ лето'!n753-'[2]$ лето'!m753-'[2]$ лето'!l753+'[2]$ лето'!k753+'[2]$ лето'!q753+'[2]$ лето'!w753+'[2]$ лето'!ac753+'[2]$ лето'!ai753+'[2]$ лето'!ao753</f>
        <v>4</v>
      </c>
      <c r="I753" s="109" t="n">
        <f aca="false">'[2]$ лето'!ay753*1.1</f>
        <v>2833.6</v>
      </c>
      <c r="J753" s="85" t="n">
        <v>2018</v>
      </c>
    </row>
    <row r="754" customFormat="false" ht="15" hidden="false" customHeight="false" outlineLevel="0" collapsed="false">
      <c r="A754" s="115" t="str">
        <f aca="false">$A$764</f>
        <v>215.70/R16</v>
      </c>
      <c r="B754" s="115" t="s">
        <v>606</v>
      </c>
      <c r="C754" s="107" t="s">
        <v>1343</v>
      </c>
      <c r="D754" s="107"/>
      <c r="E754" s="116"/>
      <c r="F754" s="116"/>
      <c r="G754" s="108" t="s">
        <v>849</v>
      </c>
      <c r="H754" s="105" t="n">
        <f aca="false">'[2]$ лето'!j754-'[2]$ лето'!au754-'[2]$ лето'!at754-'[2]$ лето'!as754-'[2]$ лето'!ar754-'[2]$ лето'!aq754-'[2]$ лето'!ap754-'[2]$ лето'!an754-'[2]$ лето'!am754-'[2]$ лето'!al754-'[2]$ лето'!ak754-'[2]$ лето'!aj754-'[2]$ лето'!ah754-'[2]$ лето'!ag754-'[2]$ лето'!af754-'[2]$ лето'!ae754-'[2]$ лето'!ad754-'[2]$ лето'!ab754-'[2]$ лето'!aa754-'[2]$ лето'!z754-'[2]$ лето'!y754-'[2]$ лето'!x754-'[2]$ лето'!v754-'[2]$ лето'!u754-'[2]$ лето'!t754-'[2]$ лето'!s754-'[2]$ лето'!r754-'[2]$ лето'!p754-'[2]$ лето'!o754-'[2]$ лето'!n754-'[2]$ лето'!m754-'[2]$ лето'!l754+'[2]$ лето'!k754+'[2]$ лето'!q754+'[2]$ лето'!w754+'[2]$ лето'!ac754+'[2]$ лето'!ai754+'[2]$ лето'!ao754</f>
        <v>8</v>
      </c>
      <c r="I754" s="109" t="n">
        <f aca="false">'[2]$ лето'!ay754*1.1</f>
        <v>2310</v>
      </c>
      <c r="J754" s="85" t="n">
        <v>2016</v>
      </c>
    </row>
    <row r="755" customFormat="false" ht="15" hidden="false" customHeight="false" outlineLevel="0" collapsed="false">
      <c r="A755" s="115" t="str">
        <f aca="false">$A$764</f>
        <v>215.70/R16</v>
      </c>
      <c r="B755" s="115" t="s">
        <v>606</v>
      </c>
      <c r="C755" s="107" t="s">
        <v>1343</v>
      </c>
      <c r="D755" s="107"/>
      <c r="E755" s="116"/>
      <c r="F755" s="116"/>
      <c r="G755" s="108" t="s">
        <v>609</v>
      </c>
      <c r="H755" s="105" t="n">
        <f aca="false">'[2]$ лето'!j755-'[2]$ лето'!au755-'[2]$ лето'!at755-'[2]$ лето'!as755-'[2]$ лето'!ar755-'[2]$ лето'!aq755-'[2]$ лето'!ap755-'[2]$ лето'!an755-'[2]$ лето'!am755-'[2]$ лето'!al755-'[2]$ лето'!ak755-'[2]$ лето'!aj755-'[2]$ лето'!ah755-'[2]$ лето'!ag755-'[2]$ лето'!af755-'[2]$ лето'!ae755-'[2]$ лето'!ad755-'[2]$ лето'!ab755-'[2]$ лето'!aa755-'[2]$ лето'!z755-'[2]$ лето'!y755-'[2]$ лето'!x755-'[2]$ лето'!v755-'[2]$ лето'!u755-'[2]$ лето'!t755-'[2]$ лето'!s755-'[2]$ лето'!r755-'[2]$ лето'!p755-'[2]$ лето'!o755-'[2]$ лето'!n755-'[2]$ лето'!m755-'[2]$ лето'!l755+'[2]$ лето'!k755+'[2]$ лето'!q755+'[2]$ лето'!w755+'[2]$ лето'!ac755+'[2]$ лето'!ai755+'[2]$ лето'!ao755</f>
        <v>2</v>
      </c>
      <c r="I755" s="109" t="n">
        <f aca="false">'[2]$ лето'!ay755*1.1</f>
        <v>2310</v>
      </c>
    </row>
    <row r="756" customFormat="false" ht="15" hidden="false" customHeight="false" outlineLevel="0" collapsed="false">
      <c r="A756" s="115" t="str">
        <f aca="false">$A$764</f>
        <v>215.70/R16</v>
      </c>
      <c r="B756" s="115" t="s">
        <v>606</v>
      </c>
      <c r="C756" s="107" t="s">
        <v>1344</v>
      </c>
      <c r="D756" s="107"/>
      <c r="E756" s="116"/>
      <c r="F756" s="116"/>
      <c r="G756" s="108" t="s">
        <v>849</v>
      </c>
      <c r="H756" s="105" t="n">
        <f aca="false">'[2]$ лето'!j756-'[2]$ лето'!au756-'[2]$ лето'!at756-'[2]$ лето'!as756-'[2]$ лето'!ar756-'[2]$ лето'!aq756-'[2]$ лето'!ap756-'[2]$ лето'!an756-'[2]$ лето'!am756-'[2]$ лето'!al756-'[2]$ лето'!ak756-'[2]$ лето'!aj756-'[2]$ лето'!ah756-'[2]$ лето'!ag756-'[2]$ лето'!af756-'[2]$ лето'!ae756-'[2]$ лето'!ad756-'[2]$ лето'!ab756-'[2]$ лето'!aa756-'[2]$ лето'!z756-'[2]$ лето'!y756-'[2]$ лето'!x756-'[2]$ лето'!v756-'[2]$ лето'!u756-'[2]$ лето'!t756-'[2]$ лето'!s756-'[2]$ лето'!r756-'[2]$ лето'!p756-'[2]$ лето'!o756-'[2]$ лето'!n756-'[2]$ лето'!m756-'[2]$ лето'!l756+'[2]$ лето'!k756+'[2]$ лето'!q756+'[2]$ лето'!w756+'[2]$ лето'!ac756+'[2]$ лето'!ai756+'[2]$ лето'!ao756</f>
        <v>4</v>
      </c>
      <c r="I756" s="109" t="n">
        <f aca="false">'[2]$ лето'!ay756*1.1</f>
        <v>2310</v>
      </c>
      <c r="J756" s="85" t="n">
        <v>2016</v>
      </c>
    </row>
    <row r="757" customFormat="false" ht="15" hidden="true" customHeight="false" outlineLevel="0" collapsed="false">
      <c r="A757" s="115" t="str">
        <f aca="false">$A$764</f>
        <v>215.70/R16</v>
      </c>
      <c r="B757" s="115" t="s">
        <v>606</v>
      </c>
      <c r="C757" s="107" t="s">
        <v>1344</v>
      </c>
      <c r="D757" s="107"/>
      <c r="E757" s="107"/>
      <c r="F757" s="107"/>
      <c r="G757" s="108" t="s">
        <v>849</v>
      </c>
      <c r="H757" s="105" t="n">
        <f aca="false">'[2]$ лето'!j757-'[2]$ лето'!au757-'[2]$ лето'!at757-'[2]$ лето'!as757-'[2]$ лето'!ar757-'[2]$ лето'!aq757-'[2]$ лето'!ap757-'[2]$ лето'!an757-'[2]$ лето'!am757-'[2]$ лето'!al757-'[2]$ лето'!ak757-'[2]$ лето'!aj757-'[2]$ лето'!ah757-'[2]$ лето'!ag757-'[2]$ лето'!af757-'[2]$ лето'!ae757-'[2]$ лето'!ad757-'[2]$ лето'!ab757-'[2]$ лето'!aa757-'[2]$ лето'!z757-'[2]$ лето'!y757-'[2]$ лето'!x757-'[2]$ лето'!v757-'[2]$ лето'!u757-'[2]$ лето'!t757-'[2]$ лето'!s757-'[2]$ лето'!r757-'[2]$ лето'!p757-'[2]$ лето'!o757-'[2]$ лето'!n757-'[2]$ лето'!m757-'[2]$ лето'!l757+'[2]$ лето'!k757+'[2]$ лето'!q757+'[2]$ лето'!w757+'[2]$ лето'!ac757+'[2]$ лето'!ai757+'[2]$ лето'!ao757</f>
        <v>0</v>
      </c>
      <c r="I757" s="109" t="n">
        <f aca="false">'[2]$ лето'!ay757*1.1</f>
        <v>2402.4</v>
      </c>
      <c r="J757" s="85" t="n">
        <v>2017</v>
      </c>
    </row>
    <row r="758" customFormat="false" ht="15" hidden="false" customHeight="false" outlineLevel="0" collapsed="false">
      <c r="A758" s="115" t="s">
        <v>257</v>
      </c>
      <c r="B758" s="115" t="s">
        <v>1130</v>
      </c>
      <c r="C758" s="107" t="s">
        <v>1345</v>
      </c>
      <c r="D758" s="107"/>
      <c r="E758" s="116"/>
      <c r="F758" s="116"/>
      <c r="G758" s="108"/>
      <c r="H758" s="105" t="n">
        <f aca="false">'[2]$ лето'!j758-'[2]$ лето'!au758-'[2]$ лето'!at758-'[2]$ лето'!as758-'[2]$ лето'!ar758-'[2]$ лето'!aq758-'[2]$ лето'!ap758-'[2]$ лето'!an758-'[2]$ лето'!am758-'[2]$ лето'!al758-'[2]$ лето'!ak758-'[2]$ лето'!aj758-'[2]$ лето'!ah758-'[2]$ лето'!ag758-'[2]$ лето'!af758-'[2]$ лето'!ae758-'[2]$ лето'!ad758-'[2]$ лето'!ab758-'[2]$ лето'!aa758-'[2]$ лето'!z758-'[2]$ лето'!y758-'[2]$ лето'!x758-'[2]$ лето'!v758-'[2]$ лето'!u758-'[2]$ лето'!t758-'[2]$ лето'!s758-'[2]$ лето'!r758-'[2]$ лето'!p758-'[2]$ лето'!o758-'[2]$ лето'!n758-'[2]$ лето'!m758-'[2]$ лето'!l758+'[2]$ лето'!k758+'[2]$ лето'!q758+'[2]$ лето'!w758+'[2]$ лето'!ac758+'[2]$ лето'!ai758+'[2]$ лето'!ao758</f>
        <v>4</v>
      </c>
      <c r="I758" s="109" t="n">
        <f aca="false">'[2]$ лето'!ay758*1.1</f>
        <v>1570.8</v>
      </c>
    </row>
    <row r="759" customFormat="false" ht="15" hidden="false" customHeight="false" outlineLevel="0" collapsed="false">
      <c r="A759" s="115" t="s">
        <v>257</v>
      </c>
      <c r="B759" s="115" t="s">
        <v>668</v>
      </c>
      <c r="C759" s="107" t="s">
        <v>1346</v>
      </c>
      <c r="D759" s="107"/>
      <c r="E759" s="116"/>
      <c r="F759" s="116"/>
      <c r="G759" s="108" t="s">
        <v>609</v>
      </c>
      <c r="H759" s="105" t="n">
        <f aca="false">'[2]$ лето'!j759-'[2]$ лето'!au759-'[2]$ лето'!at759-'[2]$ лето'!as759-'[2]$ лето'!ar759-'[2]$ лето'!aq759-'[2]$ лето'!ap759-'[2]$ лето'!an759-'[2]$ лето'!am759-'[2]$ лето'!al759-'[2]$ лето'!ak759-'[2]$ лето'!aj759-'[2]$ лето'!ah759-'[2]$ лето'!ag759-'[2]$ лето'!af759-'[2]$ лето'!ae759-'[2]$ лето'!ad759-'[2]$ лето'!ab759-'[2]$ лето'!aa759-'[2]$ лето'!z759-'[2]$ лето'!y759-'[2]$ лето'!x759-'[2]$ лето'!v759-'[2]$ лето'!u759-'[2]$ лето'!t759-'[2]$ лето'!s759-'[2]$ лето'!r759-'[2]$ лето'!p759-'[2]$ лето'!o759-'[2]$ лето'!n759-'[2]$ лето'!m759-'[2]$ лето'!l759+'[2]$ лето'!k759+'[2]$ лето'!q759+'[2]$ лето'!w759+'[2]$ лето'!ac759+'[2]$ лето'!ai759+'[2]$ лето'!ao759</f>
        <v>8</v>
      </c>
      <c r="I759" s="109" t="n">
        <f aca="false">'[2]$ лето'!ay759*1.1</f>
        <v>1925</v>
      </c>
    </row>
    <row r="760" customFormat="false" ht="15" hidden="false" customHeight="false" outlineLevel="0" collapsed="false">
      <c r="A760" s="115" t="s">
        <v>257</v>
      </c>
      <c r="B760" s="115" t="s">
        <v>668</v>
      </c>
      <c r="C760" s="107" t="s">
        <v>1347</v>
      </c>
      <c r="D760" s="107"/>
      <c r="E760" s="116"/>
      <c r="F760" s="116"/>
      <c r="G760" s="108" t="s">
        <v>609</v>
      </c>
      <c r="H760" s="105" t="n">
        <f aca="false">'[2]$ лето'!j760-'[2]$ лето'!au760-'[2]$ лето'!at760-'[2]$ лето'!as760-'[2]$ лето'!ar760-'[2]$ лето'!aq760-'[2]$ лето'!ap760-'[2]$ лето'!an760-'[2]$ лето'!am760-'[2]$ лето'!al760-'[2]$ лето'!ak760-'[2]$ лето'!aj760-'[2]$ лето'!ah760-'[2]$ лето'!ag760-'[2]$ лето'!af760-'[2]$ лето'!ae760-'[2]$ лето'!ad760-'[2]$ лето'!ab760-'[2]$ лето'!aa760-'[2]$ лето'!z760-'[2]$ лето'!y760-'[2]$ лето'!x760-'[2]$ лето'!v760-'[2]$ лето'!u760-'[2]$ лето'!t760-'[2]$ лето'!s760-'[2]$ лето'!r760-'[2]$ лето'!p760-'[2]$ лето'!o760-'[2]$ лето'!n760-'[2]$ лето'!m760-'[2]$ лето'!l760+'[2]$ лето'!k760+'[2]$ лето'!q760+'[2]$ лето'!w760+'[2]$ лето'!ac760+'[2]$ лето'!ai760+'[2]$ лето'!ao760</f>
        <v>2</v>
      </c>
      <c r="I760" s="109" t="n">
        <f aca="false">'[2]$ лето'!ay760*1.1</f>
        <v>2365</v>
      </c>
      <c r="J760" s="85" t="n">
        <v>2017</v>
      </c>
    </row>
    <row r="761" customFormat="false" ht="15" hidden="false" customHeight="false" outlineLevel="0" collapsed="false">
      <c r="A761" s="115" t="s">
        <v>257</v>
      </c>
      <c r="B761" s="115" t="s">
        <v>574</v>
      </c>
      <c r="C761" s="116" t="s">
        <v>1348</v>
      </c>
      <c r="D761" s="116"/>
      <c r="E761" s="116"/>
      <c r="F761" s="116"/>
      <c r="G761" s="108" t="s">
        <v>576</v>
      </c>
      <c r="H761" s="105" t="n">
        <f aca="false">'[2]$ лето'!j761-'[2]$ лето'!au761-'[2]$ лето'!at761-'[2]$ лето'!as761-'[2]$ лето'!ar761-'[2]$ лето'!aq761-'[2]$ лето'!ap761-'[2]$ лето'!an761-'[2]$ лето'!am761-'[2]$ лето'!al761-'[2]$ лето'!ak761-'[2]$ лето'!aj761-'[2]$ лето'!ah761-'[2]$ лето'!ag761-'[2]$ лето'!af761-'[2]$ лето'!ae761-'[2]$ лето'!ad761-'[2]$ лето'!ab761-'[2]$ лето'!aa761-'[2]$ лето'!z761-'[2]$ лето'!y761-'[2]$ лето'!x761-'[2]$ лето'!v761-'[2]$ лето'!u761-'[2]$ лето'!t761-'[2]$ лето'!s761-'[2]$ лето'!r761-'[2]$ лето'!p761-'[2]$ лето'!o761-'[2]$ лето'!n761-'[2]$ лето'!m761-'[2]$ лето'!l761+'[2]$ лето'!k761+'[2]$ лето'!q761+'[2]$ лето'!w761+'[2]$ лето'!ac761+'[2]$ лето'!ai761+'[2]$ лето'!ao761</f>
        <v>4</v>
      </c>
      <c r="I761" s="109" t="n">
        <f aca="false">'[2]$ лето'!ay761*1.1</f>
        <v>2186.8</v>
      </c>
    </row>
    <row r="762" customFormat="false" ht="15" hidden="false" customHeight="false" outlineLevel="0" collapsed="false">
      <c r="A762" s="115" t="s">
        <v>257</v>
      </c>
      <c r="B762" s="115" t="s">
        <v>577</v>
      </c>
      <c r="C762" s="116" t="s">
        <v>1349</v>
      </c>
      <c r="D762" s="116"/>
      <c r="E762" s="116"/>
      <c r="F762" s="116"/>
      <c r="G762" s="108" t="s">
        <v>563</v>
      </c>
      <c r="H762" s="105" t="n">
        <f aca="false">'[2]$ лето'!j762-'[2]$ лето'!au762-'[2]$ лето'!at762-'[2]$ лето'!as762-'[2]$ лето'!ar762-'[2]$ лето'!aq762-'[2]$ лето'!ap762-'[2]$ лето'!an762-'[2]$ лето'!am762-'[2]$ лето'!al762-'[2]$ лето'!ak762-'[2]$ лето'!aj762-'[2]$ лето'!ah762-'[2]$ лето'!ag762-'[2]$ лето'!af762-'[2]$ лето'!ae762-'[2]$ лето'!ad762-'[2]$ лето'!ab762-'[2]$ лето'!aa762-'[2]$ лето'!z762-'[2]$ лето'!y762-'[2]$ лето'!x762-'[2]$ лето'!v762-'[2]$ лето'!u762-'[2]$ лето'!t762-'[2]$ лето'!s762-'[2]$ лето'!r762-'[2]$ лето'!p762-'[2]$ лето'!o762-'[2]$ лето'!n762-'[2]$ лето'!m762-'[2]$ лето'!l762+'[2]$ лето'!k762+'[2]$ лето'!q762+'[2]$ лето'!w762+'[2]$ лето'!ac762+'[2]$ лето'!ai762+'[2]$ лето'!ao762</f>
        <v>8</v>
      </c>
      <c r="I762" s="109" t="n">
        <f aca="false">'[2]$ лето'!ay762*1.1</f>
        <v>1909.6</v>
      </c>
      <c r="J762" s="85" t="n">
        <v>2017</v>
      </c>
    </row>
    <row r="763" customFormat="false" ht="15" hidden="false" customHeight="false" outlineLevel="0" collapsed="false">
      <c r="A763" s="115" t="str">
        <f aca="false">$A$764</f>
        <v>215.70/R16</v>
      </c>
      <c r="B763" s="115" t="s">
        <v>583</v>
      </c>
      <c r="C763" s="116" t="s">
        <v>1350</v>
      </c>
      <c r="D763" s="116"/>
      <c r="E763" s="116"/>
      <c r="F763" s="116"/>
      <c r="G763" s="108" t="s">
        <v>640</v>
      </c>
      <c r="H763" s="105" t="n">
        <f aca="false">'[2]$ лето'!j763-'[2]$ лето'!au763-'[2]$ лето'!at763-'[2]$ лето'!as763-'[2]$ лето'!ar763-'[2]$ лето'!aq763-'[2]$ лето'!ap763-'[2]$ лето'!an763-'[2]$ лето'!am763-'[2]$ лето'!al763-'[2]$ лето'!ak763-'[2]$ лето'!aj763-'[2]$ лето'!ah763-'[2]$ лето'!ag763-'[2]$ лето'!af763-'[2]$ лето'!ae763-'[2]$ лето'!ad763-'[2]$ лето'!ab763-'[2]$ лето'!aa763-'[2]$ лето'!z763-'[2]$ лето'!y763-'[2]$ лето'!x763-'[2]$ лето'!v763-'[2]$ лето'!u763-'[2]$ лето'!t763-'[2]$ лето'!s763-'[2]$ лето'!r763-'[2]$ лето'!p763-'[2]$ лето'!o763-'[2]$ лето'!n763-'[2]$ лето'!m763-'[2]$ лето'!l763+'[2]$ лето'!k763+'[2]$ лето'!q763+'[2]$ лето'!w763+'[2]$ лето'!ac763+'[2]$ лето'!ai763+'[2]$ лето'!ao763</f>
        <v>8</v>
      </c>
      <c r="I763" s="109" t="n">
        <f aca="false">'[2]$ лето'!ay763*1.1</f>
        <v>2340.8</v>
      </c>
      <c r="J763" s="85" t="n">
        <v>2018</v>
      </c>
    </row>
    <row r="764" customFormat="false" ht="15" hidden="false" customHeight="false" outlineLevel="0" collapsed="false">
      <c r="A764" s="115" t="s">
        <v>257</v>
      </c>
      <c r="B764" s="115" t="s">
        <v>593</v>
      </c>
      <c r="C764" s="107" t="s">
        <v>1351</v>
      </c>
      <c r="D764" s="107"/>
      <c r="E764" s="116"/>
      <c r="F764" s="116"/>
      <c r="G764" s="108" t="s">
        <v>663</v>
      </c>
      <c r="H764" s="105" t="n">
        <f aca="false">'[2]$ лето'!j764-'[2]$ лето'!au764-'[2]$ лето'!at764-'[2]$ лето'!as764-'[2]$ лето'!ar764-'[2]$ лето'!aq764-'[2]$ лето'!ap764-'[2]$ лето'!an764-'[2]$ лето'!am764-'[2]$ лето'!al764-'[2]$ лето'!ak764-'[2]$ лето'!aj764-'[2]$ лето'!ah764-'[2]$ лето'!ag764-'[2]$ лето'!af764-'[2]$ лето'!ae764-'[2]$ лето'!ad764-'[2]$ лето'!ab764-'[2]$ лето'!aa764-'[2]$ лето'!z764-'[2]$ лето'!y764-'[2]$ лето'!x764-'[2]$ лето'!v764-'[2]$ лето'!u764-'[2]$ лето'!t764-'[2]$ лето'!s764-'[2]$ лето'!r764-'[2]$ лето'!p764-'[2]$ лето'!o764-'[2]$ лето'!n764-'[2]$ лето'!m764-'[2]$ лето'!l764+'[2]$ лето'!k764+'[2]$ лето'!q764+'[2]$ лето'!w764+'[2]$ лето'!ac764+'[2]$ лето'!ai764+'[2]$ лето'!ao764</f>
        <v>8</v>
      </c>
      <c r="I764" s="109" t="n">
        <f aca="false">'[2]$ лето'!ay764*1.1</f>
        <v>3264.8</v>
      </c>
      <c r="J764" s="85" t="n">
        <v>2017</v>
      </c>
    </row>
    <row r="765" customFormat="false" ht="15" hidden="true" customHeight="false" outlineLevel="0" collapsed="false">
      <c r="A765" s="115" t="s">
        <v>257</v>
      </c>
      <c r="B765" s="115" t="s">
        <v>593</v>
      </c>
      <c r="C765" s="107" t="s">
        <v>1352</v>
      </c>
      <c r="D765" s="107"/>
      <c r="E765" s="107"/>
      <c r="F765" s="107"/>
      <c r="G765" s="108"/>
      <c r="H765" s="105" t="n">
        <f aca="false">'[2]$ лето'!j765-'[2]$ лето'!au765-'[2]$ лето'!at765-'[2]$ лето'!as765-'[2]$ лето'!ar765-'[2]$ лето'!aq765-'[2]$ лето'!ap765-'[2]$ лето'!an765-'[2]$ лето'!am765-'[2]$ лето'!al765-'[2]$ лето'!ak765-'[2]$ лето'!aj765-'[2]$ лето'!ah765-'[2]$ лето'!ag765-'[2]$ лето'!af765-'[2]$ лето'!ae765-'[2]$ лето'!ad765-'[2]$ лето'!ab765-'[2]$ лето'!aa765-'[2]$ лето'!z765-'[2]$ лето'!y765-'[2]$ лето'!x765-'[2]$ лето'!v765-'[2]$ лето'!u765-'[2]$ лето'!t765-'[2]$ лето'!s765-'[2]$ лето'!r765-'[2]$ лето'!p765-'[2]$ лето'!o765-'[2]$ лето'!n765-'[2]$ лето'!m765-'[2]$ лето'!l765+'[2]$ лето'!k765+'[2]$ лето'!q765+'[2]$ лето'!w765+'[2]$ лето'!ac765+'[2]$ лето'!ai765+'[2]$ лето'!ao765</f>
        <v>0</v>
      </c>
      <c r="I765" s="109" t="n">
        <f aca="false">'[2]$ лето'!ay765*1.1</f>
        <v>2956.8</v>
      </c>
      <c r="J765" s="85" t="s">
        <v>1127</v>
      </c>
    </row>
    <row r="766" customFormat="false" ht="15" hidden="false" customHeight="false" outlineLevel="0" collapsed="false">
      <c r="A766" s="115" t="s">
        <v>257</v>
      </c>
      <c r="B766" s="115" t="s">
        <v>586</v>
      </c>
      <c r="C766" s="116" t="s">
        <v>1353</v>
      </c>
      <c r="D766" s="116"/>
      <c r="E766" s="116"/>
      <c r="F766" s="116"/>
      <c r="G766" s="108" t="s">
        <v>520</v>
      </c>
      <c r="H766" s="105" t="n">
        <f aca="false">'[2]$ лето'!j766-'[2]$ лето'!au766-'[2]$ лето'!at766-'[2]$ лето'!as766-'[2]$ лето'!ar766-'[2]$ лето'!aq766-'[2]$ лето'!ap766-'[2]$ лето'!an766-'[2]$ лето'!am766-'[2]$ лето'!al766-'[2]$ лето'!ak766-'[2]$ лето'!aj766-'[2]$ лето'!ah766-'[2]$ лето'!ag766-'[2]$ лето'!af766-'[2]$ лето'!ae766-'[2]$ лето'!ad766-'[2]$ лето'!ab766-'[2]$ лето'!aa766-'[2]$ лето'!z766-'[2]$ лето'!y766-'[2]$ лето'!x766-'[2]$ лето'!v766-'[2]$ лето'!u766-'[2]$ лето'!t766-'[2]$ лето'!s766-'[2]$ лето'!r766-'[2]$ лето'!p766-'[2]$ лето'!o766-'[2]$ лето'!n766-'[2]$ лето'!m766-'[2]$ лето'!l766+'[2]$ лето'!k766+'[2]$ лето'!q766+'[2]$ лето'!w766+'[2]$ лето'!ac766+'[2]$ лето'!ai766+'[2]$ лето'!ao766</f>
        <v>2</v>
      </c>
      <c r="I766" s="109" t="n">
        <f aca="false">'[2]$ лето'!ay766*1.1</f>
        <v>1478.4</v>
      </c>
      <c r="J766" s="85" t="n">
        <v>2018</v>
      </c>
    </row>
    <row r="767" customFormat="false" ht="15" hidden="false" customHeight="false" outlineLevel="0" collapsed="false">
      <c r="A767" s="115" t="s">
        <v>257</v>
      </c>
      <c r="B767" s="115" t="s">
        <v>833</v>
      </c>
      <c r="C767" s="116" t="n">
        <v>701</v>
      </c>
      <c r="D767" s="116"/>
      <c r="E767" s="116"/>
      <c r="F767" s="116"/>
      <c r="G767" s="108"/>
      <c r="H767" s="105" t="n">
        <f aca="false">'[2]$ лето'!j767-'[2]$ лето'!au767-'[2]$ лето'!at767-'[2]$ лето'!as767-'[2]$ лето'!ar767-'[2]$ лето'!aq767-'[2]$ лето'!ap767-'[2]$ лето'!an767-'[2]$ лето'!am767-'[2]$ лето'!al767-'[2]$ лето'!ak767-'[2]$ лето'!aj767-'[2]$ лето'!ah767-'[2]$ лето'!ag767-'[2]$ лето'!af767-'[2]$ лето'!ae767-'[2]$ лето'!ad767-'[2]$ лето'!ab767-'[2]$ лето'!aa767-'[2]$ лето'!z767-'[2]$ лето'!y767-'[2]$ лето'!x767-'[2]$ лето'!v767-'[2]$ лето'!u767-'[2]$ лето'!t767-'[2]$ лето'!s767-'[2]$ лето'!r767-'[2]$ лето'!p767-'[2]$ лето'!o767-'[2]$ лето'!n767-'[2]$ лето'!m767-'[2]$ лето'!l767+'[2]$ лето'!k767+'[2]$ лето'!q767+'[2]$ лето'!w767+'[2]$ лето'!ac767+'[2]$ лето'!ai767+'[2]$ лето'!ao767</f>
        <v>2</v>
      </c>
      <c r="I767" s="109" t="n">
        <f aca="false">'[2]$ лето'!ay767*1.1</f>
        <v>1755.6</v>
      </c>
    </row>
    <row r="768" customFormat="false" ht="15" hidden="true" customHeight="false" outlineLevel="0" collapsed="false">
      <c r="A768" s="115" t="s">
        <v>257</v>
      </c>
      <c r="B768" s="115" t="s">
        <v>623</v>
      </c>
      <c r="C768" s="116" t="s">
        <v>1354</v>
      </c>
      <c r="D768" s="116"/>
      <c r="E768" s="116"/>
      <c r="F768" s="116"/>
      <c r="G768" s="108"/>
      <c r="H768" s="105" t="n">
        <f aca="false">'[2]$ лето'!j768-'[2]$ лето'!au768-'[2]$ лето'!at768-'[2]$ лето'!as768-'[2]$ лето'!ar768-'[2]$ лето'!aq768-'[2]$ лето'!ap768-'[2]$ лето'!an768-'[2]$ лето'!am768-'[2]$ лето'!al768-'[2]$ лето'!ak768-'[2]$ лето'!aj768-'[2]$ лето'!ah768-'[2]$ лето'!ag768-'[2]$ лето'!af768-'[2]$ лето'!ae768-'[2]$ лето'!ad768-'[2]$ лето'!ab768-'[2]$ лето'!aa768-'[2]$ лето'!z768-'[2]$ лето'!y768-'[2]$ лето'!x768-'[2]$ лето'!v768-'[2]$ лето'!u768-'[2]$ лето'!t768-'[2]$ лето'!s768-'[2]$ лето'!r768-'[2]$ лето'!p768-'[2]$ лето'!o768-'[2]$ лето'!n768-'[2]$ лето'!m768-'[2]$ лето'!l768+'[2]$ лето'!k768+'[2]$ лето'!q768+'[2]$ лето'!w768+'[2]$ лето'!ac768+'[2]$ лето'!ai768+'[2]$ лето'!ao768</f>
        <v>0</v>
      </c>
      <c r="I768" s="109" t="n">
        <f aca="false">'[2]$ лето'!ay768*1.1</f>
        <v>1940.4</v>
      </c>
    </row>
    <row r="769" customFormat="false" ht="15" hidden="false" customHeight="false" outlineLevel="0" collapsed="false">
      <c r="A769" s="115" t="s">
        <v>257</v>
      </c>
      <c r="B769" s="115" t="s">
        <v>589</v>
      </c>
      <c r="C769" s="116" t="s">
        <v>1355</v>
      </c>
      <c r="D769" s="116"/>
      <c r="E769" s="116"/>
      <c r="F769" s="116"/>
      <c r="G769" s="108" t="s">
        <v>626</v>
      </c>
      <c r="H769" s="105" t="n">
        <f aca="false">'[2]$ лето'!j769-'[2]$ лето'!au769-'[2]$ лето'!at769-'[2]$ лето'!as769-'[2]$ лето'!ar769-'[2]$ лето'!aq769-'[2]$ лето'!ap769-'[2]$ лето'!an769-'[2]$ лето'!am769-'[2]$ лето'!al769-'[2]$ лето'!ak769-'[2]$ лето'!aj769-'[2]$ лето'!ah769-'[2]$ лето'!ag769-'[2]$ лето'!af769-'[2]$ лето'!ae769-'[2]$ лето'!ad769-'[2]$ лето'!ab769-'[2]$ лето'!aa769-'[2]$ лето'!z769-'[2]$ лето'!y769-'[2]$ лето'!x769-'[2]$ лето'!v769-'[2]$ лето'!u769-'[2]$ лето'!t769-'[2]$ лето'!s769-'[2]$ лето'!r769-'[2]$ лето'!p769-'[2]$ лето'!o769-'[2]$ лето'!n769-'[2]$ лето'!m769-'[2]$ лето'!l769+'[2]$ лето'!k769+'[2]$ лето'!q769+'[2]$ лето'!w769+'[2]$ лето'!ac769+'[2]$ лето'!ai769+'[2]$ лето'!ao769</f>
        <v>12</v>
      </c>
      <c r="I769" s="109" t="n">
        <f aca="false">'[2]$ лето'!ay769*1.1</f>
        <v>2499.2</v>
      </c>
      <c r="J769" s="85" t="n">
        <v>2017</v>
      </c>
    </row>
    <row r="770" customFormat="false" ht="15" hidden="false" customHeight="false" outlineLevel="0" collapsed="false">
      <c r="A770" s="115" t="s">
        <v>257</v>
      </c>
      <c r="B770" s="115" t="s">
        <v>564</v>
      </c>
      <c r="C770" s="116" t="s">
        <v>1356</v>
      </c>
      <c r="D770" s="116"/>
      <c r="E770" s="116"/>
      <c r="F770" s="116"/>
      <c r="G770" s="108" t="s">
        <v>520</v>
      </c>
      <c r="H770" s="105" t="n">
        <f aca="false">'[2]$ лето'!j770-'[2]$ лето'!au770-'[2]$ лето'!at770-'[2]$ лето'!as770-'[2]$ лето'!ar770-'[2]$ лето'!aq770-'[2]$ лето'!ap770-'[2]$ лето'!an770-'[2]$ лето'!am770-'[2]$ лето'!al770-'[2]$ лето'!ak770-'[2]$ лето'!aj770-'[2]$ лето'!ah770-'[2]$ лето'!ag770-'[2]$ лето'!af770-'[2]$ лето'!ae770-'[2]$ лето'!ad770-'[2]$ лето'!ab770-'[2]$ лето'!aa770-'[2]$ лето'!z770-'[2]$ лето'!y770-'[2]$ лето'!x770-'[2]$ лето'!v770-'[2]$ лето'!u770-'[2]$ лето'!t770-'[2]$ лето'!s770-'[2]$ лето'!r770-'[2]$ лето'!p770-'[2]$ лето'!o770-'[2]$ лето'!n770-'[2]$ лето'!m770-'[2]$ лето'!l770+'[2]$ лето'!k770+'[2]$ лето'!q770+'[2]$ лето'!w770+'[2]$ лето'!ac770+'[2]$ лето'!ai770+'[2]$ лето'!ao770</f>
        <v>4</v>
      </c>
      <c r="I770" s="109" t="n">
        <f aca="false">'[2]$ лето'!ay770*1.1</f>
        <v>1694</v>
      </c>
      <c r="J770" s="85" t="n">
        <v>2017</v>
      </c>
    </row>
    <row r="771" customFormat="false" ht="15" hidden="true" customHeight="false" outlineLevel="0" collapsed="false">
      <c r="A771" s="115" t="s">
        <v>1357</v>
      </c>
      <c r="B771" s="115" t="s">
        <v>593</v>
      </c>
      <c r="C771" s="116" t="s">
        <v>1358</v>
      </c>
      <c r="D771" s="116"/>
      <c r="E771" s="116"/>
      <c r="F771" s="116"/>
      <c r="G771" s="108"/>
      <c r="H771" s="105" t="n">
        <f aca="false">'[2]$ лето'!j771-'[2]$ лето'!au771-'[2]$ лето'!at771-'[2]$ лето'!as771-'[2]$ лето'!ar771-'[2]$ лето'!aq771-'[2]$ лето'!ap771-'[2]$ лето'!an771-'[2]$ лето'!am771-'[2]$ лето'!al771-'[2]$ лето'!ak771-'[2]$ лето'!aj771-'[2]$ лето'!ah771-'[2]$ лето'!ag771-'[2]$ лето'!af771-'[2]$ лето'!ae771-'[2]$ лето'!ad771-'[2]$ лето'!ab771-'[2]$ лето'!aa771-'[2]$ лето'!z771-'[2]$ лето'!y771-'[2]$ лето'!x771-'[2]$ лето'!v771-'[2]$ лето'!u771-'[2]$ лето'!t771-'[2]$ лето'!s771-'[2]$ лето'!r771-'[2]$ лето'!p771-'[2]$ лето'!o771-'[2]$ лето'!n771-'[2]$ лето'!m771-'[2]$ лето'!l771+'[2]$ лето'!k771+'[2]$ лето'!q771+'[2]$ лето'!w771+'[2]$ лето'!ac771+'[2]$ лето'!ai771+'[2]$ лето'!ao771</f>
        <v>0</v>
      </c>
      <c r="I771" s="109" t="n">
        <f aca="false">'[2]$ лето'!ay771*1.1</f>
        <v>2618</v>
      </c>
    </row>
    <row r="772" customFormat="false" ht="15" hidden="true" customHeight="false" outlineLevel="0" collapsed="false">
      <c r="A772" s="115" t="s">
        <v>259</v>
      </c>
      <c r="B772" s="115" t="s">
        <v>566</v>
      </c>
      <c r="C772" s="107" t="s">
        <v>1359</v>
      </c>
      <c r="D772" s="107"/>
      <c r="E772" s="107"/>
      <c r="F772" s="107"/>
      <c r="G772" s="108" t="s">
        <v>563</v>
      </c>
      <c r="H772" s="105" t="n">
        <f aca="false">'[2]$ лето'!j772-'[2]$ лето'!au772-'[2]$ лето'!at772-'[2]$ лето'!as772-'[2]$ лето'!ar772-'[2]$ лето'!aq772-'[2]$ лето'!ap772-'[2]$ лето'!an772-'[2]$ лето'!am772-'[2]$ лето'!al772-'[2]$ лето'!ak772-'[2]$ лето'!aj772-'[2]$ лето'!ah772-'[2]$ лето'!ag772-'[2]$ лето'!af772-'[2]$ лето'!ae772-'[2]$ лето'!ad772-'[2]$ лето'!ab772-'[2]$ лето'!aa772-'[2]$ лето'!z772-'[2]$ лето'!y772-'[2]$ лето'!x772-'[2]$ лето'!v772-'[2]$ лето'!u772-'[2]$ лето'!t772-'[2]$ лето'!s772-'[2]$ лето'!r772-'[2]$ лето'!p772-'[2]$ лето'!o772-'[2]$ лето'!n772-'[2]$ лето'!m772-'[2]$ лето'!l772+'[2]$ лето'!k772+'[2]$ лето'!q772+'[2]$ лето'!w772+'[2]$ лето'!ac772+'[2]$ лето'!ai772+'[2]$ лето'!ao772</f>
        <v>0</v>
      </c>
      <c r="I772" s="109" t="n">
        <f aca="false">'[2]$ лето'!ay772*1.1</f>
        <v>1632.4</v>
      </c>
      <c r="J772" s="85" t="n">
        <v>2017</v>
      </c>
    </row>
    <row r="773" customFormat="false" ht="15" hidden="true" customHeight="false" outlineLevel="0" collapsed="false">
      <c r="A773" s="115" t="s">
        <v>259</v>
      </c>
      <c r="B773" s="115" t="s">
        <v>568</v>
      </c>
      <c r="C773" s="107" t="s">
        <v>1360</v>
      </c>
      <c r="D773" s="107"/>
      <c r="E773" s="107"/>
      <c r="F773" s="107"/>
      <c r="G773" s="108"/>
      <c r="H773" s="105" t="n">
        <f aca="false">'[2]$ лето'!j773-'[2]$ лето'!au773-'[2]$ лето'!at773-'[2]$ лето'!as773-'[2]$ лето'!ar773-'[2]$ лето'!aq773-'[2]$ лето'!ap773-'[2]$ лето'!an773-'[2]$ лето'!am773-'[2]$ лето'!al773-'[2]$ лето'!ak773-'[2]$ лето'!aj773-'[2]$ лето'!ah773-'[2]$ лето'!ag773-'[2]$ лето'!af773-'[2]$ лето'!ae773-'[2]$ лето'!ad773-'[2]$ лето'!ab773-'[2]$ лето'!aa773-'[2]$ лето'!z773-'[2]$ лето'!y773-'[2]$ лето'!x773-'[2]$ лето'!v773-'[2]$ лето'!u773-'[2]$ лето'!t773-'[2]$ лето'!s773-'[2]$ лето'!r773-'[2]$ лето'!p773-'[2]$ лето'!o773-'[2]$ лето'!n773-'[2]$ лето'!m773-'[2]$ лето'!l773+'[2]$ лето'!k773+'[2]$ лето'!q773+'[2]$ лето'!w773+'[2]$ лето'!ac773+'[2]$ лето'!ai773+'[2]$ лето'!ao773</f>
        <v>0</v>
      </c>
      <c r="I773" s="109" t="n">
        <f aca="false">'[2]$ лето'!ay773*1.1</f>
        <v>1940.4</v>
      </c>
    </row>
    <row r="774" customFormat="false" ht="15" hidden="true" customHeight="false" outlineLevel="0" collapsed="false">
      <c r="A774" s="115" t="s">
        <v>259</v>
      </c>
      <c r="B774" s="115" t="s">
        <v>601</v>
      </c>
      <c r="C774" s="107" t="s">
        <v>1361</v>
      </c>
      <c r="D774" s="107"/>
      <c r="E774" s="107"/>
      <c r="F774" s="107"/>
      <c r="G774" s="108"/>
      <c r="H774" s="105" t="n">
        <f aca="false">'[2]$ лето'!j774-'[2]$ лето'!au774-'[2]$ лето'!at774-'[2]$ лето'!as774-'[2]$ лето'!ar774-'[2]$ лето'!aq774-'[2]$ лето'!ap774-'[2]$ лето'!an774-'[2]$ лето'!am774-'[2]$ лето'!al774-'[2]$ лето'!ak774-'[2]$ лето'!aj774-'[2]$ лето'!ah774-'[2]$ лето'!ag774-'[2]$ лето'!af774-'[2]$ лето'!ae774-'[2]$ лето'!ad774-'[2]$ лето'!ab774-'[2]$ лето'!aa774-'[2]$ лето'!z774-'[2]$ лето'!y774-'[2]$ лето'!x774-'[2]$ лето'!v774-'[2]$ лето'!u774-'[2]$ лето'!t774-'[2]$ лето'!s774-'[2]$ лето'!r774-'[2]$ лето'!p774-'[2]$ лето'!o774-'[2]$ лето'!n774-'[2]$ лето'!m774-'[2]$ лето'!l774+'[2]$ лето'!k774+'[2]$ лето'!q774+'[2]$ лето'!w774+'[2]$ лето'!ac774+'[2]$ лето'!ai774+'[2]$ лето'!ao774</f>
        <v>0</v>
      </c>
      <c r="I774" s="109" t="n">
        <f aca="false">'[2]$ лето'!ay774*1.1</f>
        <v>2525.6</v>
      </c>
    </row>
    <row r="775" customFormat="false" ht="15" hidden="false" customHeight="false" outlineLevel="0" collapsed="false">
      <c r="A775" s="115" t="s">
        <v>259</v>
      </c>
      <c r="B775" s="115" t="s">
        <v>658</v>
      </c>
      <c r="C775" s="107" t="s">
        <v>1362</v>
      </c>
      <c r="D775" s="107"/>
      <c r="E775" s="116"/>
      <c r="F775" s="116"/>
      <c r="G775" s="108" t="s">
        <v>843</v>
      </c>
      <c r="H775" s="105" t="n">
        <f aca="false">'[2]$ лето'!j775-'[2]$ лето'!au775-'[2]$ лето'!at775-'[2]$ лето'!as775-'[2]$ лето'!ar775-'[2]$ лето'!aq775-'[2]$ лето'!ap775-'[2]$ лето'!an775-'[2]$ лето'!am775-'[2]$ лето'!al775-'[2]$ лето'!ak775-'[2]$ лето'!aj775-'[2]$ лето'!ah775-'[2]$ лето'!ag775-'[2]$ лето'!af775-'[2]$ лето'!ae775-'[2]$ лето'!ad775-'[2]$ лето'!ab775-'[2]$ лето'!aa775-'[2]$ лето'!z775-'[2]$ лето'!y775-'[2]$ лето'!x775-'[2]$ лето'!v775-'[2]$ лето'!u775-'[2]$ лето'!t775-'[2]$ лето'!s775-'[2]$ лето'!r775-'[2]$ лето'!p775-'[2]$ лето'!o775-'[2]$ лето'!n775-'[2]$ лето'!m775-'[2]$ лето'!l775+'[2]$ лето'!k775+'[2]$ лето'!q775+'[2]$ лето'!w775+'[2]$ лето'!ac775+'[2]$ лето'!ai775+'[2]$ лето'!ao775</f>
        <v>4</v>
      </c>
      <c r="I775" s="109" t="n">
        <f aca="false">'[2]$ лето'!ay775*1.1</f>
        <v>3634.4</v>
      </c>
      <c r="J775" s="85" t="n">
        <v>2017</v>
      </c>
    </row>
    <row r="776" customFormat="false" ht="15" hidden="true" customHeight="false" outlineLevel="0" collapsed="false">
      <c r="A776" s="115" t="s">
        <v>259</v>
      </c>
      <c r="B776" s="115" t="s">
        <v>604</v>
      </c>
      <c r="C776" s="107" t="s">
        <v>1363</v>
      </c>
      <c r="D776" s="107"/>
      <c r="E776" s="107"/>
      <c r="F776" s="107"/>
      <c r="G776" s="108"/>
      <c r="H776" s="105" t="n">
        <f aca="false">'[2]$ лето'!j776-'[2]$ лето'!au776-'[2]$ лето'!at776-'[2]$ лето'!as776-'[2]$ лето'!ar776-'[2]$ лето'!aq776-'[2]$ лето'!ap776-'[2]$ лето'!an776-'[2]$ лето'!am776-'[2]$ лето'!al776-'[2]$ лето'!ak776-'[2]$ лето'!aj776-'[2]$ лето'!ah776-'[2]$ лето'!ag776-'[2]$ лето'!af776-'[2]$ лето'!ae776-'[2]$ лето'!ad776-'[2]$ лето'!ab776-'[2]$ лето'!aa776-'[2]$ лето'!z776-'[2]$ лето'!y776-'[2]$ лето'!x776-'[2]$ лето'!v776-'[2]$ лето'!u776-'[2]$ лето'!t776-'[2]$ лето'!s776-'[2]$ лето'!r776-'[2]$ лето'!p776-'[2]$ лето'!o776-'[2]$ лето'!n776-'[2]$ лето'!m776-'[2]$ лето'!l776+'[2]$ лето'!k776+'[2]$ лето'!q776+'[2]$ лето'!w776+'[2]$ лето'!ac776+'[2]$ лето'!ai776+'[2]$ лето'!ao776</f>
        <v>0</v>
      </c>
      <c r="I776" s="109" t="n">
        <f aca="false">'[2]$ лето'!ay776*1.1</f>
        <v>2402.4</v>
      </c>
    </row>
    <row r="777" customFormat="false" ht="15" hidden="true" customHeight="false" outlineLevel="0" collapsed="false">
      <c r="A777" s="115" t="s">
        <v>259</v>
      </c>
      <c r="B777" s="115" t="s">
        <v>606</v>
      </c>
      <c r="C777" s="134" t="s">
        <v>1364</v>
      </c>
      <c r="D777" s="134"/>
      <c r="E777" s="134"/>
      <c r="F777" s="134"/>
      <c r="G777" s="108"/>
      <c r="H777" s="105" t="n">
        <f aca="false">'[2]$ лето'!j777-'[2]$ лето'!au777-'[2]$ лето'!at777-'[2]$ лето'!as777-'[2]$ лето'!ar777-'[2]$ лето'!aq777-'[2]$ лето'!ap777-'[2]$ лето'!an777-'[2]$ лето'!am777-'[2]$ лето'!al777-'[2]$ лето'!ak777-'[2]$ лето'!aj777-'[2]$ лето'!ah777-'[2]$ лето'!ag777-'[2]$ лето'!af777-'[2]$ лето'!ae777-'[2]$ лето'!ad777-'[2]$ лето'!ab777-'[2]$ лето'!aa777-'[2]$ лето'!z777-'[2]$ лето'!y777-'[2]$ лето'!x777-'[2]$ лето'!v777-'[2]$ лето'!u777-'[2]$ лето'!t777-'[2]$ лето'!s777-'[2]$ лето'!r777-'[2]$ лето'!p777-'[2]$ лето'!o777-'[2]$ лето'!n777-'[2]$ лето'!m777-'[2]$ лето'!l777+'[2]$ лето'!k777+'[2]$ лето'!q777+'[2]$ лето'!w777+'[2]$ лето'!ac777+'[2]$ лето'!ai777+'[2]$ лето'!ao777</f>
        <v>0</v>
      </c>
      <c r="I777" s="109" t="n">
        <f aca="false">'[2]$ лето'!ay777*1.1</f>
        <v>0</v>
      </c>
    </row>
    <row r="778" customFormat="false" ht="15" hidden="true" customHeight="false" outlineLevel="0" collapsed="false">
      <c r="A778" s="115" t="s">
        <v>259</v>
      </c>
      <c r="B778" s="115" t="s">
        <v>668</v>
      </c>
      <c r="C778" s="107" t="s">
        <v>1009</v>
      </c>
      <c r="D778" s="107"/>
      <c r="E778" s="107"/>
      <c r="F778" s="107"/>
      <c r="G778" s="108" t="s">
        <v>609</v>
      </c>
      <c r="H778" s="105" t="n">
        <f aca="false">'[2]$ лето'!j778-'[2]$ лето'!au778-'[2]$ лето'!at778-'[2]$ лето'!as778-'[2]$ лето'!ar778-'[2]$ лето'!aq778-'[2]$ лето'!ap778-'[2]$ лето'!an778-'[2]$ лето'!am778-'[2]$ лето'!al778-'[2]$ лето'!ak778-'[2]$ лето'!aj778-'[2]$ лето'!ah778-'[2]$ лето'!ag778-'[2]$ лето'!af778-'[2]$ лето'!ae778-'[2]$ лето'!ad778-'[2]$ лето'!ab778-'[2]$ лето'!aa778-'[2]$ лето'!z778-'[2]$ лето'!y778-'[2]$ лето'!x778-'[2]$ лето'!v778-'[2]$ лето'!u778-'[2]$ лето'!t778-'[2]$ лето'!s778-'[2]$ лето'!r778-'[2]$ лето'!p778-'[2]$ лето'!o778-'[2]$ лето'!n778-'[2]$ лето'!m778-'[2]$ лето'!l778+'[2]$ лето'!k778+'[2]$ лето'!q778+'[2]$ лето'!w778+'[2]$ лето'!ac778+'[2]$ лето'!ai778+'[2]$ лето'!ao778</f>
        <v>0</v>
      </c>
      <c r="I778" s="109" t="n">
        <f aca="false">'[2]$ лето'!ay778*1.1</f>
        <v>2596</v>
      </c>
    </row>
    <row r="779" customFormat="false" ht="15" hidden="true" customHeight="false" outlineLevel="0" collapsed="false">
      <c r="A779" s="115" t="s">
        <v>259</v>
      </c>
      <c r="B779" s="115" t="s">
        <v>574</v>
      </c>
      <c r="C779" s="107" t="s">
        <v>1365</v>
      </c>
      <c r="D779" s="107"/>
      <c r="E779" s="107"/>
      <c r="F779" s="107"/>
      <c r="G779" s="108" t="s">
        <v>576</v>
      </c>
      <c r="H779" s="105" t="n">
        <f aca="false">'[2]$ лето'!j779-'[2]$ лето'!au779-'[2]$ лето'!at779-'[2]$ лето'!as779-'[2]$ лето'!ar779-'[2]$ лето'!aq779-'[2]$ лето'!ap779-'[2]$ лето'!an779-'[2]$ лето'!am779-'[2]$ лето'!al779-'[2]$ лето'!ak779-'[2]$ лето'!aj779-'[2]$ лето'!ah779-'[2]$ лето'!ag779-'[2]$ лето'!af779-'[2]$ лето'!ae779-'[2]$ лето'!ad779-'[2]$ лето'!ab779-'[2]$ лето'!aa779-'[2]$ лето'!z779-'[2]$ лето'!y779-'[2]$ лето'!x779-'[2]$ лето'!v779-'[2]$ лето'!u779-'[2]$ лето'!t779-'[2]$ лето'!s779-'[2]$ лето'!r779-'[2]$ лето'!p779-'[2]$ лето'!o779-'[2]$ лето'!n779-'[2]$ лето'!m779-'[2]$ лето'!l779+'[2]$ лето'!k779+'[2]$ лето'!q779+'[2]$ лето'!w779+'[2]$ лето'!ac779+'[2]$ лето'!ai779+'[2]$ лето'!ao779</f>
        <v>0</v>
      </c>
      <c r="I779" s="109" t="n">
        <f aca="false">'[2]$ лето'!ay779*1.1</f>
        <v>2002</v>
      </c>
      <c r="J779" s="85" t="n">
        <v>2018</v>
      </c>
    </row>
    <row r="780" customFormat="false" ht="15" hidden="false" customHeight="false" outlineLevel="0" collapsed="false">
      <c r="A780" s="115" t="s">
        <v>259</v>
      </c>
      <c r="B780" s="115" t="s">
        <v>583</v>
      </c>
      <c r="C780" s="107" t="s">
        <v>1366</v>
      </c>
      <c r="D780" s="107"/>
      <c r="E780" s="116"/>
      <c r="F780" s="116"/>
      <c r="G780" s="108" t="s">
        <v>585</v>
      </c>
      <c r="H780" s="105" t="n">
        <f aca="false">'[2]$ лето'!j780-'[2]$ лето'!au780-'[2]$ лето'!at780-'[2]$ лето'!as780-'[2]$ лето'!ar780-'[2]$ лето'!aq780-'[2]$ лето'!ap780-'[2]$ лето'!an780-'[2]$ лето'!am780-'[2]$ лето'!al780-'[2]$ лето'!ak780-'[2]$ лето'!aj780-'[2]$ лето'!ah780-'[2]$ лето'!ag780-'[2]$ лето'!af780-'[2]$ лето'!ae780-'[2]$ лето'!ad780-'[2]$ лето'!ab780-'[2]$ лето'!aa780-'[2]$ лето'!z780-'[2]$ лето'!y780-'[2]$ лето'!x780-'[2]$ лето'!v780-'[2]$ лето'!u780-'[2]$ лето'!t780-'[2]$ лето'!s780-'[2]$ лето'!r780-'[2]$ лето'!p780-'[2]$ лето'!o780-'[2]$ лето'!n780-'[2]$ лето'!m780-'[2]$ лето'!l780+'[2]$ лето'!k780+'[2]$ лето'!q780+'[2]$ лето'!w780+'[2]$ лето'!ac780+'[2]$ лето'!ai780+'[2]$ лето'!ao780</f>
        <v>8</v>
      </c>
      <c r="I780" s="109" t="n">
        <f aca="false">'[2]$ лето'!ay780*1.1</f>
        <v>2002</v>
      </c>
      <c r="J780" s="85" t="n">
        <v>2018</v>
      </c>
    </row>
    <row r="781" customFormat="false" ht="15" hidden="false" customHeight="false" outlineLevel="0" collapsed="false">
      <c r="A781" s="115" t="s">
        <v>259</v>
      </c>
      <c r="B781" s="115" t="s">
        <v>593</v>
      </c>
      <c r="C781" s="116" t="s">
        <v>1367</v>
      </c>
      <c r="D781" s="116"/>
      <c r="E781" s="116"/>
      <c r="F781" s="116"/>
      <c r="G781" s="108" t="s">
        <v>843</v>
      </c>
      <c r="H781" s="105" t="n">
        <f aca="false">'[2]$ лето'!j781-'[2]$ лето'!au781-'[2]$ лето'!at781-'[2]$ лето'!as781-'[2]$ лето'!ar781-'[2]$ лето'!aq781-'[2]$ лето'!ap781-'[2]$ лето'!an781-'[2]$ лето'!am781-'[2]$ лето'!al781-'[2]$ лето'!ak781-'[2]$ лето'!aj781-'[2]$ лето'!ah781-'[2]$ лето'!ag781-'[2]$ лето'!af781-'[2]$ лето'!ae781-'[2]$ лето'!ad781-'[2]$ лето'!ab781-'[2]$ лето'!aa781-'[2]$ лето'!z781-'[2]$ лето'!y781-'[2]$ лето'!x781-'[2]$ лето'!v781-'[2]$ лето'!u781-'[2]$ лето'!t781-'[2]$ лето'!s781-'[2]$ лето'!r781-'[2]$ лето'!p781-'[2]$ лето'!o781-'[2]$ лето'!n781-'[2]$ лето'!m781-'[2]$ лето'!l781+'[2]$ лето'!k781+'[2]$ лето'!q781+'[2]$ лето'!w781+'[2]$ лето'!ac781+'[2]$ лето'!ai781+'[2]$ лето'!ao781</f>
        <v>2</v>
      </c>
      <c r="I781" s="109" t="n">
        <f aca="false">'[2]$ лето'!ay781*1.1</f>
        <v>4219.6</v>
      </c>
      <c r="J781" s="85" t="n">
        <v>2018</v>
      </c>
    </row>
    <row r="782" customFormat="false" ht="15" hidden="true" customHeight="false" outlineLevel="0" collapsed="false">
      <c r="A782" s="115" t="s">
        <v>259</v>
      </c>
      <c r="B782" s="115" t="s">
        <v>593</v>
      </c>
      <c r="C782" s="116" t="s">
        <v>1368</v>
      </c>
      <c r="D782" s="116"/>
      <c r="E782" s="116"/>
      <c r="F782" s="116"/>
      <c r="G782" s="108"/>
      <c r="H782" s="105" t="n">
        <f aca="false">'[2]$ лето'!j782-'[2]$ лето'!au782-'[2]$ лето'!at782-'[2]$ лето'!as782-'[2]$ лето'!ar782-'[2]$ лето'!aq782-'[2]$ лето'!ap782-'[2]$ лето'!an782-'[2]$ лето'!am782-'[2]$ лето'!al782-'[2]$ лето'!ak782-'[2]$ лето'!aj782-'[2]$ лето'!ah782-'[2]$ лето'!ag782-'[2]$ лето'!af782-'[2]$ лето'!ae782-'[2]$ лето'!ad782-'[2]$ лето'!ab782-'[2]$ лето'!aa782-'[2]$ лето'!z782-'[2]$ лето'!y782-'[2]$ лето'!x782-'[2]$ лето'!v782-'[2]$ лето'!u782-'[2]$ лето'!t782-'[2]$ лето'!s782-'[2]$ лето'!r782-'[2]$ лето'!p782-'[2]$ лето'!o782-'[2]$ лето'!n782-'[2]$ лето'!m782-'[2]$ лето'!l782+'[2]$ лето'!k782+'[2]$ лето'!q782+'[2]$ лето'!w782+'[2]$ лето'!ac782+'[2]$ лето'!ai782+'[2]$ лето'!ao782</f>
        <v>0</v>
      </c>
      <c r="I782" s="109" t="n">
        <f aca="false">'[2]$ лето'!ay782*1.1</f>
        <v>4219.6</v>
      </c>
    </row>
    <row r="783" customFormat="false" ht="15" hidden="true" customHeight="false" outlineLevel="0" collapsed="false">
      <c r="A783" s="115" t="s">
        <v>259</v>
      </c>
      <c r="B783" s="115" t="s">
        <v>586</v>
      </c>
      <c r="C783" s="116" t="s">
        <v>1369</v>
      </c>
      <c r="D783" s="116"/>
      <c r="E783" s="116"/>
      <c r="F783" s="116"/>
      <c r="G783" s="108" t="s">
        <v>520</v>
      </c>
      <c r="H783" s="105" t="n">
        <f aca="false">'[2]$ лето'!j783-'[2]$ лето'!au783-'[2]$ лето'!at783-'[2]$ лето'!as783-'[2]$ лето'!ar783-'[2]$ лето'!aq783-'[2]$ лето'!ap783-'[2]$ лето'!an783-'[2]$ лето'!am783-'[2]$ лето'!al783-'[2]$ лето'!ak783-'[2]$ лето'!aj783-'[2]$ лето'!ah783-'[2]$ лето'!ag783-'[2]$ лето'!af783-'[2]$ лето'!ae783-'[2]$ лето'!ad783-'[2]$ лето'!ab783-'[2]$ лето'!aa783-'[2]$ лето'!z783-'[2]$ лето'!y783-'[2]$ лето'!x783-'[2]$ лето'!v783-'[2]$ лето'!u783-'[2]$ лето'!t783-'[2]$ лето'!s783-'[2]$ лето'!r783-'[2]$ лето'!p783-'[2]$ лето'!o783-'[2]$ лето'!n783-'[2]$ лето'!m783-'[2]$ лето'!l783+'[2]$ лето'!k783+'[2]$ лето'!q783+'[2]$ лето'!w783+'[2]$ лето'!ac783+'[2]$ лето'!ai783+'[2]$ лето'!ao783</f>
        <v>0</v>
      </c>
      <c r="I783" s="109" t="n">
        <f aca="false">'[2]$ лето'!ay783*1.1</f>
        <v>1293.6</v>
      </c>
      <c r="J783" s="85" t="n">
        <v>2018</v>
      </c>
    </row>
    <row r="784" customFormat="false" ht="15" hidden="true" customHeight="false" outlineLevel="0" collapsed="false">
      <c r="A784" s="115" t="s">
        <v>259</v>
      </c>
      <c r="B784" s="115" t="s">
        <v>762</v>
      </c>
      <c r="C784" s="116" t="s">
        <v>1370</v>
      </c>
      <c r="D784" s="116"/>
      <c r="E784" s="116"/>
      <c r="F784" s="116"/>
      <c r="G784" s="108"/>
      <c r="H784" s="105" t="n">
        <f aca="false">'[2]$ лето'!j784-'[2]$ лето'!au784-'[2]$ лето'!at784-'[2]$ лето'!as784-'[2]$ лето'!ar784-'[2]$ лето'!aq784-'[2]$ лето'!ap784-'[2]$ лето'!an784-'[2]$ лето'!am784-'[2]$ лето'!al784-'[2]$ лето'!ak784-'[2]$ лето'!aj784-'[2]$ лето'!ah784-'[2]$ лето'!ag784-'[2]$ лето'!af784-'[2]$ лето'!ae784-'[2]$ лето'!ad784-'[2]$ лето'!ab784-'[2]$ лето'!aa784-'[2]$ лето'!z784-'[2]$ лето'!y784-'[2]$ лето'!x784-'[2]$ лето'!v784-'[2]$ лето'!u784-'[2]$ лето'!t784-'[2]$ лето'!s784-'[2]$ лето'!r784-'[2]$ лето'!p784-'[2]$ лето'!o784-'[2]$ лето'!n784-'[2]$ лето'!m784-'[2]$ лето'!l784+'[2]$ лето'!k784+'[2]$ лето'!q784+'[2]$ лето'!w784+'[2]$ лето'!ac784+'[2]$ лето'!ai784+'[2]$ лето'!ao784</f>
        <v>0</v>
      </c>
      <c r="I784" s="109" t="n">
        <f aca="false">'[2]$ лето'!ay784*1.1</f>
        <v>1724.8</v>
      </c>
      <c r="J784" s="85" t="n">
        <v>2017</v>
      </c>
    </row>
    <row r="785" customFormat="false" ht="15" hidden="true" customHeight="false" outlineLevel="0" collapsed="false">
      <c r="A785" s="115" t="s">
        <v>259</v>
      </c>
      <c r="B785" s="115" t="s">
        <v>1371</v>
      </c>
      <c r="C785" s="116" t="s">
        <v>1372</v>
      </c>
      <c r="D785" s="116"/>
      <c r="E785" s="116"/>
      <c r="F785" s="116"/>
      <c r="G785" s="108"/>
      <c r="H785" s="105" t="n">
        <f aca="false">'[2]$ лето'!j785-'[2]$ лето'!au785-'[2]$ лето'!at785-'[2]$ лето'!as785-'[2]$ лето'!ar785-'[2]$ лето'!aq785-'[2]$ лето'!ap785-'[2]$ лето'!an785-'[2]$ лето'!am785-'[2]$ лето'!al785-'[2]$ лето'!ak785-'[2]$ лето'!aj785-'[2]$ лето'!ah785-'[2]$ лето'!ag785-'[2]$ лето'!af785-'[2]$ лето'!ae785-'[2]$ лето'!ad785-'[2]$ лето'!ab785-'[2]$ лето'!aa785-'[2]$ лето'!z785-'[2]$ лето'!y785-'[2]$ лето'!x785-'[2]$ лето'!v785-'[2]$ лето'!u785-'[2]$ лето'!t785-'[2]$ лето'!s785-'[2]$ лето'!r785-'[2]$ лето'!p785-'[2]$ лето'!o785-'[2]$ лето'!n785-'[2]$ лето'!m785-'[2]$ лето'!l785+'[2]$ лето'!k785+'[2]$ лето'!q785+'[2]$ лето'!w785+'[2]$ лето'!ac785+'[2]$ лето'!ai785+'[2]$ лето'!ao785</f>
        <v>0</v>
      </c>
      <c r="I785" s="109" t="n">
        <f aca="false">'[2]$ лето'!ay785*1.1</f>
        <v>1485</v>
      </c>
    </row>
    <row r="786" customFormat="false" ht="15" hidden="true" customHeight="false" outlineLevel="0" collapsed="false">
      <c r="A786" s="115" t="s">
        <v>259</v>
      </c>
      <c r="B786" s="115" t="s">
        <v>623</v>
      </c>
      <c r="C786" s="116" t="s">
        <v>1373</v>
      </c>
      <c r="D786" s="116"/>
      <c r="E786" s="116"/>
      <c r="F786" s="116"/>
      <c r="G786" s="108"/>
      <c r="H786" s="105" t="n">
        <f aca="false">'[2]$ лето'!j786-'[2]$ лето'!au786-'[2]$ лето'!at786-'[2]$ лето'!as786-'[2]$ лето'!ar786-'[2]$ лето'!aq786-'[2]$ лето'!ap786-'[2]$ лето'!an786-'[2]$ лето'!am786-'[2]$ лето'!al786-'[2]$ лето'!ak786-'[2]$ лето'!aj786-'[2]$ лето'!ah786-'[2]$ лето'!ag786-'[2]$ лето'!af786-'[2]$ лето'!ae786-'[2]$ лето'!ad786-'[2]$ лето'!ab786-'[2]$ лето'!aa786-'[2]$ лето'!z786-'[2]$ лето'!y786-'[2]$ лето'!x786-'[2]$ лето'!v786-'[2]$ лето'!u786-'[2]$ лето'!t786-'[2]$ лето'!s786-'[2]$ лето'!r786-'[2]$ лето'!p786-'[2]$ лето'!o786-'[2]$ лето'!n786-'[2]$ лето'!m786-'[2]$ лето'!l786+'[2]$ лето'!k786+'[2]$ лето'!q786+'[2]$ лето'!w786+'[2]$ лето'!ac786+'[2]$ лето'!ai786+'[2]$ лето'!ao786</f>
        <v>0</v>
      </c>
      <c r="I786" s="109" t="n">
        <f aca="false">'[2]$ лето'!ay786*1.1</f>
        <v>1485</v>
      </c>
      <c r="J786" s="85" t="n">
        <v>2018</v>
      </c>
    </row>
    <row r="787" customFormat="false" ht="15" hidden="true" customHeight="false" outlineLevel="0" collapsed="false">
      <c r="A787" s="115" t="s">
        <v>259</v>
      </c>
      <c r="B787" s="115" t="s">
        <v>589</v>
      </c>
      <c r="C787" s="116" t="s">
        <v>1374</v>
      </c>
      <c r="D787" s="116"/>
      <c r="E787" s="116"/>
      <c r="F787" s="116"/>
      <c r="G787" s="108"/>
      <c r="H787" s="105" t="n">
        <f aca="false">'[2]$ лето'!j787-'[2]$ лето'!au787-'[2]$ лето'!at787-'[2]$ лето'!as787-'[2]$ лето'!ar787-'[2]$ лето'!aq787-'[2]$ лето'!ap787-'[2]$ лето'!an787-'[2]$ лето'!am787-'[2]$ лето'!al787-'[2]$ лето'!ak787-'[2]$ лето'!aj787-'[2]$ лето'!ah787-'[2]$ лето'!ag787-'[2]$ лето'!af787-'[2]$ лето'!ae787-'[2]$ лето'!ad787-'[2]$ лето'!ab787-'[2]$ лето'!aa787-'[2]$ лето'!z787-'[2]$ лето'!y787-'[2]$ лето'!x787-'[2]$ лето'!v787-'[2]$ лето'!u787-'[2]$ лето'!t787-'[2]$ лето'!s787-'[2]$ лето'!r787-'[2]$ лето'!p787-'[2]$ лето'!o787-'[2]$ лето'!n787-'[2]$ лето'!m787-'[2]$ лето'!l787+'[2]$ лето'!k787+'[2]$ лето'!q787+'[2]$ лето'!w787+'[2]$ лето'!ac787+'[2]$ лето'!ai787+'[2]$ лето'!ao787</f>
        <v>0</v>
      </c>
      <c r="I787" s="109" t="n">
        <f aca="false">'[2]$ лето'!ay787*1.1</f>
        <v>2710.4</v>
      </c>
      <c r="J787" s="85" t="n">
        <v>2017</v>
      </c>
    </row>
    <row r="788" customFormat="false" ht="15" hidden="true" customHeight="false" outlineLevel="0" collapsed="false">
      <c r="A788" s="115" t="s">
        <v>259</v>
      </c>
      <c r="B788" s="115" t="s">
        <v>564</v>
      </c>
      <c r="C788" s="116" t="s">
        <v>1375</v>
      </c>
      <c r="D788" s="116"/>
      <c r="E788" s="116"/>
      <c r="F788" s="116"/>
      <c r="G788" s="108" t="s">
        <v>520</v>
      </c>
      <c r="H788" s="105" t="n">
        <f aca="false">'[2]$ лето'!j788-'[2]$ лето'!au788-'[2]$ лето'!at788-'[2]$ лето'!as788-'[2]$ лето'!ar788-'[2]$ лето'!aq788-'[2]$ лето'!ap788-'[2]$ лето'!an788-'[2]$ лето'!am788-'[2]$ лето'!al788-'[2]$ лето'!ak788-'[2]$ лето'!aj788-'[2]$ лето'!ah788-'[2]$ лето'!ag788-'[2]$ лето'!af788-'[2]$ лето'!ae788-'[2]$ лето'!ad788-'[2]$ лето'!ab788-'[2]$ лето'!aa788-'[2]$ лето'!z788-'[2]$ лето'!y788-'[2]$ лето'!x788-'[2]$ лето'!v788-'[2]$ лето'!u788-'[2]$ лето'!t788-'[2]$ лето'!s788-'[2]$ лето'!r788-'[2]$ лето'!p788-'[2]$ лето'!o788-'[2]$ лето'!n788-'[2]$ лето'!m788-'[2]$ лето'!l788+'[2]$ лето'!k788+'[2]$ лето'!q788+'[2]$ лето'!w788+'[2]$ лето'!ac788+'[2]$ лето'!ai788+'[2]$ лето'!ao788</f>
        <v>0</v>
      </c>
      <c r="I788" s="109" t="n">
        <f aca="false">'[2]$ лето'!ay788*1.1</f>
        <v>1601.6</v>
      </c>
      <c r="J788" s="85" t="n">
        <v>2017</v>
      </c>
    </row>
    <row r="789" customFormat="false" ht="15" hidden="true" customHeight="false" outlineLevel="0" collapsed="false">
      <c r="A789" s="115" t="s">
        <v>259</v>
      </c>
      <c r="B789" s="115" t="s">
        <v>981</v>
      </c>
      <c r="C789" s="116" t="s">
        <v>1376</v>
      </c>
      <c r="D789" s="116"/>
      <c r="E789" s="116"/>
      <c r="F789" s="116"/>
      <c r="G789" s="108" t="s">
        <v>843</v>
      </c>
      <c r="H789" s="105" t="n">
        <f aca="false">'[2]$ лето'!j789-'[2]$ лето'!au789-'[2]$ лето'!at789-'[2]$ лето'!as789-'[2]$ лето'!ar789-'[2]$ лето'!aq789-'[2]$ лето'!ap789-'[2]$ лето'!an789-'[2]$ лето'!am789-'[2]$ лето'!al789-'[2]$ лето'!ak789-'[2]$ лето'!aj789-'[2]$ лето'!ah789-'[2]$ лето'!ag789-'[2]$ лето'!af789-'[2]$ лето'!ae789-'[2]$ лето'!ad789-'[2]$ лето'!ab789-'[2]$ лето'!aa789-'[2]$ лето'!z789-'[2]$ лето'!y789-'[2]$ лето'!x789-'[2]$ лето'!v789-'[2]$ лето'!u789-'[2]$ лето'!t789-'[2]$ лето'!s789-'[2]$ лето'!r789-'[2]$ лето'!p789-'[2]$ лето'!o789-'[2]$ лето'!n789-'[2]$ лето'!m789-'[2]$ лето'!l789+'[2]$ лето'!k789+'[2]$ лето'!q789+'[2]$ лето'!w789+'[2]$ лето'!ac789+'[2]$ лето'!ai789+'[2]$ лето'!ao789</f>
        <v>0</v>
      </c>
      <c r="I789" s="109" t="n">
        <f aca="false">'[2]$ лето'!ay789*1.1</f>
        <v>2772</v>
      </c>
      <c r="J789" s="85" t="n">
        <v>2017</v>
      </c>
    </row>
    <row r="790" customFormat="false" ht="15" hidden="true" customHeight="false" outlineLevel="0" collapsed="false">
      <c r="A790" s="115" t="s">
        <v>1377</v>
      </c>
      <c r="B790" s="115" t="s">
        <v>991</v>
      </c>
      <c r="C790" s="116" t="s">
        <v>992</v>
      </c>
      <c r="D790" s="116"/>
      <c r="E790" s="116"/>
      <c r="F790" s="116"/>
      <c r="G790" s="108" t="s">
        <v>520</v>
      </c>
      <c r="H790" s="105" t="n">
        <f aca="false">'[2]$ лето'!j790-'[2]$ лето'!au790-'[2]$ лето'!at790-'[2]$ лето'!as790-'[2]$ лето'!ar790-'[2]$ лето'!aq790-'[2]$ лето'!ap790-'[2]$ лето'!an790-'[2]$ лето'!am790-'[2]$ лето'!al790-'[2]$ лето'!ak790-'[2]$ лето'!aj790-'[2]$ лето'!ah790-'[2]$ лето'!ag790-'[2]$ лето'!af790-'[2]$ лето'!ae790-'[2]$ лето'!ad790-'[2]$ лето'!ab790-'[2]$ лето'!aa790-'[2]$ лето'!z790-'[2]$ лето'!y790-'[2]$ лето'!x790-'[2]$ лето'!v790-'[2]$ лето'!u790-'[2]$ лето'!t790-'[2]$ лето'!s790-'[2]$ лето'!r790-'[2]$ лето'!p790-'[2]$ лето'!o790-'[2]$ лето'!n790-'[2]$ лето'!m790-'[2]$ лето'!l790+'[2]$ лето'!k790+'[2]$ лето'!q790+'[2]$ лето'!w790+'[2]$ лето'!ac790+'[2]$ лето'!ai790+'[2]$ лето'!ao790</f>
        <v>0</v>
      </c>
      <c r="I790" s="109" t="n">
        <f aca="false">'[2]$ лето'!ay790*1.1</f>
        <v>2248.4</v>
      </c>
    </row>
    <row r="791" customFormat="false" ht="15" hidden="true" customHeight="false" outlineLevel="0" collapsed="false">
      <c r="A791" s="115" t="s">
        <v>1377</v>
      </c>
      <c r="B791" s="115" t="s">
        <v>568</v>
      </c>
      <c r="C791" s="116" t="s">
        <v>993</v>
      </c>
      <c r="D791" s="116"/>
      <c r="E791" s="116"/>
      <c r="F791" s="116"/>
      <c r="G791" s="108"/>
      <c r="H791" s="105" t="n">
        <f aca="false">'[2]$ лето'!j791-'[2]$ лето'!au791-'[2]$ лето'!at791-'[2]$ лето'!as791-'[2]$ лето'!ar791-'[2]$ лето'!aq791-'[2]$ лето'!ap791-'[2]$ лето'!an791-'[2]$ лето'!am791-'[2]$ лето'!al791-'[2]$ лето'!ak791-'[2]$ лето'!aj791-'[2]$ лето'!ah791-'[2]$ лето'!ag791-'[2]$ лето'!af791-'[2]$ лето'!ae791-'[2]$ лето'!ad791-'[2]$ лето'!ab791-'[2]$ лето'!aa791-'[2]$ лето'!z791-'[2]$ лето'!y791-'[2]$ лето'!x791-'[2]$ лето'!v791-'[2]$ лето'!u791-'[2]$ лето'!t791-'[2]$ лето'!s791-'[2]$ лето'!r791-'[2]$ лето'!p791-'[2]$ лето'!o791-'[2]$ лето'!n791-'[2]$ лето'!m791-'[2]$ лето'!l791+'[2]$ лето'!k791+'[2]$ лето'!q791+'[2]$ лето'!w791+'[2]$ лето'!ac791+'[2]$ лето'!ai791+'[2]$ лето'!ao791</f>
        <v>0</v>
      </c>
      <c r="I791" s="109" t="n">
        <f aca="false">'[2]$ лето'!ay791*1.1</f>
        <v>0</v>
      </c>
    </row>
    <row r="792" customFormat="false" ht="15" hidden="true" customHeight="false" outlineLevel="0" collapsed="false">
      <c r="A792" s="115" t="s">
        <v>1377</v>
      </c>
      <c r="B792" s="115" t="s">
        <v>604</v>
      </c>
      <c r="C792" s="116" t="s">
        <v>1378</v>
      </c>
      <c r="D792" s="116"/>
      <c r="E792" s="116"/>
      <c r="F792" s="116"/>
      <c r="G792" s="108"/>
      <c r="H792" s="105" t="n">
        <f aca="false">'[2]$ лето'!j792-'[2]$ лето'!au792-'[2]$ лето'!at792-'[2]$ лето'!as792-'[2]$ лето'!ar792-'[2]$ лето'!aq792-'[2]$ лето'!ap792-'[2]$ лето'!an792-'[2]$ лето'!am792-'[2]$ лето'!al792-'[2]$ лето'!ak792-'[2]$ лето'!aj792-'[2]$ лето'!ah792-'[2]$ лето'!ag792-'[2]$ лето'!af792-'[2]$ лето'!ae792-'[2]$ лето'!ad792-'[2]$ лето'!ab792-'[2]$ лето'!aa792-'[2]$ лето'!z792-'[2]$ лето'!y792-'[2]$ лето'!x792-'[2]$ лето'!v792-'[2]$ лето'!u792-'[2]$ лето'!t792-'[2]$ лето'!s792-'[2]$ лето'!r792-'[2]$ лето'!p792-'[2]$ лето'!o792-'[2]$ лето'!n792-'[2]$ лето'!m792-'[2]$ лето'!l792+'[2]$ лето'!k792+'[2]$ лето'!q792+'[2]$ лето'!w792+'[2]$ лето'!ac792+'[2]$ лето'!ai792+'[2]$ лето'!ao792</f>
        <v>0</v>
      </c>
      <c r="I792" s="109" t="n">
        <f aca="false">'[2]$ лето'!ay792*1.1</f>
        <v>2618</v>
      </c>
      <c r="J792" s="85" t="n">
        <v>2016</v>
      </c>
    </row>
    <row r="793" customFormat="false" ht="15" hidden="true" customHeight="false" outlineLevel="0" collapsed="false">
      <c r="A793" s="115" t="s">
        <v>1377</v>
      </c>
      <c r="B793" s="115" t="s">
        <v>1130</v>
      </c>
      <c r="C793" s="116" t="s">
        <v>1379</v>
      </c>
      <c r="D793" s="116"/>
      <c r="E793" s="116"/>
      <c r="F793" s="116"/>
      <c r="G793" s="108"/>
      <c r="H793" s="105" t="n">
        <f aca="false">'[2]$ лето'!j793-'[2]$ лето'!au793-'[2]$ лето'!at793-'[2]$ лето'!as793-'[2]$ лето'!ar793-'[2]$ лето'!aq793-'[2]$ лето'!ap793-'[2]$ лето'!an793-'[2]$ лето'!am793-'[2]$ лето'!al793-'[2]$ лето'!ak793-'[2]$ лето'!aj793-'[2]$ лето'!ah793-'[2]$ лето'!ag793-'[2]$ лето'!af793-'[2]$ лето'!ae793-'[2]$ лето'!ad793-'[2]$ лето'!ab793-'[2]$ лето'!aa793-'[2]$ лето'!z793-'[2]$ лето'!y793-'[2]$ лето'!x793-'[2]$ лето'!v793-'[2]$ лето'!u793-'[2]$ лето'!t793-'[2]$ лето'!s793-'[2]$ лето'!r793-'[2]$ лето'!p793-'[2]$ лето'!o793-'[2]$ лето'!n793-'[2]$ лето'!m793-'[2]$ лето'!l793+'[2]$ лето'!k793+'[2]$ лето'!q793+'[2]$ лето'!w793+'[2]$ лето'!ac793+'[2]$ лето'!ai793+'[2]$ лето'!ao793</f>
        <v>0</v>
      </c>
      <c r="I793" s="109" t="n">
        <f aca="false">'[2]$ лето'!ay793*1.1</f>
        <v>1386</v>
      </c>
    </row>
    <row r="794" customFormat="false" ht="15" hidden="false" customHeight="false" outlineLevel="0" collapsed="false">
      <c r="A794" s="115" t="s">
        <v>1377</v>
      </c>
      <c r="B794" s="115" t="s">
        <v>668</v>
      </c>
      <c r="C794" s="107" t="s">
        <v>716</v>
      </c>
      <c r="D794" s="107"/>
      <c r="E794" s="116"/>
      <c r="F794" s="116"/>
      <c r="G794" s="108" t="s">
        <v>609</v>
      </c>
      <c r="H794" s="105" t="n">
        <f aca="false">'[2]$ лето'!j794-'[2]$ лето'!au794-'[2]$ лето'!at794-'[2]$ лето'!as794-'[2]$ лето'!ar794-'[2]$ лето'!aq794-'[2]$ лето'!ap794-'[2]$ лето'!an794-'[2]$ лето'!am794-'[2]$ лето'!al794-'[2]$ лето'!ak794-'[2]$ лето'!aj794-'[2]$ лето'!ah794-'[2]$ лето'!ag794-'[2]$ лето'!af794-'[2]$ лето'!ae794-'[2]$ лето'!ad794-'[2]$ лето'!ab794-'[2]$ лето'!aa794-'[2]$ лето'!z794-'[2]$ лето'!y794-'[2]$ лето'!x794-'[2]$ лето'!v794-'[2]$ лето'!u794-'[2]$ лето'!t794-'[2]$ лето'!s794-'[2]$ лето'!r794-'[2]$ лето'!p794-'[2]$ лето'!o794-'[2]$ лето'!n794-'[2]$ лето'!m794-'[2]$ лето'!l794+'[2]$ лето'!k794+'[2]$ лето'!q794+'[2]$ лето'!w794+'[2]$ лето'!ac794+'[2]$ лето'!ai794+'[2]$ лето'!ao794</f>
        <v>1</v>
      </c>
      <c r="I794" s="109" t="n">
        <f aca="false">'[2]$ лето'!ay794*1.1</f>
        <v>770</v>
      </c>
    </row>
    <row r="795" customFormat="false" ht="15" hidden="false" customHeight="false" outlineLevel="0" collapsed="false">
      <c r="A795" s="115" t="s">
        <v>1377</v>
      </c>
      <c r="B795" s="115" t="s">
        <v>668</v>
      </c>
      <c r="C795" s="107" t="s">
        <v>1009</v>
      </c>
      <c r="D795" s="107"/>
      <c r="E795" s="116"/>
      <c r="F795" s="116"/>
      <c r="G795" s="108" t="s">
        <v>609</v>
      </c>
      <c r="H795" s="105" t="n">
        <f aca="false">'[2]$ лето'!j795-'[2]$ лето'!au795-'[2]$ лето'!at795-'[2]$ лето'!as795-'[2]$ лето'!ar795-'[2]$ лето'!aq795-'[2]$ лето'!ap795-'[2]$ лето'!an795-'[2]$ лето'!am795-'[2]$ лето'!al795-'[2]$ лето'!ak795-'[2]$ лето'!aj795-'[2]$ лето'!ah795-'[2]$ лето'!ag795-'[2]$ лето'!af795-'[2]$ лето'!ae795-'[2]$ лето'!ad795-'[2]$ лето'!ab795-'[2]$ лето'!aa795-'[2]$ лето'!z795-'[2]$ лето'!y795-'[2]$ лето'!x795-'[2]$ лето'!v795-'[2]$ лето'!u795-'[2]$ лето'!t795-'[2]$ лето'!s795-'[2]$ лето'!r795-'[2]$ лето'!p795-'[2]$ лето'!o795-'[2]$ лето'!n795-'[2]$ лето'!m795-'[2]$ лето'!l795+'[2]$ лето'!k795+'[2]$ лето'!q795+'[2]$ лето'!w795+'[2]$ лето'!ac795+'[2]$ лето'!ai795+'[2]$ лето'!ao795</f>
        <v>4</v>
      </c>
      <c r="I795" s="109" t="n">
        <f aca="false">'[2]$ лето'!ay795*1.1</f>
        <v>2365</v>
      </c>
      <c r="J795" s="85" t="n">
        <v>2017</v>
      </c>
    </row>
    <row r="796" customFormat="false" ht="15" hidden="true" customHeight="false" outlineLevel="0" collapsed="false">
      <c r="A796" s="115" t="s">
        <v>1377</v>
      </c>
      <c r="B796" s="115" t="s">
        <v>574</v>
      </c>
      <c r="C796" s="107" t="s">
        <v>1059</v>
      </c>
      <c r="D796" s="107"/>
      <c r="E796" s="107"/>
      <c r="F796" s="107"/>
      <c r="G796" s="108" t="s">
        <v>576</v>
      </c>
      <c r="H796" s="105" t="n">
        <f aca="false">'[2]$ лето'!j796-'[2]$ лето'!au796-'[2]$ лето'!at796-'[2]$ лето'!as796-'[2]$ лето'!ar796-'[2]$ лето'!aq796-'[2]$ лето'!ap796-'[2]$ лето'!an796-'[2]$ лето'!am796-'[2]$ лето'!al796-'[2]$ лето'!ak796-'[2]$ лето'!aj796-'[2]$ лето'!ah796-'[2]$ лето'!ag796-'[2]$ лето'!af796-'[2]$ лето'!ae796-'[2]$ лето'!ad796-'[2]$ лето'!ab796-'[2]$ лето'!aa796-'[2]$ лето'!z796-'[2]$ лето'!y796-'[2]$ лето'!x796-'[2]$ лето'!v796-'[2]$ лето'!u796-'[2]$ лето'!t796-'[2]$ лето'!s796-'[2]$ лето'!r796-'[2]$ лето'!p796-'[2]$ лето'!o796-'[2]$ лето'!n796-'[2]$ лето'!m796-'[2]$ лето'!l796+'[2]$ лето'!k796+'[2]$ лето'!q796+'[2]$ лето'!w796+'[2]$ лето'!ac796+'[2]$ лето'!ai796+'[2]$ лето'!ao796</f>
        <v>0</v>
      </c>
      <c r="I796" s="109" t="n">
        <f aca="false">'[2]$ лето'!ay796*1.1</f>
        <v>2156</v>
      </c>
    </row>
    <row r="797" customFormat="false" ht="15" hidden="true" customHeight="false" outlineLevel="0" collapsed="false">
      <c r="A797" s="115" t="s">
        <v>1377</v>
      </c>
      <c r="B797" s="115" t="s">
        <v>583</v>
      </c>
      <c r="C797" s="107" t="s">
        <v>1380</v>
      </c>
      <c r="D797" s="107"/>
      <c r="E797" s="107"/>
      <c r="F797" s="107"/>
      <c r="G797" s="108" t="s">
        <v>585</v>
      </c>
      <c r="H797" s="105" t="n">
        <f aca="false">'[2]$ лето'!j797-'[2]$ лето'!au797-'[2]$ лето'!at797-'[2]$ лето'!as797-'[2]$ лето'!ar797-'[2]$ лето'!aq797-'[2]$ лето'!ap797-'[2]$ лето'!an797-'[2]$ лето'!am797-'[2]$ лето'!al797-'[2]$ лето'!ak797-'[2]$ лето'!aj797-'[2]$ лето'!ah797-'[2]$ лето'!ag797-'[2]$ лето'!af797-'[2]$ лето'!ae797-'[2]$ лето'!ad797-'[2]$ лето'!ab797-'[2]$ лето'!aa797-'[2]$ лето'!z797-'[2]$ лето'!y797-'[2]$ лето'!x797-'[2]$ лето'!v797-'[2]$ лето'!u797-'[2]$ лето'!t797-'[2]$ лето'!s797-'[2]$ лето'!r797-'[2]$ лето'!p797-'[2]$ лето'!o797-'[2]$ лето'!n797-'[2]$ лето'!m797-'[2]$ лето'!l797+'[2]$ лето'!k797+'[2]$ лето'!q797+'[2]$ лето'!w797+'[2]$ лето'!ac797+'[2]$ лето'!ai797+'[2]$ лето'!ao797</f>
        <v>0</v>
      </c>
      <c r="I797" s="109" t="n">
        <f aca="false">'[2]$ лето'!ay797*1.1</f>
        <v>2094.4</v>
      </c>
      <c r="J797" s="85" t="n">
        <v>2018</v>
      </c>
    </row>
    <row r="798" customFormat="false" ht="15" hidden="true" customHeight="false" outlineLevel="0" collapsed="false">
      <c r="A798" s="115" t="s">
        <v>1377</v>
      </c>
      <c r="B798" s="115" t="s">
        <v>593</v>
      </c>
      <c r="C798" s="116" t="s">
        <v>1381</v>
      </c>
      <c r="D798" s="116"/>
      <c r="E798" s="116"/>
      <c r="F798" s="116"/>
      <c r="G798" s="108"/>
      <c r="H798" s="105" t="n">
        <f aca="false">'[2]$ лето'!j798-'[2]$ лето'!au798-'[2]$ лето'!at798-'[2]$ лето'!as798-'[2]$ лето'!ar798-'[2]$ лето'!aq798-'[2]$ лето'!ap798-'[2]$ лето'!an798-'[2]$ лето'!am798-'[2]$ лето'!al798-'[2]$ лето'!ak798-'[2]$ лето'!aj798-'[2]$ лето'!ah798-'[2]$ лето'!ag798-'[2]$ лето'!af798-'[2]$ лето'!ae798-'[2]$ лето'!ad798-'[2]$ лето'!ab798-'[2]$ лето'!aa798-'[2]$ лето'!z798-'[2]$ лето'!y798-'[2]$ лето'!x798-'[2]$ лето'!v798-'[2]$ лето'!u798-'[2]$ лето'!t798-'[2]$ лето'!s798-'[2]$ лето'!r798-'[2]$ лето'!p798-'[2]$ лето'!o798-'[2]$ лето'!n798-'[2]$ лето'!m798-'[2]$ лето'!l798+'[2]$ лето'!k798+'[2]$ лето'!q798+'[2]$ лето'!w798+'[2]$ лето'!ac798+'[2]$ лето'!ai798+'[2]$ лето'!ao798</f>
        <v>0</v>
      </c>
      <c r="I798" s="109" t="n">
        <f aca="false">'[2]$ лето'!ay798*1.1</f>
        <v>2618</v>
      </c>
    </row>
    <row r="799" customFormat="false" ht="15" hidden="false" customHeight="false" outlineLevel="0" collapsed="false">
      <c r="A799" s="115" t="s">
        <v>1377</v>
      </c>
      <c r="B799" s="115" t="s">
        <v>593</v>
      </c>
      <c r="C799" s="116" t="s">
        <v>1382</v>
      </c>
      <c r="D799" s="116"/>
      <c r="E799" s="116"/>
      <c r="F799" s="116"/>
      <c r="G799" s="108" t="s">
        <v>935</v>
      </c>
      <c r="H799" s="105" t="n">
        <f aca="false">'[2]$ лето'!j799-'[2]$ лето'!au799-'[2]$ лето'!at799-'[2]$ лето'!as799-'[2]$ лето'!ar799-'[2]$ лето'!aq799-'[2]$ лето'!ap799-'[2]$ лето'!an799-'[2]$ лето'!am799-'[2]$ лето'!al799-'[2]$ лето'!ak799-'[2]$ лето'!aj799-'[2]$ лето'!ah799-'[2]$ лето'!ag799-'[2]$ лето'!af799-'[2]$ лето'!ae799-'[2]$ лето'!ad799-'[2]$ лето'!ab799-'[2]$ лето'!aa799-'[2]$ лето'!z799-'[2]$ лето'!y799-'[2]$ лето'!x799-'[2]$ лето'!v799-'[2]$ лето'!u799-'[2]$ лето'!t799-'[2]$ лето'!s799-'[2]$ лето'!r799-'[2]$ лето'!p799-'[2]$ лето'!o799-'[2]$ лето'!n799-'[2]$ лето'!m799-'[2]$ лето'!l799+'[2]$ лето'!k799+'[2]$ лето'!q799+'[2]$ лето'!w799+'[2]$ лето'!ac799+'[2]$ лето'!ai799+'[2]$ лето'!ao799</f>
        <v>4</v>
      </c>
      <c r="I799" s="109" t="n">
        <f aca="false">'[2]$ лето'!ay799*1.1</f>
        <v>4004</v>
      </c>
      <c r="J799" s="85" t="n">
        <v>2017</v>
      </c>
    </row>
    <row r="800" customFormat="false" ht="15" hidden="true" customHeight="false" outlineLevel="0" collapsed="false">
      <c r="A800" s="115" t="s">
        <v>1377</v>
      </c>
      <c r="B800" s="115" t="s">
        <v>586</v>
      </c>
      <c r="C800" s="116" t="s">
        <v>1069</v>
      </c>
      <c r="D800" s="116"/>
      <c r="E800" s="116"/>
      <c r="F800" s="116"/>
      <c r="G800" s="108" t="s">
        <v>520</v>
      </c>
      <c r="H800" s="105" t="n">
        <f aca="false">'[2]$ лето'!j800-'[2]$ лето'!au800-'[2]$ лето'!at800-'[2]$ лето'!as800-'[2]$ лето'!ar800-'[2]$ лето'!aq800-'[2]$ лето'!ap800-'[2]$ лето'!an800-'[2]$ лето'!am800-'[2]$ лето'!al800-'[2]$ лето'!ak800-'[2]$ лето'!aj800-'[2]$ лето'!ah800-'[2]$ лето'!ag800-'[2]$ лето'!af800-'[2]$ лето'!ae800-'[2]$ лето'!ad800-'[2]$ лето'!ab800-'[2]$ лето'!aa800-'[2]$ лето'!z800-'[2]$ лето'!y800-'[2]$ лето'!x800-'[2]$ лето'!v800-'[2]$ лето'!u800-'[2]$ лето'!t800-'[2]$ лето'!s800-'[2]$ лето'!r800-'[2]$ лето'!p800-'[2]$ лето'!o800-'[2]$ лето'!n800-'[2]$ лето'!m800-'[2]$ лето'!l800+'[2]$ лето'!k800+'[2]$ лето'!q800+'[2]$ лето'!w800+'[2]$ лето'!ac800+'[2]$ лето'!ai800+'[2]$ лето'!ao800</f>
        <v>0</v>
      </c>
      <c r="I800" s="109" t="n">
        <f aca="false">'[2]$ лето'!ay800*1.1</f>
        <v>1324.4</v>
      </c>
      <c r="J800" s="85" t="n">
        <v>2017</v>
      </c>
    </row>
    <row r="801" customFormat="false" ht="15" hidden="true" customHeight="false" outlineLevel="0" collapsed="false">
      <c r="A801" s="115" t="s">
        <v>1377</v>
      </c>
      <c r="B801" s="115" t="s">
        <v>615</v>
      </c>
      <c r="C801" s="116" t="s">
        <v>1383</v>
      </c>
      <c r="D801" s="116" t="s">
        <v>582</v>
      </c>
      <c r="E801" s="116" t="n">
        <v>98</v>
      </c>
      <c r="F801" s="116" t="s">
        <v>814</v>
      </c>
      <c r="G801" s="108" t="s">
        <v>609</v>
      </c>
      <c r="H801" s="105" t="n">
        <f aca="false">'[2]$ лето'!j801-'[2]$ лето'!au801-'[2]$ лето'!at801-'[2]$ лето'!as801-'[2]$ лето'!ar801-'[2]$ лето'!aq801-'[2]$ лето'!ap801-'[2]$ лето'!an801-'[2]$ лето'!am801-'[2]$ лето'!al801-'[2]$ лето'!ak801-'[2]$ лето'!aj801-'[2]$ лето'!ah801-'[2]$ лето'!ag801-'[2]$ лето'!af801-'[2]$ лето'!ae801-'[2]$ лето'!ad801-'[2]$ лето'!ab801-'[2]$ лето'!aa801-'[2]$ лето'!z801-'[2]$ лето'!y801-'[2]$ лето'!x801-'[2]$ лето'!v801-'[2]$ лето'!u801-'[2]$ лето'!t801-'[2]$ лето'!s801-'[2]$ лето'!r801-'[2]$ лето'!p801-'[2]$ лето'!o801-'[2]$ лето'!n801-'[2]$ лето'!m801-'[2]$ лето'!l801+'[2]$ лето'!k801+'[2]$ лето'!q801+'[2]$ лето'!w801+'[2]$ лето'!ac801+'[2]$ лето'!ai801+'[2]$ лето'!ao801</f>
        <v>0</v>
      </c>
      <c r="I801" s="109" t="n">
        <f aca="false">'[2]$ лето'!ay801*1.1</f>
        <v>1540</v>
      </c>
      <c r="J801" s="85" t="n">
        <v>2016</v>
      </c>
    </row>
    <row r="802" customFormat="false" ht="15" hidden="false" customHeight="false" outlineLevel="0" collapsed="false">
      <c r="A802" s="115" t="s">
        <v>1377</v>
      </c>
      <c r="B802" s="115" t="s">
        <v>1384</v>
      </c>
      <c r="C802" s="116" t="s">
        <v>65</v>
      </c>
      <c r="D802" s="116"/>
      <c r="E802" s="116"/>
      <c r="F802" s="116"/>
      <c r="G802" s="108" t="s">
        <v>1385</v>
      </c>
      <c r="H802" s="105" t="n">
        <f aca="false">'[2]$ лето'!j802-'[2]$ лето'!au802-'[2]$ лето'!at802-'[2]$ лето'!as802-'[2]$ лето'!ar802-'[2]$ лето'!aq802-'[2]$ лето'!ap802-'[2]$ лето'!an802-'[2]$ лето'!am802-'[2]$ лето'!al802-'[2]$ лето'!ak802-'[2]$ лето'!aj802-'[2]$ лето'!ah802-'[2]$ лето'!ag802-'[2]$ лето'!af802-'[2]$ лето'!ae802-'[2]$ лето'!ad802-'[2]$ лето'!ab802-'[2]$ лето'!aa802-'[2]$ лето'!z802-'[2]$ лето'!y802-'[2]$ лето'!x802-'[2]$ лето'!v802-'[2]$ лето'!u802-'[2]$ лето'!t802-'[2]$ лето'!s802-'[2]$ лето'!r802-'[2]$ лето'!p802-'[2]$ лето'!o802-'[2]$ лето'!n802-'[2]$ лето'!m802-'[2]$ лето'!l802+'[2]$ лето'!k802+'[2]$ лето'!q802+'[2]$ лето'!w802+'[2]$ лето'!ac802+'[2]$ лето'!ai802+'[2]$ лето'!ao802</f>
        <v>12</v>
      </c>
      <c r="I802" s="109" t="n">
        <f aca="false">'[2]$ лето'!ay802*1.1</f>
        <v>1232</v>
      </c>
    </row>
    <row r="803" customFormat="false" ht="15" hidden="true" customHeight="false" outlineLevel="0" collapsed="false">
      <c r="A803" s="115" t="s">
        <v>1377</v>
      </c>
      <c r="B803" s="115" t="s">
        <v>621</v>
      </c>
      <c r="C803" s="116" t="s">
        <v>1386</v>
      </c>
      <c r="D803" s="116"/>
      <c r="E803" s="116"/>
      <c r="F803" s="116"/>
      <c r="G803" s="108" t="s">
        <v>520</v>
      </c>
      <c r="H803" s="105" t="n">
        <f aca="false">'[2]$ лето'!j803-'[2]$ лето'!au803-'[2]$ лето'!at803-'[2]$ лето'!as803-'[2]$ лето'!ar803-'[2]$ лето'!aq803-'[2]$ лето'!ap803-'[2]$ лето'!an803-'[2]$ лето'!am803-'[2]$ лето'!al803-'[2]$ лето'!ak803-'[2]$ лето'!aj803-'[2]$ лето'!ah803-'[2]$ лето'!ag803-'[2]$ лето'!af803-'[2]$ лето'!ae803-'[2]$ лето'!ad803-'[2]$ лето'!ab803-'[2]$ лето'!aa803-'[2]$ лето'!z803-'[2]$ лето'!y803-'[2]$ лето'!x803-'[2]$ лето'!v803-'[2]$ лето'!u803-'[2]$ лето'!t803-'[2]$ лето'!s803-'[2]$ лето'!r803-'[2]$ лето'!p803-'[2]$ лето'!o803-'[2]$ лето'!n803-'[2]$ лето'!m803-'[2]$ лето'!l803+'[2]$ лето'!k803+'[2]$ лето'!q803+'[2]$ лето'!w803+'[2]$ лето'!ac803+'[2]$ лето'!ai803+'[2]$ лето'!ao803</f>
        <v>0</v>
      </c>
      <c r="I803" s="109" t="n">
        <f aca="false">'[2]$ лето'!ay803*1.1</f>
        <v>1478.4</v>
      </c>
    </row>
    <row r="804" customFormat="false" ht="15" hidden="true" customHeight="false" outlineLevel="0" collapsed="false">
      <c r="A804" s="115" t="s">
        <v>1387</v>
      </c>
      <c r="B804" s="115" t="s">
        <v>568</v>
      </c>
      <c r="C804" s="116" t="s">
        <v>1388</v>
      </c>
      <c r="D804" s="116"/>
      <c r="E804" s="116"/>
      <c r="F804" s="116"/>
      <c r="G804" s="108"/>
      <c r="H804" s="105" t="n">
        <f aca="false">'[2]$ лето'!j804-'[2]$ лето'!au804-'[2]$ лето'!at804-'[2]$ лето'!as804-'[2]$ лето'!ar804-'[2]$ лето'!aq804-'[2]$ лето'!ap804-'[2]$ лето'!an804-'[2]$ лето'!am804-'[2]$ лето'!al804-'[2]$ лето'!ak804-'[2]$ лето'!aj804-'[2]$ лето'!ah804-'[2]$ лето'!ag804-'[2]$ лето'!af804-'[2]$ лето'!ae804-'[2]$ лето'!ad804-'[2]$ лето'!ab804-'[2]$ лето'!aa804-'[2]$ лето'!z804-'[2]$ лето'!y804-'[2]$ лето'!x804-'[2]$ лето'!v804-'[2]$ лето'!u804-'[2]$ лето'!t804-'[2]$ лето'!s804-'[2]$ лето'!r804-'[2]$ лето'!p804-'[2]$ лето'!o804-'[2]$ лето'!n804-'[2]$ лето'!m804-'[2]$ лето'!l804+'[2]$ лето'!k804+'[2]$ лето'!q804+'[2]$ лето'!w804+'[2]$ лето'!ac804+'[2]$ лето'!ai804+'[2]$ лето'!ao804</f>
        <v>0</v>
      </c>
      <c r="I804" s="109" t="n">
        <f aca="false">'[2]$ лето'!ay804*1.1</f>
        <v>2402.4</v>
      </c>
    </row>
    <row r="805" customFormat="false" ht="15" hidden="false" customHeight="false" outlineLevel="0" collapsed="false">
      <c r="A805" s="115" t="s">
        <v>1387</v>
      </c>
      <c r="B805" s="115" t="s">
        <v>606</v>
      </c>
      <c r="C805" s="116" t="s">
        <v>1389</v>
      </c>
      <c r="D805" s="116"/>
      <c r="E805" s="116"/>
      <c r="F805" s="116"/>
      <c r="G805" s="108" t="s">
        <v>609</v>
      </c>
      <c r="H805" s="105" t="n">
        <f aca="false">'[2]$ лето'!j805-'[2]$ лето'!au805-'[2]$ лето'!at805-'[2]$ лето'!as805-'[2]$ лето'!ar805-'[2]$ лето'!aq805-'[2]$ лето'!ap805-'[2]$ лето'!an805-'[2]$ лето'!am805-'[2]$ лето'!al805-'[2]$ лето'!ak805-'[2]$ лето'!aj805-'[2]$ лето'!ah805-'[2]$ лето'!ag805-'[2]$ лето'!af805-'[2]$ лето'!ae805-'[2]$ лето'!ad805-'[2]$ лето'!ab805-'[2]$ лето'!aa805-'[2]$ лето'!z805-'[2]$ лето'!y805-'[2]$ лето'!x805-'[2]$ лето'!v805-'[2]$ лето'!u805-'[2]$ лето'!t805-'[2]$ лето'!s805-'[2]$ лето'!r805-'[2]$ лето'!p805-'[2]$ лето'!o805-'[2]$ лето'!n805-'[2]$ лето'!m805-'[2]$ лето'!l805+'[2]$ лето'!k805+'[2]$ лето'!q805+'[2]$ лето'!w805+'[2]$ лето'!ac805+'[2]$ лето'!ai805+'[2]$ лето'!ao805</f>
        <v>4</v>
      </c>
      <c r="I805" s="109" t="n">
        <f aca="false">'[2]$ лето'!ay805*1.1</f>
        <v>2464</v>
      </c>
      <c r="J805" s="85" t="n">
        <v>2018</v>
      </c>
    </row>
    <row r="806" customFormat="false" ht="15" hidden="true" customHeight="false" outlineLevel="0" collapsed="false">
      <c r="A806" s="115" t="s">
        <v>1387</v>
      </c>
      <c r="B806" s="123" t="s">
        <v>574</v>
      </c>
      <c r="C806" s="107" t="s">
        <v>1390</v>
      </c>
      <c r="D806" s="107"/>
      <c r="E806" s="107"/>
      <c r="F806" s="107"/>
      <c r="G806" s="108" t="s">
        <v>576</v>
      </c>
      <c r="H806" s="105" t="n">
        <f aca="false">'[2]$ лето'!j806-'[2]$ лето'!au806-'[2]$ лето'!at806-'[2]$ лето'!as806-'[2]$ лето'!ar806-'[2]$ лето'!aq806-'[2]$ лето'!ap806-'[2]$ лето'!an806-'[2]$ лето'!am806-'[2]$ лето'!al806-'[2]$ лето'!ak806-'[2]$ лето'!aj806-'[2]$ лето'!ah806-'[2]$ лето'!ag806-'[2]$ лето'!af806-'[2]$ лето'!ae806-'[2]$ лето'!ad806-'[2]$ лето'!ab806-'[2]$ лето'!aa806-'[2]$ лето'!z806-'[2]$ лето'!y806-'[2]$ лето'!x806-'[2]$ лето'!v806-'[2]$ лето'!u806-'[2]$ лето'!t806-'[2]$ лето'!s806-'[2]$ лето'!r806-'[2]$ лето'!p806-'[2]$ лето'!o806-'[2]$ лето'!n806-'[2]$ лето'!m806-'[2]$ лето'!l806+'[2]$ лето'!k806+'[2]$ лето'!q806+'[2]$ лето'!w806+'[2]$ лето'!ac806+'[2]$ лето'!ai806+'[2]$ лето'!ao806</f>
        <v>0</v>
      </c>
      <c r="I806" s="109" t="n">
        <f aca="false">'[2]$ лето'!ay806*1.1</f>
        <v>2186.8</v>
      </c>
    </row>
    <row r="807" customFormat="false" ht="15" hidden="true" customHeight="false" outlineLevel="0" collapsed="false">
      <c r="A807" s="115" t="s">
        <v>1387</v>
      </c>
      <c r="B807" s="123" t="s">
        <v>574</v>
      </c>
      <c r="C807" s="107" t="s">
        <v>1391</v>
      </c>
      <c r="D807" s="107"/>
      <c r="E807" s="107"/>
      <c r="F807" s="107"/>
      <c r="G807" s="108" t="s">
        <v>576</v>
      </c>
      <c r="H807" s="105" t="n">
        <f aca="false">'[2]$ лето'!j807-'[2]$ лето'!au807-'[2]$ лето'!at807-'[2]$ лето'!as807-'[2]$ лето'!ar807-'[2]$ лето'!aq807-'[2]$ лето'!ap807-'[2]$ лето'!an807-'[2]$ лето'!am807-'[2]$ лето'!al807-'[2]$ лето'!ak807-'[2]$ лето'!aj807-'[2]$ лето'!ah807-'[2]$ лето'!ag807-'[2]$ лето'!af807-'[2]$ лето'!ae807-'[2]$ лето'!ad807-'[2]$ лето'!ab807-'[2]$ лето'!aa807-'[2]$ лето'!z807-'[2]$ лето'!y807-'[2]$ лето'!x807-'[2]$ лето'!v807-'[2]$ лето'!u807-'[2]$ лето'!t807-'[2]$ лето'!s807-'[2]$ лето'!r807-'[2]$ лето'!p807-'[2]$ лето'!o807-'[2]$ лето'!n807-'[2]$ лето'!m807-'[2]$ лето'!l807+'[2]$ лето'!k807+'[2]$ лето'!q807+'[2]$ лето'!w807+'[2]$ лето'!ac807+'[2]$ лето'!ai807+'[2]$ лето'!ao807</f>
        <v>0</v>
      </c>
      <c r="I807" s="109" t="n">
        <f aca="false">'[2]$ лето'!ay807*1.1</f>
        <v>2186.8</v>
      </c>
    </row>
    <row r="808" customFormat="false" ht="15" hidden="false" customHeight="false" outlineLevel="0" collapsed="false">
      <c r="A808" s="115" t="s">
        <v>1387</v>
      </c>
      <c r="B808" s="123" t="s">
        <v>583</v>
      </c>
      <c r="C808" s="107" t="s">
        <v>1392</v>
      </c>
      <c r="D808" s="107"/>
      <c r="E808" s="116"/>
      <c r="F808" s="116"/>
      <c r="G808" s="108" t="s">
        <v>585</v>
      </c>
      <c r="H808" s="105" t="n">
        <f aca="false">'[2]$ лето'!j808-'[2]$ лето'!au808-'[2]$ лето'!at808-'[2]$ лето'!as808-'[2]$ лето'!ar808-'[2]$ лето'!aq808-'[2]$ лето'!ap808-'[2]$ лето'!an808-'[2]$ лето'!am808-'[2]$ лето'!al808-'[2]$ лето'!ak808-'[2]$ лето'!aj808-'[2]$ лето'!ah808-'[2]$ лето'!ag808-'[2]$ лето'!af808-'[2]$ лето'!ae808-'[2]$ лето'!ad808-'[2]$ лето'!ab808-'[2]$ лето'!aa808-'[2]$ лето'!z808-'[2]$ лето'!y808-'[2]$ лето'!x808-'[2]$ лето'!v808-'[2]$ лето'!u808-'[2]$ лето'!t808-'[2]$ лето'!s808-'[2]$ лето'!r808-'[2]$ лето'!p808-'[2]$ лето'!o808-'[2]$ лето'!n808-'[2]$ лето'!m808-'[2]$ лето'!l808+'[2]$ лето'!k808+'[2]$ лето'!q808+'[2]$ лето'!w808+'[2]$ лето'!ac808+'[2]$ лето'!ai808+'[2]$ лето'!ao808</f>
        <v>4</v>
      </c>
      <c r="I808" s="109" t="n">
        <f aca="false">'[2]$ лето'!ay808*1.1</f>
        <v>2464</v>
      </c>
      <c r="J808" s="85" t="n">
        <v>2017</v>
      </c>
    </row>
    <row r="809" customFormat="false" ht="15" hidden="true" customHeight="false" outlineLevel="0" collapsed="false">
      <c r="A809" s="115" t="s">
        <v>1387</v>
      </c>
      <c r="B809" s="123" t="s">
        <v>586</v>
      </c>
      <c r="C809" s="107" t="s">
        <v>1393</v>
      </c>
      <c r="D809" s="107"/>
      <c r="E809" s="107"/>
      <c r="F809" s="107"/>
      <c r="G809" s="108" t="s">
        <v>520</v>
      </c>
      <c r="H809" s="105" t="n">
        <f aca="false">'[2]$ лето'!j809-'[2]$ лето'!au809-'[2]$ лето'!at809-'[2]$ лето'!as809-'[2]$ лето'!ar809-'[2]$ лето'!aq809-'[2]$ лето'!ap809-'[2]$ лето'!an809-'[2]$ лето'!am809-'[2]$ лето'!al809-'[2]$ лето'!ak809-'[2]$ лето'!aj809-'[2]$ лето'!ah809-'[2]$ лето'!ag809-'[2]$ лето'!af809-'[2]$ лето'!ae809-'[2]$ лето'!ad809-'[2]$ лето'!ab809-'[2]$ лето'!aa809-'[2]$ лето'!z809-'[2]$ лето'!y809-'[2]$ лето'!x809-'[2]$ лето'!v809-'[2]$ лето'!u809-'[2]$ лето'!t809-'[2]$ лето'!s809-'[2]$ лето'!r809-'[2]$ лето'!p809-'[2]$ лето'!o809-'[2]$ лето'!n809-'[2]$ лето'!m809-'[2]$ лето'!l809+'[2]$ лето'!k809+'[2]$ лето'!q809+'[2]$ лето'!w809+'[2]$ лето'!ac809+'[2]$ лето'!ai809+'[2]$ лето'!ao809</f>
        <v>0</v>
      </c>
      <c r="I809" s="109" t="n">
        <f aca="false">'[2]$ лето'!ay809*1.1</f>
        <v>1601.6</v>
      </c>
      <c r="J809" s="85" t="n">
        <v>2018</v>
      </c>
    </row>
    <row r="810" customFormat="false" ht="15" hidden="true" customHeight="false" outlineLevel="0" collapsed="false">
      <c r="A810" s="115" t="s">
        <v>1394</v>
      </c>
      <c r="B810" s="115" t="s">
        <v>844</v>
      </c>
      <c r="C810" s="116" t="s">
        <v>1072</v>
      </c>
      <c r="D810" s="116"/>
      <c r="E810" s="116"/>
      <c r="F810" s="116"/>
      <c r="G810" s="108"/>
      <c r="H810" s="105" t="n">
        <f aca="false">'[2]$ лето'!j810-'[2]$ лето'!au810-'[2]$ лето'!at810-'[2]$ лето'!as810-'[2]$ лето'!ar810-'[2]$ лето'!aq810-'[2]$ лето'!ap810-'[2]$ лето'!an810-'[2]$ лето'!am810-'[2]$ лето'!al810-'[2]$ лето'!ak810-'[2]$ лето'!aj810-'[2]$ лето'!ah810-'[2]$ лето'!ag810-'[2]$ лето'!af810-'[2]$ лето'!ae810-'[2]$ лето'!ad810-'[2]$ лето'!ab810-'[2]$ лето'!aa810-'[2]$ лето'!z810-'[2]$ лето'!y810-'[2]$ лето'!x810-'[2]$ лето'!v810-'[2]$ лето'!u810-'[2]$ лето'!t810-'[2]$ лето'!s810-'[2]$ лето'!r810-'[2]$ лето'!p810-'[2]$ лето'!o810-'[2]$ лето'!n810-'[2]$ лето'!m810-'[2]$ лето'!l810+'[2]$ лето'!k810+'[2]$ лето'!q810+'[2]$ лето'!w810+'[2]$ лето'!ac810+'[2]$ лето'!ai810+'[2]$ лето'!ao810</f>
        <v>0</v>
      </c>
      <c r="I810" s="109" t="n">
        <f aca="false">'[2]$ лето'!ay810*1.1</f>
        <v>3880.8</v>
      </c>
    </row>
    <row r="811" customFormat="false" ht="15" hidden="true" customHeight="false" outlineLevel="0" collapsed="false">
      <c r="A811" s="115" t="s">
        <v>1394</v>
      </c>
      <c r="B811" s="115" t="s">
        <v>601</v>
      </c>
      <c r="C811" s="116" t="s">
        <v>1395</v>
      </c>
      <c r="D811" s="116"/>
      <c r="E811" s="116"/>
      <c r="F811" s="116"/>
      <c r="G811" s="108"/>
      <c r="H811" s="105" t="n">
        <f aca="false">'[2]$ лето'!j811-'[2]$ лето'!au811-'[2]$ лето'!at811-'[2]$ лето'!as811-'[2]$ лето'!ar811-'[2]$ лето'!aq811-'[2]$ лето'!ap811-'[2]$ лето'!an811-'[2]$ лето'!am811-'[2]$ лето'!al811-'[2]$ лето'!ak811-'[2]$ лето'!aj811-'[2]$ лето'!ah811-'[2]$ лето'!ag811-'[2]$ лето'!af811-'[2]$ лето'!ae811-'[2]$ лето'!ad811-'[2]$ лето'!ab811-'[2]$ лето'!aa811-'[2]$ лето'!z811-'[2]$ лето'!y811-'[2]$ лето'!x811-'[2]$ лето'!v811-'[2]$ лето'!u811-'[2]$ лето'!t811-'[2]$ лето'!s811-'[2]$ лето'!r811-'[2]$ лето'!p811-'[2]$ лето'!o811-'[2]$ лето'!n811-'[2]$ лето'!m811-'[2]$ лето'!l811+'[2]$ лето'!k811+'[2]$ лето'!q811+'[2]$ лето'!w811+'[2]$ лето'!ac811+'[2]$ лето'!ai811+'[2]$ лето'!ao811</f>
        <v>0</v>
      </c>
      <c r="I811" s="109" t="n">
        <f aca="false">'[2]$ лето'!ay811*1.1</f>
        <v>1016.4</v>
      </c>
    </row>
    <row r="812" customFormat="false" ht="15" hidden="true" customHeight="false" outlineLevel="0" collapsed="false">
      <c r="A812" s="115" t="s">
        <v>1394</v>
      </c>
      <c r="B812" s="115" t="s">
        <v>586</v>
      </c>
      <c r="C812" s="116" t="s">
        <v>1396</v>
      </c>
      <c r="D812" s="116"/>
      <c r="E812" s="116"/>
      <c r="F812" s="116"/>
      <c r="G812" s="108" t="s">
        <v>520</v>
      </c>
      <c r="H812" s="105" t="n">
        <f aca="false">'[2]$ лето'!j812-'[2]$ лето'!au812-'[2]$ лето'!at812-'[2]$ лето'!as812-'[2]$ лето'!ar812-'[2]$ лето'!aq812-'[2]$ лето'!ap812-'[2]$ лето'!an812-'[2]$ лето'!am812-'[2]$ лето'!al812-'[2]$ лето'!ak812-'[2]$ лето'!aj812-'[2]$ лето'!ah812-'[2]$ лето'!ag812-'[2]$ лето'!af812-'[2]$ лето'!ae812-'[2]$ лето'!ad812-'[2]$ лето'!ab812-'[2]$ лето'!aa812-'[2]$ лето'!z812-'[2]$ лето'!y812-'[2]$ лето'!x812-'[2]$ лето'!v812-'[2]$ лето'!u812-'[2]$ лето'!t812-'[2]$ лето'!s812-'[2]$ лето'!r812-'[2]$ лето'!p812-'[2]$ лето'!o812-'[2]$ лето'!n812-'[2]$ лето'!m812-'[2]$ лето'!l812+'[2]$ лето'!k812+'[2]$ лето'!q812+'[2]$ лето'!w812+'[2]$ лето'!ac812+'[2]$ лето'!ai812+'[2]$ лето'!ao812</f>
        <v>0</v>
      </c>
      <c r="I812" s="109" t="n">
        <f aca="false">'[2]$ лето'!ay812*1.1</f>
        <v>1848</v>
      </c>
    </row>
    <row r="813" customFormat="false" ht="15" hidden="true" customHeight="false" outlineLevel="0" collapsed="false">
      <c r="A813" s="115" t="s">
        <v>1394</v>
      </c>
      <c r="B813" s="115" t="s">
        <v>623</v>
      </c>
      <c r="C813" s="116" t="s">
        <v>1397</v>
      </c>
      <c r="D813" s="116"/>
      <c r="E813" s="116"/>
      <c r="F813" s="116"/>
      <c r="G813" s="108"/>
      <c r="H813" s="105" t="n">
        <f aca="false">'[2]$ лето'!j813-'[2]$ лето'!au813-'[2]$ лето'!at813-'[2]$ лето'!as813-'[2]$ лето'!ar813-'[2]$ лето'!aq813-'[2]$ лето'!ap813-'[2]$ лето'!an813-'[2]$ лето'!am813-'[2]$ лето'!al813-'[2]$ лето'!ak813-'[2]$ лето'!aj813-'[2]$ лето'!ah813-'[2]$ лето'!ag813-'[2]$ лето'!af813-'[2]$ лето'!ae813-'[2]$ лето'!ad813-'[2]$ лето'!ab813-'[2]$ лето'!aa813-'[2]$ лето'!z813-'[2]$ лето'!y813-'[2]$ лето'!x813-'[2]$ лето'!v813-'[2]$ лето'!u813-'[2]$ лето'!t813-'[2]$ лето'!s813-'[2]$ лето'!r813-'[2]$ лето'!p813-'[2]$ лето'!o813-'[2]$ лето'!n813-'[2]$ лето'!m813-'[2]$ лето'!l813+'[2]$ лето'!k813+'[2]$ лето'!q813+'[2]$ лето'!w813+'[2]$ лето'!ac813+'[2]$ лето'!ai813+'[2]$ лето'!ao813</f>
        <v>0</v>
      </c>
      <c r="I813" s="109" t="n">
        <f aca="false">'[2]$ лето'!ay813*1.1</f>
        <v>2002</v>
      </c>
    </row>
    <row r="814" customFormat="false" ht="15" hidden="true" customHeight="false" outlineLevel="0" collapsed="false">
      <c r="A814" s="123" t="s">
        <v>262</v>
      </c>
      <c r="B814" s="115" t="s">
        <v>568</v>
      </c>
      <c r="C814" s="116" t="s">
        <v>1398</v>
      </c>
      <c r="D814" s="116"/>
      <c r="E814" s="116"/>
      <c r="F814" s="116"/>
      <c r="G814" s="108" t="s">
        <v>640</v>
      </c>
      <c r="H814" s="105" t="n">
        <f aca="false">'[2]$ лето'!j814-'[2]$ лето'!au814-'[2]$ лето'!at814-'[2]$ лето'!as814-'[2]$ лето'!ar814-'[2]$ лето'!aq814-'[2]$ лето'!ap814-'[2]$ лето'!an814-'[2]$ лето'!am814-'[2]$ лето'!al814-'[2]$ лето'!ak814-'[2]$ лето'!aj814-'[2]$ лето'!ah814-'[2]$ лето'!ag814-'[2]$ лето'!af814-'[2]$ лето'!ae814-'[2]$ лето'!ad814-'[2]$ лето'!ab814-'[2]$ лето'!aa814-'[2]$ лето'!z814-'[2]$ лето'!y814-'[2]$ лето'!x814-'[2]$ лето'!v814-'[2]$ лето'!u814-'[2]$ лето'!t814-'[2]$ лето'!s814-'[2]$ лето'!r814-'[2]$ лето'!p814-'[2]$ лето'!o814-'[2]$ лето'!n814-'[2]$ лето'!m814-'[2]$ лето'!l814+'[2]$ лето'!k814+'[2]$ лето'!q814+'[2]$ лето'!w814+'[2]$ лето'!ac814+'[2]$ лето'!ai814+'[2]$ лето'!ao814</f>
        <v>0</v>
      </c>
      <c r="I814" s="109" t="n">
        <f aca="false">'[2]$ лето'!ay814*1.1</f>
        <v>2217.6</v>
      </c>
      <c r="J814" s="85" t="n">
        <v>2018</v>
      </c>
    </row>
    <row r="815" customFormat="false" ht="15" hidden="true" customHeight="false" outlineLevel="0" collapsed="false">
      <c r="A815" s="115" t="s">
        <v>262</v>
      </c>
      <c r="B815" s="115" t="s">
        <v>741</v>
      </c>
      <c r="C815" s="116" t="s">
        <v>1399</v>
      </c>
      <c r="D815" s="116"/>
      <c r="E815" s="116"/>
      <c r="F815" s="116"/>
      <c r="G815" s="108"/>
      <c r="H815" s="105" t="n">
        <f aca="false">'[2]$ лето'!j815-'[2]$ лето'!au815-'[2]$ лето'!at815-'[2]$ лето'!as815-'[2]$ лето'!ar815-'[2]$ лето'!aq815-'[2]$ лето'!ap815-'[2]$ лето'!an815-'[2]$ лето'!am815-'[2]$ лето'!al815-'[2]$ лето'!ak815-'[2]$ лето'!aj815-'[2]$ лето'!ah815-'[2]$ лето'!ag815-'[2]$ лето'!af815-'[2]$ лето'!ae815-'[2]$ лето'!ad815-'[2]$ лето'!ab815-'[2]$ лето'!aa815-'[2]$ лето'!z815-'[2]$ лето'!y815-'[2]$ лето'!x815-'[2]$ лето'!v815-'[2]$ лето'!u815-'[2]$ лето'!t815-'[2]$ лето'!s815-'[2]$ лето'!r815-'[2]$ лето'!p815-'[2]$ лето'!o815-'[2]$ лето'!n815-'[2]$ лето'!m815-'[2]$ лето'!l815+'[2]$ лето'!k815+'[2]$ лето'!q815+'[2]$ лето'!w815+'[2]$ лето'!ac815+'[2]$ лето'!ai815+'[2]$ лето'!ao815</f>
        <v>0</v>
      </c>
      <c r="I815" s="109" t="n">
        <f aca="false">'[2]$ лето'!ay815*1.1</f>
        <v>2371.6</v>
      </c>
      <c r="J815" s="85" t="n">
        <v>2017</v>
      </c>
    </row>
    <row r="816" customFormat="false" ht="15" hidden="true" customHeight="false" outlineLevel="0" collapsed="false">
      <c r="A816" s="115" t="s">
        <v>262</v>
      </c>
      <c r="B816" s="115" t="s">
        <v>604</v>
      </c>
      <c r="C816" s="116" t="s">
        <v>1400</v>
      </c>
      <c r="D816" s="116"/>
      <c r="E816" s="116"/>
      <c r="F816" s="116"/>
      <c r="G816" s="108"/>
      <c r="H816" s="105" t="n">
        <f aca="false">'[2]$ лето'!j816-'[2]$ лето'!au816-'[2]$ лето'!at816-'[2]$ лето'!as816-'[2]$ лето'!ar816-'[2]$ лето'!aq816-'[2]$ лето'!ap816-'[2]$ лето'!an816-'[2]$ лето'!am816-'[2]$ лето'!al816-'[2]$ лето'!ak816-'[2]$ лето'!aj816-'[2]$ лето'!ah816-'[2]$ лето'!ag816-'[2]$ лето'!af816-'[2]$ лето'!ae816-'[2]$ лето'!ad816-'[2]$ лето'!ab816-'[2]$ лето'!aa816-'[2]$ лето'!z816-'[2]$ лето'!y816-'[2]$ лето'!x816-'[2]$ лето'!v816-'[2]$ лето'!u816-'[2]$ лето'!t816-'[2]$ лето'!s816-'[2]$ лето'!r816-'[2]$ лето'!p816-'[2]$ лето'!o816-'[2]$ лето'!n816-'[2]$ лето'!m816-'[2]$ лето'!l816+'[2]$ лето'!k816+'[2]$ лето'!q816+'[2]$ лето'!w816+'[2]$ лето'!ac816+'[2]$ лето'!ai816+'[2]$ лето'!ao816</f>
        <v>0</v>
      </c>
      <c r="I816" s="109" t="n">
        <f aca="false">'[2]$ лето'!ay816*1.1</f>
        <v>2371.6</v>
      </c>
    </row>
    <row r="817" customFormat="false" ht="15" hidden="true" customHeight="false" outlineLevel="0" collapsed="false">
      <c r="A817" s="115" t="s">
        <v>262</v>
      </c>
      <c r="B817" s="115" t="s">
        <v>606</v>
      </c>
      <c r="C817" s="107" t="s">
        <v>1401</v>
      </c>
      <c r="D817" s="107"/>
      <c r="E817" s="107"/>
      <c r="F817" s="107"/>
      <c r="G817" s="108"/>
      <c r="H817" s="105" t="n">
        <f aca="false">'[2]$ лето'!j817-'[2]$ лето'!au817-'[2]$ лето'!at817-'[2]$ лето'!as817-'[2]$ лето'!ar817-'[2]$ лето'!aq817-'[2]$ лето'!ap817-'[2]$ лето'!an817-'[2]$ лето'!am817-'[2]$ лето'!al817-'[2]$ лето'!ak817-'[2]$ лето'!aj817-'[2]$ лето'!ah817-'[2]$ лето'!ag817-'[2]$ лето'!af817-'[2]$ лето'!ae817-'[2]$ лето'!ad817-'[2]$ лето'!ab817-'[2]$ лето'!aa817-'[2]$ лето'!z817-'[2]$ лето'!y817-'[2]$ лето'!x817-'[2]$ лето'!v817-'[2]$ лето'!u817-'[2]$ лето'!t817-'[2]$ лето'!s817-'[2]$ лето'!r817-'[2]$ лето'!p817-'[2]$ лето'!o817-'[2]$ лето'!n817-'[2]$ лето'!m817-'[2]$ лето'!l817+'[2]$ лето'!k817+'[2]$ лето'!q817+'[2]$ лето'!w817+'[2]$ лето'!ac817+'[2]$ лето'!ai817+'[2]$ лето'!ao817</f>
        <v>0</v>
      </c>
      <c r="I817" s="109" t="n">
        <f aca="false">'[2]$ лето'!ay817*1.1</f>
        <v>2125.2</v>
      </c>
    </row>
    <row r="818" customFormat="false" ht="15" hidden="true" customHeight="false" outlineLevel="0" collapsed="false">
      <c r="A818" s="115" t="s">
        <v>262</v>
      </c>
      <c r="B818" s="115" t="s">
        <v>668</v>
      </c>
      <c r="C818" s="116" t="s">
        <v>716</v>
      </c>
      <c r="D818" s="116"/>
      <c r="E818" s="116"/>
      <c r="F818" s="116"/>
      <c r="G818" s="108" t="s">
        <v>609</v>
      </c>
      <c r="H818" s="105" t="n">
        <f aca="false">'[2]$ лето'!j818-'[2]$ лето'!au818-'[2]$ лето'!at818-'[2]$ лето'!as818-'[2]$ лето'!ar818-'[2]$ лето'!aq818-'[2]$ лето'!ap818-'[2]$ лето'!an818-'[2]$ лето'!am818-'[2]$ лето'!al818-'[2]$ лето'!ak818-'[2]$ лето'!aj818-'[2]$ лето'!ah818-'[2]$ лето'!ag818-'[2]$ лето'!af818-'[2]$ лето'!ae818-'[2]$ лето'!ad818-'[2]$ лето'!ab818-'[2]$ лето'!aa818-'[2]$ лето'!z818-'[2]$ лето'!y818-'[2]$ лето'!x818-'[2]$ лето'!v818-'[2]$ лето'!u818-'[2]$ лето'!t818-'[2]$ лето'!s818-'[2]$ лето'!r818-'[2]$ лето'!p818-'[2]$ лето'!o818-'[2]$ лето'!n818-'[2]$ лето'!m818-'[2]$ лето'!l818+'[2]$ лето'!k818+'[2]$ лето'!q818+'[2]$ лето'!w818+'[2]$ лето'!ac818+'[2]$ лето'!ai818+'[2]$ лето'!ao818</f>
        <v>0</v>
      </c>
      <c r="I818" s="109" t="n">
        <f aca="false">'[2]$ лето'!ay818*1.1</f>
        <v>2248.4</v>
      </c>
    </row>
    <row r="819" customFormat="false" ht="15" hidden="true" customHeight="false" outlineLevel="0" collapsed="false">
      <c r="A819" s="115" t="s">
        <v>262</v>
      </c>
      <c r="B819" s="115" t="s">
        <v>574</v>
      </c>
      <c r="C819" s="116" t="s">
        <v>1402</v>
      </c>
      <c r="D819" s="116"/>
      <c r="E819" s="116"/>
      <c r="F819" s="116"/>
      <c r="G819" s="108" t="s">
        <v>576</v>
      </c>
      <c r="H819" s="105" t="n">
        <f aca="false">'[2]$ лето'!j819-'[2]$ лето'!au819-'[2]$ лето'!at819-'[2]$ лето'!as819-'[2]$ лето'!ar819-'[2]$ лето'!aq819-'[2]$ лето'!ap819-'[2]$ лето'!an819-'[2]$ лето'!am819-'[2]$ лето'!al819-'[2]$ лето'!ak819-'[2]$ лето'!aj819-'[2]$ лето'!ah819-'[2]$ лето'!ag819-'[2]$ лето'!af819-'[2]$ лето'!ae819-'[2]$ лето'!ad819-'[2]$ лето'!ab819-'[2]$ лето'!aa819-'[2]$ лето'!z819-'[2]$ лето'!y819-'[2]$ лето'!x819-'[2]$ лето'!v819-'[2]$ лето'!u819-'[2]$ лето'!t819-'[2]$ лето'!s819-'[2]$ лето'!r819-'[2]$ лето'!p819-'[2]$ лето'!o819-'[2]$ лето'!n819-'[2]$ лето'!m819-'[2]$ лето'!l819+'[2]$ лето'!k819+'[2]$ лето'!q819+'[2]$ лето'!w819+'[2]$ лето'!ac819+'[2]$ лето'!ai819+'[2]$ лето'!ao819</f>
        <v>0</v>
      </c>
      <c r="I819" s="109" t="n">
        <f aca="false">'[2]$ лето'!ay819*1.1</f>
        <v>2156</v>
      </c>
    </row>
    <row r="820" customFormat="false" ht="15" hidden="true" customHeight="false" outlineLevel="0" collapsed="false">
      <c r="A820" s="115" t="s">
        <v>262</v>
      </c>
      <c r="B820" s="115" t="s">
        <v>577</v>
      </c>
      <c r="C820" s="116" t="s">
        <v>1403</v>
      </c>
      <c r="D820" s="116"/>
      <c r="E820" s="116"/>
      <c r="F820" s="116"/>
      <c r="G820" s="108" t="s">
        <v>563</v>
      </c>
      <c r="H820" s="105" t="n">
        <f aca="false">'[2]$ лето'!j820-'[2]$ лето'!au820-'[2]$ лето'!at820-'[2]$ лето'!as820-'[2]$ лето'!ar820-'[2]$ лето'!aq820-'[2]$ лето'!ap820-'[2]$ лето'!an820-'[2]$ лето'!am820-'[2]$ лето'!al820-'[2]$ лето'!ak820-'[2]$ лето'!aj820-'[2]$ лето'!ah820-'[2]$ лето'!ag820-'[2]$ лето'!af820-'[2]$ лето'!ae820-'[2]$ лето'!ad820-'[2]$ лето'!ab820-'[2]$ лето'!aa820-'[2]$ лето'!z820-'[2]$ лето'!y820-'[2]$ лето'!x820-'[2]$ лето'!v820-'[2]$ лето'!u820-'[2]$ лето'!t820-'[2]$ лето'!s820-'[2]$ лето'!r820-'[2]$ лето'!p820-'[2]$ лето'!o820-'[2]$ лето'!n820-'[2]$ лето'!m820-'[2]$ лето'!l820+'[2]$ лето'!k820+'[2]$ лето'!q820+'[2]$ лето'!w820+'[2]$ лето'!ac820+'[2]$ лето'!ai820+'[2]$ лето'!ao820</f>
        <v>0</v>
      </c>
      <c r="I820" s="109" t="n">
        <f aca="false">'[2]$ лето'!ay820*1.1</f>
        <v>1878.8</v>
      </c>
    </row>
    <row r="821" customFormat="false" ht="15" hidden="false" customHeight="false" outlineLevel="0" collapsed="false">
      <c r="A821" s="115" t="s">
        <v>262</v>
      </c>
      <c r="B821" s="115" t="s">
        <v>583</v>
      </c>
      <c r="C821" s="116" t="s">
        <v>1350</v>
      </c>
      <c r="D821" s="116"/>
      <c r="E821" s="116"/>
      <c r="F821" s="116"/>
      <c r="G821" s="108" t="s">
        <v>640</v>
      </c>
      <c r="H821" s="105" t="n">
        <f aca="false">'[2]$ лето'!j821-'[2]$ лето'!au821-'[2]$ лето'!at821-'[2]$ лето'!as821-'[2]$ лето'!ar821-'[2]$ лето'!aq821-'[2]$ лето'!ap821-'[2]$ лето'!an821-'[2]$ лето'!am821-'[2]$ лето'!al821-'[2]$ лето'!ak821-'[2]$ лето'!aj821-'[2]$ лето'!ah821-'[2]$ лето'!ag821-'[2]$ лето'!af821-'[2]$ лето'!ae821-'[2]$ лето'!ad821-'[2]$ лето'!ab821-'[2]$ лето'!aa821-'[2]$ лето'!z821-'[2]$ лето'!y821-'[2]$ лето'!x821-'[2]$ лето'!v821-'[2]$ лето'!u821-'[2]$ лето'!t821-'[2]$ лето'!s821-'[2]$ лето'!r821-'[2]$ лето'!p821-'[2]$ лето'!o821-'[2]$ лето'!n821-'[2]$ лето'!m821-'[2]$ лето'!l821+'[2]$ лето'!k821+'[2]$ лето'!q821+'[2]$ лето'!w821+'[2]$ лето'!ac821+'[2]$ лето'!ai821+'[2]$ лето'!ao821</f>
        <v>2</v>
      </c>
      <c r="I821" s="109" t="n">
        <f aca="false">'[2]$ лето'!ay821*1.1</f>
        <v>2156</v>
      </c>
    </row>
    <row r="822" customFormat="false" ht="15" hidden="true" customHeight="false" outlineLevel="0" collapsed="false">
      <c r="A822" s="115" t="s">
        <v>262</v>
      </c>
      <c r="B822" s="115" t="s">
        <v>593</v>
      </c>
      <c r="C822" s="116" t="s">
        <v>1404</v>
      </c>
      <c r="D822" s="116"/>
      <c r="E822" s="116"/>
      <c r="F822" s="116"/>
      <c r="G822" s="108"/>
      <c r="H822" s="105" t="n">
        <f aca="false">'[2]$ лето'!j822-'[2]$ лето'!au822-'[2]$ лето'!at822-'[2]$ лето'!as822-'[2]$ лето'!ar822-'[2]$ лето'!aq822-'[2]$ лето'!ap822-'[2]$ лето'!an822-'[2]$ лето'!am822-'[2]$ лето'!al822-'[2]$ лето'!ak822-'[2]$ лето'!aj822-'[2]$ лето'!ah822-'[2]$ лето'!ag822-'[2]$ лето'!af822-'[2]$ лето'!ae822-'[2]$ лето'!ad822-'[2]$ лето'!ab822-'[2]$ лето'!aa822-'[2]$ лето'!z822-'[2]$ лето'!y822-'[2]$ лето'!x822-'[2]$ лето'!v822-'[2]$ лето'!u822-'[2]$ лето'!t822-'[2]$ лето'!s822-'[2]$ лето'!r822-'[2]$ лето'!p822-'[2]$ лето'!o822-'[2]$ лето'!n822-'[2]$ лето'!m822-'[2]$ лето'!l822+'[2]$ лето'!k822+'[2]$ лето'!q822+'[2]$ лето'!w822+'[2]$ лето'!ac822+'[2]$ лето'!ai822+'[2]$ лето'!ao822</f>
        <v>0</v>
      </c>
      <c r="I822" s="109" t="n">
        <f aca="false">'[2]$ лето'!ay822*1.1</f>
        <v>2525.6</v>
      </c>
    </row>
    <row r="823" customFormat="false" ht="15" hidden="true" customHeight="false" outlineLevel="0" collapsed="false">
      <c r="A823" s="115" t="s">
        <v>262</v>
      </c>
      <c r="B823" s="115" t="s">
        <v>593</v>
      </c>
      <c r="C823" s="107" t="s">
        <v>1405</v>
      </c>
      <c r="D823" s="107"/>
      <c r="E823" s="107"/>
      <c r="F823" s="107"/>
      <c r="G823" s="108"/>
      <c r="H823" s="105" t="n">
        <f aca="false">'[2]$ лето'!j823-'[2]$ лето'!au823-'[2]$ лето'!at823-'[2]$ лето'!as823-'[2]$ лето'!ar823-'[2]$ лето'!aq823-'[2]$ лето'!ap823-'[2]$ лето'!an823-'[2]$ лето'!am823-'[2]$ лето'!al823-'[2]$ лето'!ak823-'[2]$ лето'!aj823-'[2]$ лето'!ah823-'[2]$ лето'!ag823-'[2]$ лето'!af823-'[2]$ лето'!ae823-'[2]$ лето'!ad823-'[2]$ лето'!ab823-'[2]$ лето'!aa823-'[2]$ лето'!z823-'[2]$ лето'!y823-'[2]$ лето'!x823-'[2]$ лето'!v823-'[2]$ лето'!u823-'[2]$ лето'!t823-'[2]$ лето'!s823-'[2]$ лето'!r823-'[2]$ лето'!p823-'[2]$ лето'!o823-'[2]$ лето'!n823-'[2]$ лето'!m823-'[2]$ лето'!l823+'[2]$ лето'!k823+'[2]$ лето'!q823+'[2]$ лето'!w823+'[2]$ лето'!ac823+'[2]$ лето'!ai823+'[2]$ лето'!ao823</f>
        <v>0</v>
      </c>
      <c r="I823" s="109" t="n">
        <f aca="false">'[2]$ лето'!ay823*1.1</f>
        <v>2956.8</v>
      </c>
      <c r="J823" s="85" t="n">
        <v>2016</v>
      </c>
    </row>
    <row r="824" customFormat="false" ht="15" hidden="true" customHeight="false" outlineLevel="0" collapsed="false">
      <c r="A824" s="115" t="s">
        <v>262</v>
      </c>
      <c r="B824" s="115" t="s">
        <v>586</v>
      </c>
      <c r="C824" s="107" t="s">
        <v>1406</v>
      </c>
      <c r="D824" s="107"/>
      <c r="E824" s="107"/>
      <c r="F824" s="107"/>
      <c r="G824" s="108" t="s">
        <v>520</v>
      </c>
      <c r="H824" s="105" t="n">
        <f aca="false">'[2]$ лето'!j824-'[2]$ лето'!au824-'[2]$ лето'!at824-'[2]$ лето'!as824-'[2]$ лето'!ar824-'[2]$ лето'!aq824-'[2]$ лето'!ap824-'[2]$ лето'!an824-'[2]$ лето'!am824-'[2]$ лето'!al824-'[2]$ лето'!ak824-'[2]$ лето'!aj824-'[2]$ лето'!ah824-'[2]$ лето'!ag824-'[2]$ лето'!af824-'[2]$ лето'!ae824-'[2]$ лето'!ad824-'[2]$ лето'!ab824-'[2]$ лето'!aa824-'[2]$ лето'!z824-'[2]$ лето'!y824-'[2]$ лето'!x824-'[2]$ лето'!v824-'[2]$ лето'!u824-'[2]$ лето'!t824-'[2]$ лето'!s824-'[2]$ лето'!r824-'[2]$ лето'!p824-'[2]$ лето'!o824-'[2]$ лето'!n824-'[2]$ лето'!m824-'[2]$ лето'!l824+'[2]$ лето'!k824+'[2]$ лето'!q824+'[2]$ лето'!w824+'[2]$ лето'!ac824+'[2]$ лето'!ai824+'[2]$ лето'!ao824</f>
        <v>0</v>
      </c>
      <c r="I824" s="109" t="n">
        <f aca="false">'[2]$ лето'!ay824*1.1</f>
        <v>1447.6</v>
      </c>
      <c r="J824" s="85" t="n">
        <v>2017</v>
      </c>
    </row>
    <row r="825" customFormat="false" ht="15" hidden="true" customHeight="false" outlineLevel="0" collapsed="false">
      <c r="A825" s="115" t="s">
        <v>262</v>
      </c>
      <c r="B825" s="115" t="s">
        <v>623</v>
      </c>
      <c r="C825" s="107" t="s">
        <v>1407</v>
      </c>
      <c r="D825" s="107"/>
      <c r="E825" s="107"/>
      <c r="F825" s="107"/>
      <c r="G825" s="108"/>
      <c r="H825" s="105" t="n">
        <f aca="false">'[2]$ лето'!j825-'[2]$ лето'!au825-'[2]$ лето'!at825-'[2]$ лето'!as825-'[2]$ лето'!ar825-'[2]$ лето'!aq825-'[2]$ лето'!ap825-'[2]$ лето'!an825-'[2]$ лето'!am825-'[2]$ лето'!al825-'[2]$ лето'!ak825-'[2]$ лето'!aj825-'[2]$ лето'!ah825-'[2]$ лето'!ag825-'[2]$ лето'!af825-'[2]$ лето'!ae825-'[2]$ лето'!ad825-'[2]$ лето'!ab825-'[2]$ лето'!aa825-'[2]$ лето'!z825-'[2]$ лето'!y825-'[2]$ лето'!x825-'[2]$ лето'!v825-'[2]$ лето'!u825-'[2]$ лето'!t825-'[2]$ лето'!s825-'[2]$ лето'!r825-'[2]$ лето'!p825-'[2]$ лето'!o825-'[2]$ лето'!n825-'[2]$ лето'!m825-'[2]$ лето'!l825+'[2]$ лето'!k825+'[2]$ лето'!q825+'[2]$ лето'!w825+'[2]$ лето'!ac825+'[2]$ лето'!ai825+'[2]$ лето'!ao825</f>
        <v>0</v>
      </c>
      <c r="I825" s="109" t="n">
        <f aca="false">'[2]$ лето'!ay825*1.1</f>
        <v>1694</v>
      </c>
    </row>
    <row r="826" customFormat="false" ht="15" hidden="true" customHeight="false" outlineLevel="0" collapsed="false">
      <c r="A826" s="115" t="s">
        <v>262</v>
      </c>
      <c r="B826" s="115" t="s">
        <v>589</v>
      </c>
      <c r="C826" s="116" t="s">
        <v>1408</v>
      </c>
      <c r="D826" s="116"/>
      <c r="E826" s="116"/>
      <c r="F826" s="116"/>
      <c r="G826" s="108"/>
      <c r="H826" s="105" t="n">
        <f aca="false">'[2]$ лето'!j826-'[2]$ лето'!au826-'[2]$ лето'!at826-'[2]$ лето'!as826-'[2]$ лето'!ar826-'[2]$ лето'!aq826-'[2]$ лето'!ap826-'[2]$ лето'!an826-'[2]$ лето'!am826-'[2]$ лето'!al826-'[2]$ лето'!ak826-'[2]$ лето'!aj826-'[2]$ лето'!ah826-'[2]$ лето'!ag826-'[2]$ лето'!af826-'[2]$ лето'!ae826-'[2]$ лето'!ad826-'[2]$ лето'!ab826-'[2]$ лето'!aa826-'[2]$ лето'!z826-'[2]$ лето'!y826-'[2]$ лето'!x826-'[2]$ лето'!v826-'[2]$ лето'!u826-'[2]$ лето'!t826-'[2]$ лето'!s826-'[2]$ лето'!r826-'[2]$ лето'!p826-'[2]$ лето'!o826-'[2]$ лето'!n826-'[2]$ лето'!m826-'[2]$ лето'!l826+'[2]$ лето'!k826+'[2]$ лето'!q826+'[2]$ лето'!w826+'[2]$ лето'!ac826+'[2]$ лето'!ai826+'[2]$ лето'!ao826</f>
        <v>0</v>
      </c>
      <c r="I826" s="109" t="n">
        <f aca="false">'[2]$ лето'!ay826*1.1</f>
        <v>3911.6</v>
      </c>
    </row>
    <row r="827" customFormat="false" ht="15" hidden="true" customHeight="false" outlineLevel="0" collapsed="false">
      <c r="A827" s="115" t="s">
        <v>262</v>
      </c>
      <c r="B827" s="115" t="s">
        <v>589</v>
      </c>
      <c r="C827" s="116" t="s">
        <v>1409</v>
      </c>
      <c r="D827" s="116"/>
      <c r="E827" s="116"/>
      <c r="F827" s="116"/>
      <c r="G827" s="108"/>
      <c r="H827" s="105" t="n">
        <f aca="false">'[2]$ лето'!j827-'[2]$ лето'!au827-'[2]$ лето'!at827-'[2]$ лето'!as827-'[2]$ лето'!ar827-'[2]$ лето'!aq827-'[2]$ лето'!ap827-'[2]$ лето'!an827-'[2]$ лето'!am827-'[2]$ лето'!al827-'[2]$ лето'!ak827-'[2]$ лето'!aj827-'[2]$ лето'!ah827-'[2]$ лето'!ag827-'[2]$ лето'!af827-'[2]$ лето'!ae827-'[2]$ лето'!ad827-'[2]$ лето'!ab827-'[2]$ лето'!aa827-'[2]$ лето'!z827-'[2]$ лето'!y827-'[2]$ лето'!x827-'[2]$ лето'!v827-'[2]$ лето'!u827-'[2]$ лето'!t827-'[2]$ лето'!s827-'[2]$ лето'!r827-'[2]$ лето'!p827-'[2]$ лето'!o827-'[2]$ лето'!n827-'[2]$ лето'!m827-'[2]$ лето'!l827+'[2]$ лето'!k827+'[2]$ лето'!q827+'[2]$ лето'!w827+'[2]$ лето'!ac827+'[2]$ лето'!ai827+'[2]$ лето'!ao827</f>
        <v>0</v>
      </c>
      <c r="I827" s="109" t="n">
        <f aca="false">'[2]$ лето'!ay827*1.1</f>
        <v>2371.6</v>
      </c>
    </row>
    <row r="828" customFormat="false" ht="15" hidden="true" customHeight="false" outlineLevel="0" collapsed="false">
      <c r="A828" s="115" t="s">
        <v>262</v>
      </c>
      <c r="B828" s="115" t="s">
        <v>564</v>
      </c>
      <c r="C828" s="116" t="s">
        <v>1410</v>
      </c>
      <c r="D828" s="116"/>
      <c r="E828" s="116"/>
      <c r="F828" s="116"/>
      <c r="G828" s="108" t="s">
        <v>520</v>
      </c>
      <c r="H828" s="105" t="n">
        <f aca="false">'[2]$ лето'!j828-'[2]$ лето'!au828-'[2]$ лето'!at828-'[2]$ лето'!as828-'[2]$ лето'!ar828-'[2]$ лето'!aq828-'[2]$ лето'!ap828-'[2]$ лето'!an828-'[2]$ лето'!am828-'[2]$ лето'!al828-'[2]$ лето'!ak828-'[2]$ лето'!aj828-'[2]$ лето'!ah828-'[2]$ лето'!ag828-'[2]$ лето'!af828-'[2]$ лето'!ae828-'[2]$ лето'!ad828-'[2]$ лето'!ab828-'[2]$ лето'!aa828-'[2]$ лето'!z828-'[2]$ лето'!y828-'[2]$ лето'!x828-'[2]$ лето'!v828-'[2]$ лето'!u828-'[2]$ лето'!t828-'[2]$ лето'!s828-'[2]$ лето'!r828-'[2]$ лето'!p828-'[2]$ лето'!o828-'[2]$ лето'!n828-'[2]$ лето'!m828-'[2]$ лето'!l828+'[2]$ лето'!k828+'[2]$ лето'!q828+'[2]$ лето'!w828+'[2]$ лето'!ac828+'[2]$ лето'!ai828+'[2]$ лето'!ao828</f>
        <v>0</v>
      </c>
      <c r="I828" s="109" t="n">
        <f aca="false">'[2]$ лето'!ay828*1.1</f>
        <v>1663.2</v>
      </c>
      <c r="J828" s="85" t="n">
        <v>2017</v>
      </c>
    </row>
    <row r="829" customFormat="false" ht="15" hidden="true" customHeight="false" outlineLevel="0" collapsed="false">
      <c r="A829" s="115" t="s">
        <v>262</v>
      </c>
      <c r="B829" s="115" t="s">
        <v>770</v>
      </c>
      <c r="C829" s="116" t="s">
        <v>1411</v>
      </c>
      <c r="D829" s="116"/>
      <c r="E829" s="116"/>
      <c r="F829" s="116"/>
      <c r="G829" s="108"/>
      <c r="H829" s="105" t="n">
        <f aca="false">'[2]$ лето'!j829-'[2]$ лето'!au829-'[2]$ лето'!at829-'[2]$ лето'!as829-'[2]$ лето'!ar829-'[2]$ лето'!aq829-'[2]$ лето'!ap829-'[2]$ лето'!an829-'[2]$ лето'!am829-'[2]$ лето'!al829-'[2]$ лето'!ak829-'[2]$ лето'!aj829-'[2]$ лето'!ah829-'[2]$ лето'!ag829-'[2]$ лето'!af829-'[2]$ лето'!ae829-'[2]$ лето'!ad829-'[2]$ лето'!ab829-'[2]$ лето'!aa829-'[2]$ лето'!z829-'[2]$ лето'!y829-'[2]$ лето'!x829-'[2]$ лето'!v829-'[2]$ лето'!u829-'[2]$ лето'!t829-'[2]$ лето'!s829-'[2]$ лето'!r829-'[2]$ лето'!p829-'[2]$ лето'!o829-'[2]$ лето'!n829-'[2]$ лето'!m829-'[2]$ лето'!l829+'[2]$ лето'!k829+'[2]$ лето'!q829+'[2]$ лето'!w829+'[2]$ лето'!ac829+'[2]$ лето'!ai829+'[2]$ лето'!ao829</f>
        <v>0</v>
      </c>
      <c r="I829" s="109" t="n">
        <f aca="false">'[2]$ лето'!ay829*1.1</f>
        <v>2310</v>
      </c>
    </row>
    <row r="830" customFormat="false" ht="15" hidden="true" customHeight="false" outlineLevel="0" collapsed="false">
      <c r="A830" s="115" t="s">
        <v>265</v>
      </c>
      <c r="B830" s="115" t="s">
        <v>568</v>
      </c>
      <c r="C830" s="107" t="s">
        <v>1388</v>
      </c>
      <c r="D830" s="107"/>
      <c r="E830" s="107"/>
      <c r="F830" s="107"/>
      <c r="G830" s="108"/>
      <c r="H830" s="105" t="n">
        <f aca="false">'[2]$ лето'!j830-'[2]$ лето'!au830-'[2]$ лето'!at830-'[2]$ лето'!as830-'[2]$ лето'!ar830-'[2]$ лето'!aq830-'[2]$ лето'!ap830-'[2]$ лето'!an830-'[2]$ лето'!am830-'[2]$ лето'!al830-'[2]$ лето'!ak830-'[2]$ лето'!aj830-'[2]$ лето'!ah830-'[2]$ лето'!ag830-'[2]$ лето'!af830-'[2]$ лето'!ae830-'[2]$ лето'!ad830-'[2]$ лето'!ab830-'[2]$ лето'!aa830-'[2]$ лето'!z830-'[2]$ лето'!y830-'[2]$ лето'!x830-'[2]$ лето'!v830-'[2]$ лето'!u830-'[2]$ лето'!t830-'[2]$ лето'!s830-'[2]$ лето'!r830-'[2]$ лето'!p830-'[2]$ лето'!o830-'[2]$ лето'!n830-'[2]$ лето'!m830-'[2]$ лето'!l830+'[2]$ лето'!k830+'[2]$ лето'!q830+'[2]$ лето'!w830+'[2]$ лето'!ac830+'[2]$ лето'!ai830+'[2]$ лето'!ao830</f>
        <v>0</v>
      </c>
      <c r="I830" s="109" t="n">
        <f aca="false">'[2]$ лето'!ay830*1.1</f>
        <v>2833.6</v>
      </c>
    </row>
    <row r="831" customFormat="false" ht="15" hidden="true" customHeight="false" outlineLevel="0" collapsed="false">
      <c r="A831" s="115" t="s">
        <v>265</v>
      </c>
      <c r="B831" s="115" t="s">
        <v>844</v>
      </c>
      <c r="C831" s="107" t="s">
        <v>1412</v>
      </c>
      <c r="D831" s="107"/>
      <c r="E831" s="107"/>
      <c r="F831" s="107"/>
      <c r="G831" s="108"/>
      <c r="H831" s="105" t="n">
        <f aca="false">'[2]$ лето'!j831-'[2]$ лето'!au831-'[2]$ лето'!at831-'[2]$ лето'!as831-'[2]$ лето'!ar831-'[2]$ лето'!aq831-'[2]$ лето'!ap831-'[2]$ лето'!an831-'[2]$ лето'!am831-'[2]$ лето'!al831-'[2]$ лето'!ak831-'[2]$ лето'!aj831-'[2]$ лето'!ah831-'[2]$ лето'!ag831-'[2]$ лето'!af831-'[2]$ лето'!ae831-'[2]$ лето'!ad831-'[2]$ лето'!ab831-'[2]$ лето'!aa831-'[2]$ лето'!z831-'[2]$ лето'!y831-'[2]$ лето'!x831-'[2]$ лето'!v831-'[2]$ лето'!u831-'[2]$ лето'!t831-'[2]$ лето'!s831-'[2]$ лето'!r831-'[2]$ лето'!p831-'[2]$ лето'!o831-'[2]$ лето'!n831-'[2]$ лето'!m831-'[2]$ лето'!l831+'[2]$ лето'!k831+'[2]$ лето'!q831+'[2]$ лето'!w831+'[2]$ лето'!ac831+'[2]$ лето'!ai831+'[2]$ лето'!ao831</f>
        <v>0</v>
      </c>
      <c r="I831" s="109" t="n">
        <f aca="false">'[2]$ лето'!ay831*1.1</f>
        <v>3696</v>
      </c>
    </row>
    <row r="832" customFormat="false" ht="15" hidden="false" customHeight="false" outlineLevel="0" collapsed="false">
      <c r="A832" s="115" t="s">
        <v>265</v>
      </c>
      <c r="B832" s="115" t="s">
        <v>741</v>
      </c>
      <c r="C832" s="107" t="s">
        <v>1413</v>
      </c>
      <c r="D832" s="107"/>
      <c r="E832" s="116"/>
      <c r="F832" s="116"/>
      <c r="G832" s="108" t="s">
        <v>911</v>
      </c>
      <c r="H832" s="105" t="n">
        <f aca="false">'[2]$ лето'!j832-'[2]$ лето'!au832-'[2]$ лето'!at832-'[2]$ лето'!as832-'[2]$ лето'!ar832-'[2]$ лето'!aq832-'[2]$ лето'!ap832-'[2]$ лето'!an832-'[2]$ лето'!am832-'[2]$ лето'!al832-'[2]$ лето'!ak832-'[2]$ лето'!aj832-'[2]$ лето'!ah832-'[2]$ лето'!ag832-'[2]$ лето'!af832-'[2]$ лето'!ae832-'[2]$ лето'!ad832-'[2]$ лето'!ab832-'[2]$ лето'!aa832-'[2]$ лето'!z832-'[2]$ лето'!y832-'[2]$ лето'!x832-'[2]$ лето'!v832-'[2]$ лето'!u832-'[2]$ лето'!t832-'[2]$ лето'!s832-'[2]$ лето'!r832-'[2]$ лето'!p832-'[2]$ лето'!o832-'[2]$ лето'!n832-'[2]$ лето'!m832-'[2]$ лето'!l832+'[2]$ лето'!k832+'[2]$ лето'!q832+'[2]$ лето'!w832+'[2]$ лето'!ac832+'[2]$ лето'!ai832+'[2]$ лето'!ao832</f>
        <v>4</v>
      </c>
      <c r="I832" s="109" t="n">
        <f aca="false">'[2]$ лето'!ay832*1.1</f>
        <v>2464</v>
      </c>
      <c r="J832" s="85" t="n">
        <v>2018</v>
      </c>
    </row>
    <row r="833" customFormat="false" ht="15" hidden="true" customHeight="false" outlineLevel="0" collapsed="false">
      <c r="A833" s="115" t="s">
        <v>265</v>
      </c>
      <c r="B833" s="115" t="s">
        <v>606</v>
      </c>
      <c r="C833" s="107" t="s">
        <v>1401</v>
      </c>
      <c r="D833" s="107"/>
      <c r="E833" s="107"/>
      <c r="F833" s="107"/>
      <c r="G833" s="108"/>
      <c r="H833" s="105" t="n">
        <f aca="false">'[2]$ лето'!j833-'[2]$ лето'!au833-'[2]$ лето'!at833-'[2]$ лето'!as833-'[2]$ лето'!ar833-'[2]$ лето'!aq833-'[2]$ лето'!ap833-'[2]$ лето'!an833-'[2]$ лето'!am833-'[2]$ лето'!al833-'[2]$ лето'!ak833-'[2]$ лето'!aj833-'[2]$ лето'!ah833-'[2]$ лето'!ag833-'[2]$ лето'!af833-'[2]$ лето'!ae833-'[2]$ лето'!ad833-'[2]$ лето'!ab833-'[2]$ лето'!aa833-'[2]$ лето'!z833-'[2]$ лето'!y833-'[2]$ лето'!x833-'[2]$ лето'!v833-'[2]$ лето'!u833-'[2]$ лето'!t833-'[2]$ лето'!s833-'[2]$ лето'!r833-'[2]$ лето'!p833-'[2]$ лето'!o833-'[2]$ лето'!n833-'[2]$ лето'!m833-'[2]$ лето'!l833+'[2]$ лето'!k833+'[2]$ лето'!q833+'[2]$ лето'!w833+'[2]$ лето'!ac833+'[2]$ лето'!ai833+'[2]$ лето'!ao833</f>
        <v>0</v>
      </c>
      <c r="I833" s="109" t="n">
        <f aca="false">'[2]$ лето'!ay833*1.1</f>
        <v>2310</v>
      </c>
    </row>
    <row r="834" customFormat="false" ht="15" hidden="true" customHeight="false" outlineLevel="0" collapsed="false">
      <c r="A834" s="115" t="s">
        <v>265</v>
      </c>
      <c r="B834" s="115" t="s">
        <v>1130</v>
      </c>
      <c r="C834" s="107" t="s">
        <v>1414</v>
      </c>
      <c r="D834" s="107"/>
      <c r="E834" s="107"/>
      <c r="F834" s="107"/>
      <c r="G834" s="108"/>
      <c r="H834" s="105" t="n">
        <f aca="false">'[2]$ лето'!j834-'[2]$ лето'!au834-'[2]$ лето'!at834-'[2]$ лето'!as834-'[2]$ лето'!ar834-'[2]$ лето'!aq834-'[2]$ лето'!ap834-'[2]$ лето'!an834-'[2]$ лето'!am834-'[2]$ лето'!al834-'[2]$ лето'!ak834-'[2]$ лето'!aj834-'[2]$ лето'!ah834-'[2]$ лето'!ag834-'[2]$ лето'!af834-'[2]$ лето'!ae834-'[2]$ лето'!ad834-'[2]$ лето'!ab834-'[2]$ лето'!aa834-'[2]$ лето'!z834-'[2]$ лето'!y834-'[2]$ лето'!x834-'[2]$ лето'!v834-'[2]$ лето'!u834-'[2]$ лето'!t834-'[2]$ лето'!s834-'[2]$ лето'!r834-'[2]$ лето'!p834-'[2]$ лето'!o834-'[2]$ лето'!n834-'[2]$ лето'!m834-'[2]$ лето'!l834+'[2]$ лето'!k834+'[2]$ лето'!q834+'[2]$ лето'!w834+'[2]$ лето'!ac834+'[2]$ лето'!ai834+'[2]$ лето'!ao834</f>
        <v>0</v>
      </c>
      <c r="I834" s="109" t="n">
        <f aca="false">'[2]$ лето'!ay834*1.1</f>
        <v>1601.6</v>
      </c>
    </row>
    <row r="835" customFormat="false" ht="15" hidden="true" customHeight="false" outlineLevel="0" collapsed="false">
      <c r="A835" s="115" t="s">
        <v>265</v>
      </c>
      <c r="B835" s="115" t="s">
        <v>574</v>
      </c>
      <c r="C835" s="107" t="s">
        <v>1402</v>
      </c>
      <c r="D835" s="107"/>
      <c r="E835" s="107"/>
      <c r="F835" s="107"/>
      <c r="G835" s="108" t="s">
        <v>576</v>
      </c>
      <c r="H835" s="105" t="n">
        <f aca="false">'[2]$ лето'!j835-'[2]$ лето'!au835-'[2]$ лето'!at835-'[2]$ лето'!as835-'[2]$ лето'!ar835-'[2]$ лето'!aq835-'[2]$ лето'!ap835-'[2]$ лето'!an835-'[2]$ лето'!am835-'[2]$ лето'!al835-'[2]$ лето'!ak835-'[2]$ лето'!aj835-'[2]$ лето'!ah835-'[2]$ лето'!ag835-'[2]$ лето'!af835-'[2]$ лето'!ae835-'[2]$ лето'!ad835-'[2]$ лето'!ab835-'[2]$ лето'!aa835-'[2]$ лето'!z835-'[2]$ лето'!y835-'[2]$ лето'!x835-'[2]$ лето'!v835-'[2]$ лето'!u835-'[2]$ лето'!t835-'[2]$ лето'!s835-'[2]$ лето'!r835-'[2]$ лето'!p835-'[2]$ лето'!o835-'[2]$ лето'!n835-'[2]$ лето'!m835-'[2]$ лето'!l835+'[2]$ лето'!k835+'[2]$ лето'!q835+'[2]$ лето'!w835+'[2]$ лето'!ac835+'[2]$ лето'!ai835+'[2]$ лето'!ao835</f>
        <v>0</v>
      </c>
      <c r="I835" s="109" t="n">
        <f aca="false">'[2]$ лето'!ay835*1.1</f>
        <v>2279.2</v>
      </c>
    </row>
    <row r="836" customFormat="false" ht="15" hidden="false" customHeight="false" outlineLevel="0" collapsed="false">
      <c r="A836" s="115" t="s">
        <v>265</v>
      </c>
      <c r="B836" s="115" t="s">
        <v>577</v>
      </c>
      <c r="C836" s="107" t="s">
        <v>1415</v>
      </c>
      <c r="D836" s="107"/>
      <c r="E836" s="116"/>
      <c r="F836" s="116"/>
      <c r="G836" s="108" t="s">
        <v>563</v>
      </c>
      <c r="H836" s="105" t="n">
        <f aca="false">'[2]$ лето'!j836-'[2]$ лето'!au836-'[2]$ лето'!at836-'[2]$ лето'!as836-'[2]$ лето'!ar836-'[2]$ лето'!aq836-'[2]$ лето'!ap836-'[2]$ лето'!an836-'[2]$ лето'!am836-'[2]$ лето'!al836-'[2]$ лето'!ak836-'[2]$ лето'!aj836-'[2]$ лето'!ah836-'[2]$ лето'!ag836-'[2]$ лето'!af836-'[2]$ лето'!ae836-'[2]$ лето'!ad836-'[2]$ лето'!ab836-'[2]$ лето'!aa836-'[2]$ лето'!z836-'[2]$ лето'!y836-'[2]$ лето'!x836-'[2]$ лето'!v836-'[2]$ лето'!u836-'[2]$ лето'!t836-'[2]$ лето'!s836-'[2]$ лето'!r836-'[2]$ лето'!p836-'[2]$ лето'!o836-'[2]$ лето'!n836-'[2]$ лето'!m836-'[2]$ лето'!l836+'[2]$ лето'!k836+'[2]$ лето'!q836+'[2]$ лето'!w836+'[2]$ лето'!ac836+'[2]$ лето'!ai836+'[2]$ лето'!ao836</f>
        <v>4</v>
      </c>
      <c r="I836" s="109" t="n">
        <f aca="false">'[2]$ лето'!ay836*1.1</f>
        <v>1971.2</v>
      </c>
    </row>
    <row r="837" customFormat="false" ht="15" hidden="true" customHeight="false" outlineLevel="0" collapsed="false">
      <c r="A837" s="115" t="s">
        <v>265</v>
      </c>
      <c r="B837" s="115" t="s">
        <v>583</v>
      </c>
      <c r="C837" s="107" t="s">
        <v>1416</v>
      </c>
      <c r="D837" s="107"/>
      <c r="E837" s="107"/>
      <c r="F837" s="107"/>
      <c r="G837" s="108"/>
      <c r="H837" s="105" t="n">
        <f aca="false">'[2]$ лето'!j837-'[2]$ лето'!au837-'[2]$ лето'!at837-'[2]$ лето'!as837-'[2]$ лето'!ar837-'[2]$ лето'!aq837-'[2]$ лето'!ap837-'[2]$ лето'!an837-'[2]$ лето'!am837-'[2]$ лето'!al837-'[2]$ лето'!ak837-'[2]$ лето'!aj837-'[2]$ лето'!ah837-'[2]$ лето'!ag837-'[2]$ лето'!af837-'[2]$ лето'!ae837-'[2]$ лето'!ad837-'[2]$ лето'!ab837-'[2]$ лето'!aa837-'[2]$ лето'!z837-'[2]$ лето'!y837-'[2]$ лето'!x837-'[2]$ лето'!v837-'[2]$ лето'!u837-'[2]$ лето'!t837-'[2]$ лето'!s837-'[2]$ лето'!r837-'[2]$ лето'!p837-'[2]$ лето'!o837-'[2]$ лето'!n837-'[2]$ лето'!m837-'[2]$ лето'!l837+'[2]$ лето'!k837+'[2]$ лето'!q837+'[2]$ лето'!w837+'[2]$ лето'!ac837+'[2]$ лето'!ai837+'[2]$ лето'!ao837</f>
        <v>0</v>
      </c>
      <c r="I837" s="109" t="n">
        <f aca="false">'[2]$ лето'!ay837*1.1</f>
        <v>1940.4</v>
      </c>
    </row>
    <row r="838" customFormat="false" ht="15" hidden="true" customHeight="false" outlineLevel="0" collapsed="false">
      <c r="A838" s="115" t="s">
        <v>265</v>
      </c>
      <c r="B838" s="115" t="s">
        <v>593</v>
      </c>
      <c r="C838" s="116" t="s">
        <v>1404</v>
      </c>
      <c r="D838" s="116"/>
      <c r="E838" s="116"/>
      <c r="F838" s="116"/>
      <c r="G838" s="108"/>
      <c r="H838" s="105" t="n">
        <f aca="false">'[2]$ лето'!j838-'[2]$ лето'!au838-'[2]$ лето'!at838-'[2]$ лето'!as838-'[2]$ лето'!ar838-'[2]$ лето'!aq838-'[2]$ лето'!ap838-'[2]$ лето'!an838-'[2]$ лето'!am838-'[2]$ лето'!al838-'[2]$ лето'!ak838-'[2]$ лето'!aj838-'[2]$ лето'!ah838-'[2]$ лето'!ag838-'[2]$ лето'!af838-'[2]$ лето'!ae838-'[2]$ лето'!ad838-'[2]$ лето'!ab838-'[2]$ лето'!aa838-'[2]$ лето'!z838-'[2]$ лето'!y838-'[2]$ лето'!x838-'[2]$ лето'!v838-'[2]$ лето'!u838-'[2]$ лето'!t838-'[2]$ лето'!s838-'[2]$ лето'!r838-'[2]$ лето'!p838-'[2]$ лето'!o838-'[2]$ лето'!n838-'[2]$ лето'!m838-'[2]$ лето'!l838+'[2]$ лето'!k838+'[2]$ лето'!q838+'[2]$ лето'!w838+'[2]$ лето'!ac838+'[2]$ лето'!ai838+'[2]$ лето'!ao838</f>
        <v>0</v>
      </c>
      <c r="I838" s="109" t="n">
        <f aca="false">'[2]$ лето'!ay838*1.1</f>
        <v>3080</v>
      </c>
    </row>
    <row r="839" customFormat="false" ht="15" hidden="true" customHeight="false" outlineLevel="0" collapsed="false">
      <c r="A839" s="115" t="s">
        <v>265</v>
      </c>
      <c r="B839" s="115" t="s">
        <v>593</v>
      </c>
      <c r="C839" s="116" t="s">
        <v>1417</v>
      </c>
      <c r="D839" s="116"/>
      <c r="E839" s="116"/>
      <c r="F839" s="116"/>
      <c r="G839" s="108"/>
      <c r="H839" s="105" t="n">
        <f aca="false">'[2]$ лето'!j839-'[2]$ лето'!au839-'[2]$ лето'!at839-'[2]$ лето'!as839-'[2]$ лето'!ar839-'[2]$ лето'!aq839-'[2]$ лето'!ap839-'[2]$ лето'!an839-'[2]$ лето'!am839-'[2]$ лето'!al839-'[2]$ лето'!ak839-'[2]$ лето'!aj839-'[2]$ лето'!ah839-'[2]$ лето'!ag839-'[2]$ лето'!af839-'[2]$ лето'!ae839-'[2]$ лето'!ad839-'[2]$ лето'!ab839-'[2]$ лето'!aa839-'[2]$ лето'!z839-'[2]$ лето'!y839-'[2]$ лето'!x839-'[2]$ лето'!v839-'[2]$ лето'!u839-'[2]$ лето'!t839-'[2]$ лето'!s839-'[2]$ лето'!r839-'[2]$ лето'!p839-'[2]$ лето'!o839-'[2]$ лето'!n839-'[2]$ лето'!m839-'[2]$ лето'!l839+'[2]$ лето'!k839+'[2]$ лето'!q839+'[2]$ лето'!w839+'[2]$ лето'!ac839+'[2]$ лето'!ai839+'[2]$ лето'!ao839</f>
        <v>0</v>
      </c>
      <c r="I839" s="109" t="n">
        <f aca="false">'[2]$ лето'!ay839*1.1</f>
        <v>0</v>
      </c>
    </row>
    <row r="840" customFormat="false" ht="15" hidden="false" customHeight="false" outlineLevel="0" collapsed="false">
      <c r="A840" s="115" t="s">
        <v>265</v>
      </c>
      <c r="B840" s="115" t="s">
        <v>586</v>
      </c>
      <c r="C840" s="116" t="s">
        <v>1418</v>
      </c>
      <c r="D840" s="116"/>
      <c r="E840" s="116"/>
      <c r="F840" s="116"/>
      <c r="G840" s="108" t="s">
        <v>520</v>
      </c>
      <c r="H840" s="105" t="n">
        <f aca="false">'[2]$ лето'!j840-'[2]$ лето'!au840-'[2]$ лето'!at840-'[2]$ лето'!as840-'[2]$ лето'!ar840-'[2]$ лето'!aq840-'[2]$ лето'!ap840-'[2]$ лето'!an840-'[2]$ лето'!am840-'[2]$ лето'!al840-'[2]$ лето'!ak840-'[2]$ лето'!aj840-'[2]$ лето'!ah840-'[2]$ лето'!ag840-'[2]$ лето'!af840-'[2]$ лето'!ae840-'[2]$ лето'!ad840-'[2]$ лето'!ab840-'[2]$ лето'!aa840-'[2]$ лето'!z840-'[2]$ лето'!y840-'[2]$ лето'!x840-'[2]$ лето'!v840-'[2]$ лето'!u840-'[2]$ лето'!t840-'[2]$ лето'!s840-'[2]$ лето'!r840-'[2]$ лето'!p840-'[2]$ лето'!o840-'[2]$ лето'!n840-'[2]$ лето'!m840-'[2]$ лето'!l840+'[2]$ лето'!k840+'[2]$ лето'!q840+'[2]$ лето'!w840+'[2]$ лето'!ac840+'[2]$ лето'!ai840+'[2]$ лето'!ao840</f>
        <v>2</v>
      </c>
      <c r="I840" s="109" t="n">
        <f aca="false">'[2]$ лето'!ay840*1.1</f>
        <v>1694</v>
      </c>
    </row>
    <row r="841" customFormat="false" ht="15" hidden="true" customHeight="false" outlineLevel="0" collapsed="false">
      <c r="A841" s="115" t="s">
        <v>265</v>
      </c>
      <c r="B841" s="115" t="s">
        <v>615</v>
      </c>
      <c r="C841" s="116" t="s">
        <v>1419</v>
      </c>
      <c r="D841" s="116"/>
      <c r="E841" s="116"/>
      <c r="F841" s="116"/>
      <c r="G841" s="108"/>
      <c r="H841" s="105" t="n">
        <f aca="false">'[2]$ лето'!j841-'[2]$ лето'!au841-'[2]$ лето'!at841-'[2]$ лето'!as841-'[2]$ лето'!ar841-'[2]$ лето'!aq841-'[2]$ лето'!ap841-'[2]$ лето'!an841-'[2]$ лето'!am841-'[2]$ лето'!al841-'[2]$ лето'!ak841-'[2]$ лето'!aj841-'[2]$ лето'!ah841-'[2]$ лето'!ag841-'[2]$ лето'!af841-'[2]$ лето'!ae841-'[2]$ лето'!ad841-'[2]$ лето'!ab841-'[2]$ лето'!aa841-'[2]$ лето'!z841-'[2]$ лето'!y841-'[2]$ лето'!x841-'[2]$ лето'!v841-'[2]$ лето'!u841-'[2]$ лето'!t841-'[2]$ лето'!s841-'[2]$ лето'!r841-'[2]$ лето'!p841-'[2]$ лето'!o841-'[2]$ лето'!n841-'[2]$ лето'!m841-'[2]$ лето'!l841+'[2]$ лето'!k841+'[2]$ лето'!q841+'[2]$ лето'!w841+'[2]$ лето'!ac841+'[2]$ лето'!ai841+'[2]$ лето'!ao841</f>
        <v>0</v>
      </c>
      <c r="I841" s="109" t="n">
        <f aca="false">'[2]$ лето'!ay841*1.1</f>
        <v>2063.6</v>
      </c>
      <c r="J841" s="85" t="s">
        <v>1420</v>
      </c>
    </row>
    <row r="842" customFormat="false" ht="15" hidden="true" customHeight="false" outlineLevel="0" collapsed="false">
      <c r="A842" s="115" t="s">
        <v>265</v>
      </c>
      <c r="B842" s="115" t="s">
        <v>677</v>
      </c>
      <c r="C842" s="116" t="s">
        <v>1421</v>
      </c>
      <c r="D842" s="116"/>
      <c r="E842" s="116"/>
      <c r="F842" s="116"/>
      <c r="G842" s="108"/>
      <c r="H842" s="105" t="n">
        <f aca="false">'[2]$ лето'!j842-'[2]$ лето'!au842-'[2]$ лето'!at842-'[2]$ лето'!as842-'[2]$ лето'!ar842-'[2]$ лето'!aq842-'[2]$ лето'!ap842-'[2]$ лето'!an842-'[2]$ лето'!am842-'[2]$ лето'!al842-'[2]$ лето'!ak842-'[2]$ лето'!aj842-'[2]$ лето'!ah842-'[2]$ лето'!ag842-'[2]$ лето'!af842-'[2]$ лето'!ae842-'[2]$ лето'!ad842-'[2]$ лето'!ab842-'[2]$ лето'!aa842-'[2]$ лето'!z842-'[2]$ лето'!y842-'[2]$ лето'!x842-'[2]$ лето'!v842-'[2]$ лето'!u842-'[2]$ лето'!t842-'[2]$ лето'!s842-'[2]$ лето'!r842-'[2]$ лето'!p842-'[2]$ лето'!o842-'[2]$ лето'!n842-'[2]$ лето'!m842-'[2]$ лето'!l842+'[2]$ лето'!k842+'[2]$ лето'!q842+'[2]$ лето'!w842+'[2]$ лето'!ac842+'[2]$ лето'!ai842+'[2]$ лето'!ao842</f>
        <v>0</v>
      </c>
      <c r="I842" s="109" t="n">
        <f aca="false">'[2]$ лето'!ay842*1.1</f>
        <v>2002</v>
      </c>
    </row>
    <row r="843" customFormat="false" ht="15" hidden="true" customHeight="false" outlineLevel="0" collapsed="false">
      <c r="A843" s="115" t="s">
        <v>1422</v>
      </c>
      <c r="B843" s="115" t="s">
        <v>615</v>
      </c>
      <c r="C843" s="116" t="s">
        <v>1423</v>
      </c>
      <c r="D843" s="116"/>
      <c r="E843" s="116"/>
      <c r="F843" s="116"/>
      <c r="G843" s="108"/>
      <c r="H843" s="105" t="n">
        <f aca="false">'[2]$ лето'!j843-'[2]$ лето'!au843-'[2]$ лето'!at843-'[2]$ лето'!as843-'[2]$ лето'!ar843-'[2]$ лето'!aq843-'[2]$ лето'!ap843-'[2]$ лето'!an843-'[2]$ лето'!am843-'[2]$ лето'!al843-'[2]$ лето'!ak843-'[2]$ лето'!aj843-'[2]$ лето'!ah843-'[2]$ лето'!ag843-'[2]$ лето'!af843-'[2]$ лето'!ae843-'[2]$ лето'!ad843-'[2]$ лето'!ab843-'[2]$ лето'!aa843-'[2]$ лето'!z843-'[2]$ лето'!y843-'[2]$ лето'!x843-'[2]$ лето'!v843-'[2]$ лето'!u843-'[2]$ лето'!t843-'[2]$ лето'!s843-'[2]$ лето'!r843-'[2]$ лето'!p843-'[2]$ лето'!o843-'[2]$ лето'!n843-'[2]$ лето'!m843-'[2]$ лето'!l843+'[2]$ лето'!k843+'[2]$ лето'!q843+'[2]$ лето'!w843+'[2]$ лето'!ac843+'[2]$ лето'!ai843+'[2]$ лето'!ao843</f>
        <v>0</v>
      </c>
      <c r="I843" s="109" t="n">
        <f aca="false">'[2]$ лето'!ay843*1.1</f>
        <v>2156</v>
      </c>
    </row>
    <row r="844" customFormat="false" ht="15" hidden="true" customHeight="false" outlineLevel="0" collapsed="false">
      <c r="A844" s="115" t="s">
        <v>1424</v>
      </c>
      <c r="B844" s="115" t="s">
        <v>844</v>
      </c>
      <c r="C844" s="116" t="s">
        <v>1072</v>
      </c>
      <c r="D844" s="116"/>
      <c r="E844" s="116"/>
      <c r="F844" s="116"/>
      <c r="G844" s="108"/>
      <c r="H844" s="105" t="n">
        <f aca="false">'[2]$ лето'!j844-'[2]$ лето'!au844-'[2]$ лето'!at844-'[2]$ лето'!as844-'[2]$ лето'!ar844-'[2]$ лето'!aq844-'[2]$ лето'!ap844-'[2]$ лето'!an844-'[2]$ лето'!am844-'[2]$ лето'!al844-'[2]$ лето'!ak844-'[2]$ лето'!aj844-'[2]$ лето'!ah844-'[2]$ лето'!ag844-'[2]$ лето'!af844-'[2]$ лето'!ae844-'[2]$ лето'!ad844-'[2]$ лето'!ab844-'[2]$ лето'!aa844-'[2]$ лето'!z844-'[2]$ лето'!y844-'[2]$ лето'!x844-'[2]$ лето'!v844-'[2]$ лето'!u844-'[2]$ лето'!t844-'[2]$ лето'!s844-'[2]$ лето'!r844-'[2]$ лето'!p844-'[2]$ лето'!o844-'[2]$ лето'!n844-'[2]$ лето'!m844-'[2]$ лето'!l844+'[2]$ лето'!k844+'[2]$ лето'!q844+'[2]$ лето'!w844+'[2]$ лето'!ac844+'[2]$ лето'!ai844+'[2]$ лето'!ao844</f>
        <v>0</v>
      </c>
      <c r="I844" s="109" t="n">
        <f aca="false">'[2]$ лето'!ay844*1.1</f>
        <v>3850</v>
      </c>
    </row>
    <row r="845" customFormat="false" ht="15" hidden="true" customHeight="false" outlineLevel="0" collapsed="false">
      <c r="A845" s="123" t="s">
        <v>1425</v>
      </c>
      <c r="B845" s="115" t="s">
        <v>1338</v>
      </c>
      <c r="C845" s="116" t="s">
        <v>1426</v>
      </c>
      <c r="D845" s="116"/>
      <c r="E845" s="116"/>
      <c r="F845" s="116"/>
      <c r="G845" s="108"/>
      <c r="H845" s="105" t="n">
        <f aca="false">'[2]$ лето'!j845-'[2]$ лето'!au845-'[2]$ лето'!at845-'[2]$ лето'!as845-'[2]$ лето'!ar845-'[2]$ лето'!aq845-'[2]$ лето'!ap845-'[2]$ лето'!an845-'[2]$ лето'!am845-'[2]$ лето'!al845-'[2]$ лето'!ak845-'[2]$ лето'!aj845-'[2]$ лето'!ah845-'[2]$ лето'!ag845-'[2]$ лето'!af845-'[2]$ лето'!ae845-'[2]$ лето'!ad845-'[2]$ лето'!ab845-'[2]$ лето'!aa845-'[2]$ лето'!z845-'[2]$ лето'!y845-'[2]$ лето'!x845-'[2]$ лето'!v845-'[2]$ лето'!u845-'[2]$ лето'!t845-'[2]$ лето'!s845-'[2]$ лето'!r845-'[2]$ лето'!p845-'[2]$ лето'!o845-'[2]$ лето'!n845-'[2]$ лето'!m845-'[2]$ лето'!l845+'[2]$ лето'!k845+'[2]$ лето'!q845+'[2]$ лето'!w845+'[2]$ лето'!ac845+'[2]$ лето'!ai845+'[2]$ лето'!ao845</f>
        <v>0</v>
      </c>
      <c r="I845" s="109" t="n">
        <f aca="false">'[2]$ лето'!ay845*1.1</f>
        <v>2772</v>
      </c>
      <c r="J845" s="85" t="s">
        <v>1427</v>
      </c>
    </row>
    <row r="846" customFormat="false" ht="15" hidden="true" customHeight="false" outlineLevel="0" collapsed="false">
      <c r="A846" s="123" t="s">
        <v>1425</v>
      </c>
      <c r="B846" s="123" t="s">
        <v>568</v>
      </c>
      <c r="C846" s="107" t="s">
        <v>1428</v>
      </c>
      <c r="D846" s="107"/>
      <c r="E846" s="107"/>
      <c r="F846" s="107"/>
      <c r="G846" s="108"/>
      <c r="H846" s="105" t="n">
        <f aca="false">'[2]$ лето'!j846-'[2]$ лето'!au846-'[2]$ лето'!at846-'[2]$ лето'!as846-'[2]$ лето'!ar846-'[2]$ лето'!aq846-'[2]$ лето'!ap846-'[2]$ лето'!an846-'[2]$ лето'!am846-'[2]$ лето'!al846-'[2]$ лето'!ak846-'[2]$ лето'!aj846-'[2]$ лето'!ah846-'[2]$ лето'!ag846-'[2]$ лето'!af846-'[2]$ лето'!ae846-'[2]$ лето'!ad846-'[2]$ лето'!ab846-'[2]$ лето'!aa846-'[2]$ лето'!z846-'[2]$ лето'!y846-'[2]$ лето'!x846-'[2]$ лето'!v846-'[2]$ лето'!u846-'[2]$ лето'!t846-'[2]$ лето'!s846-'[2]$ лето'!r846-'[2]$ лето'!p846-'[2]$ лето'!o846-'[2]$ лето'!n846-'[2]$ лето'!m846-'[2]$ лето'!l846+'[2]$ лето'!k846+'[2]$ лето'!q846+'[2]$ лето'!w846+'[2]$ лето'!ac846+'[2]$ лето'!ai846+'[2]$ лето'!ao846</f>
        <v>0</v>
      </c>
      <c r="I846" s="109" t="n">
        <f aca="false">'[2]$ лето'!ay846*1.1</f>
        <v>2279.2</v>
      </c>
    </row>
    <row r="847" customFormat="false" ht="15" hidden="true" customHeight="false" outlineLevel="0" collapsed="false">
      <c r="A847" s="115" t="s">
        <v>1425</v>
      </c>
      <c r="B847" s="115" t="s">
        <v>601</v>
      </c>
      <c r="C847" s="116" t="s">
        <v>1429</v>
      </c>
      <c r="D847" s="116"/>
      <c r="E847" s="116"/>
      <c r="F847" s="116"/>
      <c r="G847" s="108"/>
      <c r="H847" s="105" t="n">
        <f aca="false">'[2]$ лето'!j847-'[2]$ лето'!au847-'[2]$ лето'!at847-'[2]$ лето'!as847-'[2]$ лето'!ar847-'[2]$ лето'!aq847-'[2]$ лето'!ap847-'[2]$ лето'!an847-'[2]$ лето'!am847-'[2]$ лето'!al847-'[2]$ лето'!ak847-'[2]$ лето'!aj847-'[2]$ лето'!ah847-'[2]$ лето'!ag847-'[2]$ лето'!af847-'[2]$ лето'!ae847-'[2]$ лето'!ad847-'[2]$ лето'!ab847-'[2]$ лето'!aa847-'[2]$ лето'!z847-'[2]$ лето'!y847-'[2]$ лето'!x847-'[2]$ лето'!v847-'[2]$ лето'!u847-'[2]$ лето'!t847-'[2]$ лето'!s847-'[2]$ лето'!r847-'[2]$ лето'!p847-'[2]$ лето'!o847-'[2]$ лето'!n847-'[2]$ лето'!m847-'[2]$ лето'!l847+'[2]$ лето'!k847+'[2]$ лето'!q847+'[2]$ лето'!w847+'[2]$ лето'!ac847+'[2]$ лето'!ai847+'[2]$ лето'!ao847</f>
        <v>0</v>
      </c>
      <c r="I847" s="109" t="n">
        <f aca="false">'[2]$ лето'!ay847*1.1</f>
        <v>2772</v>
      </c>
    </row>
    <row r="848" customFormat="false" ht="15" hidden="false" customHeight="false" outlineLevel="0" collapsed="false">
      <c r="A848" s="115" t="s">
        <v>1425</v>
      </c>
      <c r="B848" s="115" t="s">
        <v>601</v>
      </c>
      <c r="C848" s="116" t="s">
        <v>1430</v>
      </c>
      <c r="D848" s="116"/>
      <c r="E848" s="116"/>
      <c r="F848" s="116"/>
      <c r="G848" s="108"/>
      <c r="H848" s="105" t="n">
        <f aca="false">'[2]$ лето'!j848-'[2]$ лето'!au848-'[2]$ лето'!at848-'[2]$ лето'!as848-'[2]$ лето'!ar848-'[2]$ лето'!aq848-'[2]$ лето'!ap848-'[2]$ лето'!an848-'[2]$ лето'!am848-'[2]$ лето'!al848-'[2]$ лето'!ak848-'[2]$ лето'!aj848-'[2]$ лето'!ah848-'[2]$ лето'!ag848-'[2]$ лето'!af848-'[2]$ лето'!ae848-'[2]$ лето'!ad848-'[2]$ лето'!ab848-'[2]$ лето'!aa848-'[2]$ лето'!z848-'[2]$ лето'!y848-'[2]$ лето'!x848-'[2]$ лето'!v848-'[2]$ лето'!u848-'[2]$ лето'!t848-'[2]$ лето'!s848-'[2]$ лето'!r848-'[2]$ лето'!p848-'[2]$ лето'!o848-'[2]$ лето'!n848-'[2]$ лето'!m848-'[2]$ лето'!l848+'[2]$ лето'!k848+'[2]$ лето'!q848+'[2]$ лето'!w848+'[2]$ лето'!ac848+'[2]$ лето'!ai848+'[2]$ лето'!ao848</f>
        <v>3</v>
      </c>
      <c r="I848" s="109" t="n">
        <f aca="false">'[2]$ лето'!ay848*1.1</f>
        <v>3480.4</v>
      </c>
    </row>
    <row r="849" customFormat="false" ht="15" hidden="false" customHeight="false" outlineLevel="0" collapsed="false">
      <c r="A849" s="129" t="s">
        <v>1425</v>
      </c>
      <c r="B849" s="129" t="s">
        <v>601</v>
      </c>
      <c r="C849" s="131"/>
      <c r="D849" s="131"/>
      <c r="E849" s="131"/>
      <c r="F849" s="131"/>
      <c r="G849" s="132"/>
      <c r="H849" s="105" t="n">
        <f aca="false">'[2]$ лето'!j849-'[2]$ лето'!au849-'[2]$ лето'!at849-'[2]$ лето'!as849-'[2]$ лето'!ar849-'[2]$ лето'!aq849-'[2]$ лето'!ap849-'[2]$ лето'!an849-'[2]$ лето'!am849-'[2]$ лето'!al849-'[2]$ лето'!ak849-'[2]$ лето'!aj849-'[2]$ лето'!ah849-'[2]$ лето'!ag849-'[2]$ лето'!af849-'[2]$ лето'!ae849-'[2]$ лето'!ad849-'[2]$ лето'!ab849-'[2]$ лето'!aa849-'[2]$ лето'!z849-'[2]$ лето'!y849-'[2]$ лето'!x849-'[2]$ лето'!v849-'[2]$ лето'!u849-'[2]$ лето'!t849-'[2]$ лето'!s849-'[2]$ лето'!r849-'[2]$ лето'!p849-'[2]$ лето'!o849-'[2]$ лето'!n849-'[2]$ лето'!m849-'[2]$ лето'!l849+'[2]$ лето'!k849+'[2]$ лето'!q849+'[2]$ лето'!w849+'[2]$ лето'!ac849+'[2]$ лето'!ai849+'[2]$ лето'!ao849</f>
        <v>1</v>
      </c>
      <c r="I849" s="133" t="n">
        <f aca="false">'[2]$ лето'!ay849*1.1</f>
        <v>440</v>
      </c>
    </row>
    <row r="850" customFormat="false" ht="15" hidden="false" customHeight="false" outlineLevel="0" collapsed="false">
      <c r="A850" s="115" t="s">
        <v>1425</v>
      </c>
      <c r="B850" s="115" t="s">
        <v>844</v>
      </c>
      <c r="C850" s="107" t="s">
        <v>1431</v>
      </c>
      <c r="D850" s="107"/>
      <c r="E850" s="116"/>
      <c r="F850" s="116"/>
      <c r="G850" s="108" t="s">
        <v>1432</v>
      </c>
      <c r="H850" s="105" t="n">
        <f aca="false">'[2]$ лето'!j850-'[2]$ лето'!au850-'[2]$ лето'!at850-'[2]$ лето'!as850-'[2]$ лето'!ar850-'[2]$ лето'!aq850-'[2]$ лето'!ap850-'[2]$ лето'!an850-'[2]$ лето'!am850-'[2]$ лето'!al850-'[2]$ лето'!ak850-'[2]$ лето'!aj850-'[2]$ лето'!ah850-'[2]$ лето'!ag850-'[2]$ лето'!af850-'[2]$ лето'!ae850-'[2]$ лето'!ad850-'[2]$ лето'!ab850-'[2]$ лето'!aa850-'[2]$ лето'!z850-'[2]$ лето'!y850-'[2]$ лето'!x850-'[2]$ лето'!v850-'[2]$ лето'!u850-'[2]$ лето'!t850-'[2]$ лето'!s850-'[2]$ лето'!r850-'[2]$ лето'!p850-'[2]$ лето'!o850-'[2]$ лето'!n850-'[2]$ лето'!m850-'[2]$ лето'!l850+'[2]$ лето'!k850+'[2]$ лето'!q850+'[2]$ лето'!w850+'[2]$ лето'!ac850+'[2]$ лето'!ai850+'[2]$ лето'!ao850</f>
        <v>4</v>
      </c>
      <c r="I850" s="109" t="n">
        <f aca="false">'[2]$ лето'!ay850*1.1</f>
        <v>4373.6</v>
      </c>
    </row>
    <row r="851" customFormat="false" ht="15" hidden="true" customHeight="false" outlineLevel="0" collapsed="false">
      <c r="A851" s="115" t="s">
        <v>1425</v>
      </c>
      <c r="B851" s="115" t="s">
        <v>844</v>
      </c>
      <c r="C851" s="107" t="s">
        <v>1433</v>
      </c>
      <c r="D851" s="107"/>
      <c r="E851" s="107"/>
      <c r="F851" s="107"/>
      <c r="G851" s="108"/>
      <c r="H851" s="105" t="n">
        <f aca="false">'[2]$ лето'!j851-'[2]$ лето'!au851-'[2]$ лето'!at851-'[2]$ лето'!as851-'[2]$ лето'!ar851-'[2]$ лето'!aq851-'[2]$ лето'!ap851-'[2]$ лето'!an851-'[2]$ лето'!am851-'[2]$ лето'!al851-'[2]$ лето'!ak851-'[2]$ лето'!aj851-'[2]$ лето'!ah851-'[2]$ лето'!ag851-'[2]$ лето'!af851-'[2]$ лето'!ae851-'[2]$ лето'!ad851-'[2]$ лето'!ab851-'[2]$ лето'!aa851-'[2]$ лето'!z851-'[2]$ лето'!y851-'[2]$ лето'!x851-'[2]$ лето'!v851-'[2]$ лето'!u851-'[2]$ лето'!t851-'[2]$ лето'!s851-'[2]$ лето'!r851-'[2]$ лето'!p851-'[2]$ лето'!o851-'[2]$ лето'!n851-'[2]$ лето'!m851-'[2]$ лето'!l851+'[2]$ лето'!k851+'[2]$ лето'!q851+'[2]$ лето'!w851+'[2]$ лето'!ac851+'[2]$ лето'!ai851+'[2]$ лето'!ao851</f>
        <v>0</v>
      </c>
      <c r="I851" s="109" t="n">
        <f aca="false">'[2]$ лето'!ay851*1.1</f>
        <v>2464</v>
      </c>
      <c r="J851" s="85" t="s">
        <v>1420</v>
      </c>
    </row>
    <row r="852" customFormat="false" ht="15" hidden="false" customHeight="false" outlineLevel="0" collapsed="false">
      <c r="A852" s="115" t="s">
        <v>1425</v>
      </c>
      <c r="B852" s="115" t="s">
        <v>658</v>
      </c>
      <c r="C852" s="107" t="s">
        <v>1434</v>
      </c>
      <c r="D852" s="107"/>
      <c r="E852" s="116"/>
      <c r="F852" s="116"/>
      <c r="G852" s="108" t="s">
        <v>585</v>
      </c>
      <c r="H852" s="105" t="n">
        <f aca="false">'[2]$ лето'!j852-'[2]$ лето'!au852-'[2]$ лето'!at852-'[2]$ лето'!as852-'[2]$ лето'!ar852-'[2]$ лето'!aq852-'[2]$ лето'!ap852-'[2]$ лето'!an852-'[2]$ лето'!am852-'[2]$ лето'!al852-'[2]$ лето'!ak852-'[2]$ лето'!aj852-'[2]$ лето'!ah852-'[2]$ лето'!ag852-'[2]$ лето'!af852-'[2]$ лето'!ae852-'[2]$ лето'!ad852-'[2]$ лето'!ab852-'[2]$ лето'!aa852-'[2]$ лето'!z852-'[2]$ лето'!y852-'[2]$ лето'!x852-'[2]$ лето'!v852-'[2]$ лето'!u852-'[2]$ лето'!t852-'[2]$ лето'!s852-'[2]$ лето'!r852-'[2]$ лето'!p852-'[2]$ лето'!o852-'[2]$ лето'!n852-'[2]$ лето'!m852-'[2]$ лето'!l852+'[2]$ лето'!k852+'[2]$ лето'!q852+'[2]$ лето'!w852+'[2]$ лето'!ac852+'[2]$ лето'!ai852+'[2]$ лето'!ao852</f>
        <v>4</v>
      </c>
      <c r="I852" s="109" t="n">
        <f aca="false">'[2]$ лето'!ay852*1.1</f>
        <v>3141.6</v>
      </c>
      <c r="J852" s="85" t="n">
        <v>2018</v>
      </c>
    </row>
    <row r="853" customFormat="false" ht="15" hidden="false" customHeight="false" outlineLevel="0" collapsed="false">
      <c r="A853" s="115" t="s">
        <v>1425</v>
      </c>
      <c r="B853" s="115" t="s">
        <v>948</v>
      </c>
      <c r="C853" s="116" t="s">
        <v>1435</v>
      </c>
      <c r="D853" s="116"/>
      <c r="E853" s="116"/>
      <c r="F853" s="116"/>
      <c r="G853" s="108"/>
      <c r="H853" s="105" t="n">
        <f aca="false">'[2]$ лето'!j853-'[2]$ лето'!au853-'[2]$ лето'!at853-'[2]$ лето'!as853-'[2]$ лето'!ar853-'[2]$ лето'!aq853-'[2]$ лето'!ap853-'[2]$ лето'!an853-'[2]$ лето'!am853-'[2]$ лето'!al853-'[2]$ лето'!ak853-'[2]$ лето'!aj853-'[2]$ лето'!ah853-'[2]$ лето'!ag853-'[2]$ лето'!af853-'[2]$ лето'!ae853-'[2]$ лето'!ad853-'[2]$ лето'!ab853-'[2]$ лето'!aa853-'[2]$ лето'!z853-'[2]$ лето'!y853-'[2]$ лето'!x853-'[2]$ лето'!v853-'[2]$ лето'!u853-'[2]$ лето'!t853-'[2]$ лето'!s853-'[2]$ лето'!r853-'[2]$ лето'!p853-'[2]$ лето'!o853-'[2]$ лето'!n853-'[2]$ лето'!m853-'[2]$ лето'!l853+'[2]$ лето'!k853+'[2]$ лето'!q853+'[2]$ лето'!w853+'[2]$ лето'!ac853+'[2]$ лето'!ai853+'[2]$ лето'!ao853</f>
        <v>4</v>
      </c>
      <c r="I853" s="109" t="n">
        <f aca="false">'[2]$ лето'!ay853*1.1</f>
        <v>3172.4</v>
      </c>
      <c r="J853" s="85" t="n">
        <v>2017</v>
      </c>
    </row>
    <row r="854" customFormat="false" ht="15" hidden="false" customHeight="false" outlineLevel="0" collapsed="false">
      <c r="A854" s="115" t="s">
        <v>1425</v>
      </c>
      <c r="B854" s="115" t="s">
        <v>606</v>
      </c>
      <c r="C854" s="107" t="s">
        <v>1436</v>
      </c>
      <c r="D854" s="107"/>
      <c r="E854" s="116"/>
      <c r="F854" s="116"/>
      <c r="G854" s="108"/>
      <c r="H854" s="105" t="n">
        <f aca="false">'[2]$ лето'!j854-'[2]$ лето'!au854-'[2]$ лето'!at854-'[2]$ лето'!as854-'[2]$ лето'!ar854-'[2]$ лето'!aq854-'[2]$ лето'!ap854-'[2]$ лето'!an854-'[2]$ лето'!am854-'[2]$ лето'!al854-'[2]$ лето'!ak854-'[2]$ лето'!aj854-'[2]$ лето'!ah854-'[2]$ лето'!ag854-'[2]$ лето'!af854-'[2]$ лето'!ae854-'[2]$ лето'!ad854-'[2]$ лето'!ab854-'[2]$ лето'!aa854-'[2]$ лето'!z854-'[2]$ лето'!y854-'[2]$ лето'!x854-'[2]$ лето'!v854-'[2]$ лето'!u854-'[2]$ лето'!t854-'[2]$ лето'!s854-'[2]$ лето'!r854-'[2]$ лето'!p854-'[2]$ лето'!o854-'[2]$ лето'!n854-'[2]$ лето'!m854-'[2]$ лето'!l854+'[2]$ лето'!k854+'[2]$ лето'!q854+'[2]$ лето'!w854+'[2]$ лето'!ac854+'[2]$ лето'!ai854+'[2]$ лето'!ao854</f>
        <v>4</v>
      </c>
      <c r="I854" s="109" t="n">
        <f aca="false">'[2]$ лето'!ay854*1.1</f>
        <v>2618</v>
      </c>
      <c r="J854" s="85" t="n">
        <v>2017</v>
      </c>
    </row>
    <row r="855" customFormat="false" ht="15" hidden="false" customHeight="false" outlineLevel="0" collapsed="false">
      <c r="A855" s="115" t="s">
        <v>1425</v>
      </c>
      <c r="B855" s="115" t="s">
        <v>1130</v>
      </c>
      <c r="C855" s="107" t="s">
        <v>1437</v>
      </c>
      <c r="D855" s="107"/>
      <c r="E855" s="116"/>
      <c r="F855" s="116"/>
      <c r="G855" s="108"/>
      <c r="H855" s="105" t="n">
        <f aca="false">'[2]$ лето'!j855-'[2]$ лето'!au855-'[2]$ лето'!at855-'[2]$ лето'!as855-'[2]$ лето'!ar855-'[2]$ лето'!aq855-'[2]$ лето'!ap855-'[2]$ лето'!an855-'[2]$ лето'!am855-'[2]$ лето'!al855-'[2]$ лето'!ak855-'[2]$ лето'!aj855-'[2]$ лето'!ah855-'[2]$ лето'!ag855-'[2]$ лето'!af855-'[2]$ лето'!ae855-'[2]$ лето'!ad855-'[2]$ лето'!ab855-'[2]$ лето'!aa855-'[2]$ лето'!z855-'[2]$ лето'!y855-'[2]$ лето'!x855-'[2]$ лето'!v855-'[2]$ лето'!u855-'[2]$ лето'!t855-'[2]$ лето'!s855-'[2]$ лето'!r855-'[2]$ лето'!p855-'[2]$ лето'!o855-'[2]$ лето'!n855-'[2]$ лето'!m855-'[2]$ лето'!l855+'[2]$ лето'!k855+'[2]$ лето'!q855+'[2]$ лето'!w855+'[2]$ лето'!ac855+'[2]$ лето'!ai855+'[2]$ лето'!ao855</f>
        <v>8</v>
      </c>
      <c r="I855" s="109" t="n">
        <f aca="false">'[2]$ лето'!ay855*1.1</f>
        <v>1755.6</v>
      </c>
      <c r="J855" s="85" t="s">
        <v>1420</v>
      </c>
    </row>
    <row r="856" customFormat="false" ht="15" hidden="false" customHeight="false" outlineLevel="0" collapsed="false">
      <c r="A856" s="115" t="s">
        <v>1425</v>
      </c>
      <c r="B856" s="115" t="s">
        <v>574</v>
      </c>
      <c r="C856" s="116" t="s">
        <v>1438</v>
      </c>
      <c r="D856" s="116"/>
      <c r="E856" s="116"/>
      <c r="F856" s="116"/>
      <c r="G856" s="108" t="s">
        <v>576</v>
      </c>
      <c r="H856" s="105" t="n">
        <f aca="false">'[2]$ лето'!j856-'[2]$ лето'!au856-'[2]$ лето'!at856-'[2]$ лето'!as856-'[2]$ лето'!ar856-'[2]$ лето'!aq856-'[2]$ лето'!ap856-'[2]$ лето'!an856-'[2]$ лето'!am856-'[2]$ лето'!al856-'[2]$ лето'!ak856-'[2]$ лето'!aj856-'[2]$ лето'!ah856-'[2]$ лето'!ag856-'[2]$ лето'!af856-'[2]$ лето'!ae856-'[2]$ лето'!ad856-'[2]$ лето'!ab856-'[2]$ лето'!aa856-'[2]$ лето'!z856-'[2]$ лето'!y856-'[2]$ лето'!x856-'[2]$ лето'!v856-'[2]$ лето'!u856-'[2]$ лето'!t856-'[2]$ лето'!s856-'[2]$ лето'!r856-'[2]$ лето'!p856-'[2]$ лето'!o856-'[2]$ лето'!n856-'[2]$ лето'!m856-'[2]$ лето'!l856+'[2]$ лето'!k856+'[2]$ лето'!q856+'[2]$ лето'!w856+'[2]$ лето'!ac856+'[2]$ лето'!ai856+'[2]$ лето'!ao856</f>
        <v>2</v>
      </c>
      <c r="I856" s="109" t="n">
        <f aca="false">'[2]$ лето'!ay856*1.1</f>
        <v>2499.2</v>
      </c>
      <c r="J856" s="85" t="n">
        <v>2018</v>
      </c>
    </row>
    <row r="857" customFormat="false" ht="15" hidden="true" customHeight="false" outlineLevel="0" collapsed="false">
      <c r="A857" s="115" t="s">
        <v>1425</v>
      </c>
      <c r="B857" s="115" t="s">
        <v>583</v>
      </c>
      <c r="C857" s="107" t="s">
        <v>1439</v>
      </c>
      <c r="D857" s="107"/>
      <c r="E857" s="107"/>
      <c r="F857" s="107"/>
      <c r="G857" s="108"/>
      <c r="H857" s="105" t="n">
        <f aca="false">'[2]$ лето'!j857-'[2]$ лето'!au857-'[2]$ лето'!at857-'[2]$ лето'!as857-'[2]$ лето'!ar857-'[2]$ лето'!aq857-'[2]$ лето'!ap857-'[2]$ лето'!an857-'[2]$ лето'!am857-'[2]$ лето'!al857-'[2]$ лето'!ak857-'[2]$ лето'!aj857-'[2]$ лето'!ah857-'[2]$ лето'!ag857-'[2]$ лето'!af857-'[2]$ лето'!ae857-'[2]$ лето'!ad857-'[2]$ лето'!ab857-'[2]$ лето'!aa857-'[2]$ лето'!z857-'[2]$ лето'!y857-'[2]$ лето'!x857-'[2]$ лето'!v857-'[2]$ лето'!u857-'[2]$ лето'!t857-'[2]$ лето'!s857-'[2]$ лето'!r857-'[2]$ лето'!p857-'[2]$ лето'!o857-'[2]$ лето'!n857-'[2]$ лето'!m857-'[2]$ лето'!l857+'[2]$ лето'!k857+'[2]$ лето'!q857+'[2]$ лето'!w857+'[2]$ лето'!ac857+'[2]$ лето'!ai857+'[2]$ лето'!ao857</f>
        <v>0</v>
      </c>
      <c r="I857" s="109" t="n">
        <f aca="false">'[2]$ лето'!ay857*1.1</f>
        <v>2094.4</v>
      </c>
    </row>
    <row r="858" customFormat="false" ht="15" hidden="true" customHeight="false" outlineLevel="0" collapsed="false">
      <c r="A858" s="115" t="s">
        <v>1425</v>
      </c>
      <c r="B858" s="115" t="s">
        <v>613</v>
      </c>
      <c r="C858" s="107" t="s">
        <v>1440</v>
      </c>
      <c r="D858" s="107"/>
      <c r="E858" s="107"/>
      <c r="F858" s="107"/>
      <c r="G858" s="108"/>
      <c r="H858" s="105" t="n">
        <f aca="false">'[2]$ лето'!j858-'[2]$ лето'!au858-'[2]$ лето'!at858-'[2]$ лето'!as858-'[2]$ лето'!ar858-'[2]$ лето'!aq858-'[2]$ лето'!ap858-'[2]$ лето'!an858-'[2]$ лето'!am858-'[2]$ лето'!al858-'[2]$ лето'!ak858-'[2]$ лето'!aj858-'[2]$ лето'!ah858-'[2]$ лето'!ag858-'[2]$ лето'!af858-'[2]$ лето'!ae858-'[2]$ лето'!ad858-'[2]$ лето'!ab858-'[2]$ лето'!aa858-'[2]$ лето'!z858-'[2]$ лето'!y858-'[2]$ лето'!x858-'[2]$ лето'!v858-'[2]$ лето'!u858-'[2]$ лето'!t858-'[2]$ лето'!s858-'[2]$ лето'!r858-'[2]$ лето'!p858-'[2]$ лето'!o858-'[2]$ лето'!n858-'[2]$ лето'!m858-'[2]$ лето'!l858+'[2]$ лето'!k858+'[2]$ лето'!q858+'[2]$ лето'!w858+'[2]$ лето'!ac858+'[2]$ лето'!ai858+'[2]$ лето'!ao858</f>
        <v>0</v>
      </c>
      <c r="I858" s="109" t="n">
        <f aca="false">'[2]$ лето'!ay858*1.1</f>
        <v>2926</v>
      </c>
    </row>
    <row r="859" customFormat="false" ht="15" hidden="false" customHeight="false" outlineLevel="0" collapsed="false">
      <c r="A859" s="115" t="s">
        <v>1425</v>
      </c>
      <c r="B859" s="115" t="s">
        <v>593</v>
      </c>
      <c r="C859" s="116" t="s">
        <v>1441</v>
      </c>
      <c r="D859" s="116"/>
      <c r="E859" s="116"/>
      <c r="F859" s="116"/>
      <c r="G859" s="108" t="s">
        <v>933</v>
      </c>
      <c r="H859" s="105" t="n">
        <f aca="false">'[2]$ лето'!j859-'[2]$ лето'!au859-'[2]$ лето'!at859-'[2]$ лето'!as859-'[2]$ лето'!ar859-'[2]$ лето'!aq859-'[2]$ лето'!ap859-'[2]$ лето'!an859-'[2]$ лето'!am859-'[2]$ лето'!al859-'[2]$ лето'!ak859-'[2]$ лето'!aj859-'[2]$ лето'!ah859-'[2]$ лето'!ag859-'[2]$ лето'!af859-'[2]$ лето'!ae859-'[2]$ лето'!ad859-'[2]$ лето'!ab859-'[2]$ лето'!aa859-'[2]$ лето'!z859-'[2]$ лето'!y859-'[2]$ лето'!x859-'[2]$ лето'!v859-'[2]$ лето'!u859-'[2]$ лето'!t859-'[2]$ лето'!s859-'[2]$ лето'!r859-'[2]$ лето'!p859-'[2]$ лето'!o859-'[2]$ лето'!n859-'[2]$ лето'!m859-'[2]$ лето'!l859+'[2]$ лето'!k859+'[2]$ лето'!q859+'[2]$ лето'!w859+'[2]$ лето'!ac859+'[2]$ лето'!ai859+'[2]$ лето'!ao859</f>
        <v>4</v>
      </c>
      <c r="I859" s="109" t="n">
        <f aca="false">'[2]$ лето'!ay859*1.1</f>
        <v>3388</v>
      </c>
      <c r="J859" s="85" t="n">
        <v>2018</v>
      </c>
    </row>
    <row r="860" customFormat="false" ht="15" hidden="true" customHeight="false" outlineLevel="0" collapsed="false">
      <c r="A860" s="115" t="s">
        <v>1425</v>
      </c>
      <c r="B860" s="115" t="s">
        <v>593</v>
      </c>
      <c r="C860" s="116" t="s">
        <v>1442</v>
      </c>
      <c r="D860" s="116"/>
      <c r="E860" s="116"/>
      <c r="F860" s="116"/>
      <c r="G860" s="108"/>
      <c r="H860" s="105" t="n">
        <f aca="false">'[2]$ лето'!j860-'[2]$ лето'!au860-'[2]$ лето'!at860-'[2]$ лето'!as860-'[2]$ лето'!ar860-'[2]$ лето'!aq860-'[2]$ лето'!ap860-'[2]$ лето'!an860-'[2]$ лето'!am860-'[2]$ лето'!al860-'[2]$ лето'!ak860-'[2]$ лето'!aj860-'[2]$ лето'!ah860-'[2]$ лето'!ag860-'[2]$ лето'!af860-'[2]$ лето'!ae860-'[2]$ лето'!ad860-'[2]$ лето'!ab860-'[2]$ лето'!aa860-'[2]$ лето'!z860-'[2]$ лето'!y860-'[2]$ лето'!x860-'[2]$ лето'!v860-'[2]$ лето'!u860-'[2]$ лето'!t860-'[2]$ лето'!s860-'[2]$ лето'!r860-'[2]$ лето'!p860-'[2]$ лето'!o860-'[2]$ лето'!n860-'[2]$ лето'!m860-'[2]$ лето'!l860+'[2]$ лето'!k860+'[2]$ лето'!q860+'[2]$ лето'!w860+'[2]$ лето'!ac860+'[2]$ лето'!ai860+'[2]$ лето'!ao860</f>
        <v>0</v>
      </c>
      <c r="I860" s="109" t="n">
        <f aca="false">'[2]$ лето'!ay860*1.1</f>
        <v>3388</v>
      </c>
    </row>
    <row r="861" customFormat="false" ht="15" hidden="true" customHeight="false" outlineLevel="0" collapsed="false">
      <c r="A861" s="115" t="s">
        <v>1425</v>
      </c>
      <c r="B861" s="115" t="s">
        <v>586</v>
      </c>
      <c r="C861" s="116" t="s">
        <v>1443</v>
      </c>
      <c r="D861" s="116"/>
      <c r="E861" s="116"/>
      <c r="F861" s="116"/>
      <c r="G861" s="108" t="s">
        <v>520</v>
      </c>
      <c r="H861" s="105" t="n">
        <f aca="false">'[2]$ лето'!j861-'[2]$ лето'!au861-'[2]$ лето'!at861-'[2]$ лето'!as861-'[2]$ лето'!ar861-'[2]$ лето'!aq861-'[2]$ лето'!ap861-'[2]$ лето'!an861-'[2]$ лето'!am861-'[2]$ лето'!al861-'[2]$ лето'!ak861-'[2]$ лето'!aj861-'[2]$ лето'!ah861-'[2]$ лето'!ag861-'[2]$ лето'!af861-'[2]$ лето'!ae861-'[2]$ лето'!ad861-'[2]$ лето'!ab861-'[2]$ лето'!aa861-'[2]$ лето'!z861-'[2]$ лето'!y861-'[2]$ лето'!x861-'[2]$ лето'!v861-'[2]$ лето'!u861-'[2]$ лето'!t861-'[2]$ лето'!s861-'[2]$ лето'!r861-'[2]$ лето'!p861-'[2]$ лето'!o861-'[2]$ лето'!n861-'[2]$ лето'!m861-'[2]$ лето'!l861+'[2]$ лето'!k861+'[2]$ лето'!q861+'[2]$ лето'!w861+'[2]$ лето'!ac861+'[2]$ лето'!ai861+'[2]$ лето'!ao861</f>
        <v>0</v>
      </c>
      <c r="I861" s="109" t="n">
        <f aca="false">'[2]$ лето'!ay861*1.1</f>
        <v>1817.2</v>
      </c>
      <c r="J861" s="85" t="n">
        <v>2018</v>
      </c>
    </row>
    <row r="862" customFormat="false" ht="15" hidden="true" customHeight="false" outlineLevel="0" collapsed="false">
      <c r="A862" s="115" t="s">
        <v>1425</v>
      </c>
      <c r="B862" s="115" t="s">
        <v>615</v>
      </c>
      <c r="C862" s="116" t="s">
        <v>1444</v>
      </c>
      <c r="D862" s="116"/>
      <c r="E862" s="116"/>
      <c r="F862" s="116"/>
      <c r="G862" s="108"/>
      <c r="H862" s="105" t="n">
        <f aca="false">'[2]$ лето'!j862-'[2]$ лето'!au862-'[2]$ лето'!at862-'[2]$ лето'!as862-'[2]$ лето'!ar862-'[2]$ лето'!aq862-'[2]$ лето'!ap862-'[2]$ лето'!an862-'[2]$ лето'!am862-'[2]$ лето'!al862-'[2]$ лето'!ak862-'[2]$ лето'!aj862-'[2]$ лето'!ah862-'[2]$ лето'!ag862-'[2]$ лето'!af862-'[2]$ лето'!ae862-'[2]$ лето'!ad862-'[2]$ лето'!ab862-'[2]$ лето'!aa862-'[2]$ лето'!z862-'[2]$ лето'!y862-'[2]$ лето'!x862-'[2]$ лето'!v862-'[2]$ лето'!u862-'[2]$ лето'!t862-'[2]$ лето'!s862-'[2]$ лето'!r862-'[2]$ лето'!p862-'[2]$ лето'!o862-'[2]$ лето'!n862-'[2]$ лето'!m862-'[2]$ лето'!l862+'[2]$ лето'!k862+'[2]$ лето'!q862+'[2]$ лето'!w862+'[2]$ лето'!ac862+'[2]$ лето'!ai862+'[2]$ лето'!ao862</f>
        <v>0</v>
      </c>
      <c r="I862" s="109" t="n">
        <f aca="false">'[2]$ лето'!ay862*1.1</f>
        <v>2310</v>
      </c>
    </row>
    <row r="863" customFormat="false" ht="15" hidden="false" customHeight="false" outlineLevel="0" collapsed="false">
      <c r="A863" s="115" t="s">
        <v>1425</v>
      </c>
      <c r="B863" s="115" t="s">
        <v>621</v>
      </c>
      <c r="C863" s="116" t="s">
        <v>1445</v>
      </c>
      <c r="D863" s="116"/>
      <c r="E863" s="116"/>
      <c r="F863" s="116"/>
      <c r="G863" s="108" t="s">
        <v>520</v>
      </c>
      <c r="H863" s="105" t="n">
        <f aca="false">'[2]$ лето'!j863-'[2]$ лето'!au863-'[2]$ лето'!at863-'[2]$ лето'!as863-'[2]$ лето'!ar863-'[2]$ лето'!aq863-'[2]$ лето'!ap863-'[2]$ лето'!an863-'[2]$ лето'!am863-'[2]$ лето'!al863-'[2]$ лето'!ak863-'[2]$ лето'!aj863-'[2]$ лето'!ah863-'[2]$ лето'!ag863-'[2]$ лето'!af863-'[2]$ лето'!ae863-'[2]$ лето'!ad863-'[2]$ лето'!ab863-'[2]$ лето'!aa863-'[2]$ лето'!z863-'[2]$ лето'!y863-'[2]$ лето'!x863-'[2]$ лето'!v863-'[2]$ лето'!u863-'[2]$ лето'!t863-'[2]$ лето'!s863-'[2]$ лето'!r863-'[2]$ лето'!p863-'[2]$ лето'!o863-'[2]$ лето'!n863-'[2]$ лето'!m863-'[2]$ лето'!l863+'[2]$ лето'!k863+'[2]$ лето'!q863+'[2]$ лето'!w863+'[2]$ лето'!ac863+'[2]$ лето'!ai863+'[2]$ лето'!ao863</f>
        <v>4</v>
      </c>
      <c r="I863" s="109" t="n">
        <f aca="false">'[2]$ лето'!ay863*1.1</f>
        <v>2217.6</v>
      </c>
    </row>
    <row r="864" customFormat="false" ht="15" hidden="true" customHeight="false" outlineLevel="0" collapsed="false">
      <c r="A864" s="115" t="s">
        <v>1425</v>
      </c>
      <c r="B864" s="115" t="s">
        <v>589</v>
      </c>
      <c r="C864" s="107" t="s">
        <v>1446</v>
      </c>
      <c r="D864" s="107"/>
      <c r="E864" s="107"/>
      <c r="F864" s="107"/>
      <c r="G864" s="108" t="s">
        <v>876</v>
      </c>
      <c r="H864" s="105" t="n">
        <f aca="false">'[2]$ лето'!j864-'[2]$ лето'!au864-'[2]$ лето'!at864-'[2]$ лето'!as864-'[2]$ лето'!ar864-'[2]$ лето'!aq864-'[2]$ лето'!ap864-'[2]$ лето'!an864-'[2]$ лето'!am864-'[2]$ лето'!al864-'[2]$ лето'!ak864-'[2]$ лето'!aj864-'[2]$ лето'!ah864-'[2]$ лето'!ag864-'[2]$ лето'!af864-'[2]$ лето'!ae864-'[2]$ лето'!ad864-'[2]$ лето'!ab864-'[2]$ лето'!aa864-'[2]$ лето'!z864-'[2]$ лето'!y864-'[2]$ лето'!x864-'[2]$ лето'!v864-'[2]$ лето'!u864-'[2]$ лето'!t864-'[2]$ лето'!s864-'[2]$ лето'!r864-'[2]$ лето'!p864-'[2]$ лето'!o864-'[2]$ лето'!n864-'[2]$ лето'!m864-'[2]$ лето'!l864+'[2]$ лето'!k864+'[2]$ лето'!q864+'[2]$ лето'!w864+'[2]$ лето'!ac864+'[2]$ лето'!ai864+'[2]$ лето'!ao864</f>
        <v>0</v>
      </c>
      <c r="I864" s="109" t="n">
        <f aca="false">'[2]$ лето'!ay864*1.1</f>
        <v>2956.8</v>
      </c>
      <c r="J864" s="85" t="n">
        <v>2018</v>
      </c>
    </row>
    <row r="865" customFormat="false" ht="15" hidden="false" customHeight="false" outlineLevel="0" collapsed="false">
      <c r="A865" s="115" t="s">
        <v>1425</v>
      </c>
      <c r="B865" s="115" t="s">
        <v>589</v>
      </c>
      <c r="C865" s="107" t="s">
        <v>1447</v>
      </c>
      <c r="D865" s="107"/>
      <c r="E865" s="116"/>
      <c r="F865" s="116"/>
      <c r="G865" s="108" t="s">
        <v>626</v>
      </c>
      <c r="H865" s="105" t="n">
        <f aca="false">'[2]$ лето'!j865-'[2]$ лето'!au865-'[2]$ лето'!at865-'[2]$ лето'!as865-'[2]$ лето'!ar865-'[2]$ лето'!aq865-'[2]$ лето'!ap865-'[2]$ лето'!an865-'[2]$ лето'!am865-'[2]$ лето'!al865-'[2]$ лето'!ak865-'[2]$ лето'!aj865-'[2]$ лето'!ah865-'[2]$ лето'!ag865-'[2]$ лето'!af865-'[2]$ лето'!ae865-'[2]$ лето'!ad865-'[2]$ лето'!ab865-'[2]$ лето'!aa865-'[2]$ лето'!z865-'[2]$ лето'!y865-'[2]$ лето'!x865-'[2]$ лето'!v865-'[2]$ лето'!u865-'[2]$ лето'!t865-'[2]$ лето'!s865-'[2]$ лето'!r865-'[2]$ лето'!p865-'[2]$ лето'!o865-'[2]$ лето'!n865-'[2]$ лето'!m865-'[2]$ лето'!l865+'[2]$ лето'!k865+'[2]$ лето'!q865+'[2]$ лето'!w865+'[2]$ лето'!ac865+'[2]$ лето'!ai865+'[2]$ лето'!ao865</f>
        <v>4</v>
      </c>
      <c r="I865" s="109" t="n">
        <f aca="false">'[2]$ лето'!ay865*1.1</f>
        <v>2811.6</v>
      </c>
      <c r="J865" s="85" t="n">
        <v>2018</v>
      </c>
    </row>
    <row r="866" customFormat="false" ht="15" hidden="false" customHeight="false" outlineLevel="0" collapsed="false">
      <c r="A866" s="115" t="s">
        <v>1425</v>
      </c>
      <c r="B866" s="115" t="s">
        <v>564</v>
      </c>
      <c r="C866" s="116" t="s">
        <v>1448</v>
      </c>
      <c r="D866" s="116"/>
      <c r="E866" s="116"/>
      <c r="F866" s="116"/>
      <c r="G866" s="108" t="s">
        <v>520</v>
      </c>
      <c r="H866" s="105" t="n">
        <f aca="false">'[2]$ лето'!j866-'[2]$ лето'!au866-'[2]$ лето'!at866-'[2]$ лето'!as866-'[2]$ лето'!ar866-'[2]$ лето'!aq866-'[2]$ лето'!ap866-'[2]$ лето'!an866-'[2]$ лето'!am866-'[2]$ лето'!al866-'[2]$ лето'!ak866-'[2]$ лето'!aj866-'[2]$ лето'!ah866-'[2]$ лето'!ag866-'[2]$ лето'!af866-'[2]$ лето'!ae866-'[2]$ лето'!ad866-'[2]$ лето'!ab866-'[2]$ лето'!aa866-'[2]$ лето'!z866-'[2]$ лето'!y866-'[2]$ лето'!x866-'[2]$ лето'!v866-'[2]$ лето'!u866-'[2]$ лето'!t866-'[2]$ лето'!s866-'[2]$ лето'!r866-'[2]$ лето'!p866-'[2]$ лето'!o866-'[2]$ лето'!n866-'[2]$ лето'!m866-'[2]$ лето'!l866+'[2]$ лето'!k866+'[2]$ лето'!q866+'[2]$ лето'!w866+'[2]$ лето'!ac866+'[2]$ лето'!ai866+'[2]$ лето'!ao866</f>
        <v>4</v>
      </c>
      <c r="I866" s="109" t="n">
        <f aca="false">'[2]$ лето'!ay866*1.1</f>
        <v>1909.6</v>
      </c>
      <c r="J866" s="85" t="n">
        <v>2017</v>
      </c>
    </row>
    <row r="867" customFormat="false" ht="15" hidden="true" customHeight="false" outlineLevel="0" collapsed="false">
      <c r="A867" s="115" t="s">
        <v>1449</v>
      </c>
      <c r="B867" s="115" t="s">
        <v>844</v>
      </c>
      <c r="C867" s="116" t="s">
        <v>1450</v>
      </c>
      <c r="D867" s="116"/>
      <c r="E867" s="116"/>
      <c r="F867" s="116"/>
      <c r="G867" s="108"/>
      <c r="H867" s="105" t="n">
        <f aca="false">'[2]$ лето'!j867-'[2]$ лето'!au867-'[2]$ лето'!at867-'[2]$ лето'!as867-'[2]$ лето'!ar867-'[2]$ лето'!aq867-'[2]$ лето'!ap867-'[2]$ лето'!an867-'[2]$ лето'!am867-'[2]$ лето'!al867-'[2]$ лето'!ak867-'[2]$ лето'!aj867-'[2]$ лето'!ah867-'[2]$ лето'!ag867-'[2]$ лето'!af867-'[2]$ лето'!ae867-'[2]$ лето'!ad867-'[2]$ лето'!ab867-'[2]$ лето'!aa867-'[2]$ лето'!z867-'[2]$ лето'!y867-'[2]$ лето'!x867-'[2]$ лето'!v867-'[2]$ лето'!u867-'[2]$ лето'!t867-'[2]$ лето'!s867-'[2]$ лето'!r867-'[2]$ лето'!p867-'[2]$ лето'!o867-'[2]$ лето'!n867-'[2]$ лето'!m867-'[2]$ лето'!l867+'[2]$ лето'!k867+'[2]$ лето'!q867+'[2]$ лето'!w867+'[2]$ лето'!ac867+'[2]$ лето'!ai867+'[2]$ лето'!ao867</f>
        <v>0</v>
      </c>
      <c r="I867" s="109" t="n">
        <f aca="false">'[2]$ лето'!ay867*1.1</f>
        <v>4774</v>
      </c>
    </row>
    <row r="868" customFormat="false" ht="15" hidden="true" customHeight="false" outlineLevel="0" collapsed="false">
      <c r="A868" s="115" t="s">
        <v>1449</v>
      </c>
      <c r="B868" s="115" t="s">
        <v>606</v>
      </c>
      <c r="C868" s="119" t="s">
        <v>1451</v>
      </c>
      <c r="D868" s="119"/>
      <c r="E868" s="119"/>
      <c r="F868" s="119"/>
      <c r="G868" s="108" t="s">
        <v>609</v>
      </c>
      <c r="H868" s="105" t="n">
        <f aca="false">'[2]$ лето'!j868-'[2]$ лето'!au868-'[2]$ лето'!at868-'[2]$ лето'!as868-'[2]$ лето'!ar868-'[2]$ лето'!aq868-'[2]$ лето'!ap868-'[2]$ лето'!an868-'[2]$ лето'!am868-'[2]$ лето'!al868-'[2]$ лето'!ak868-'[2]$ лето'!aj868-'[2]$ лето'!ah868-'[2]$ лето'!ag868-'[2]$ лето'!af868-'[2]$ лето'!ae868-'[2]$ лето'!ad868-'[2]$ лето'!ab868-'[2]$ лето'!aa868-'[2]$ лето'!z868-'[2]$ лето'!y868-'[2]$ лето'!x868-'[2]$ лето'!v868-'[2]$ лето'!u868-'[2]$ лето'!t868-'[2]$ лето'!s868-'[2]$ лето'!r868-'[2]$ лето'!p868-'[2]$ лето'!o868-'[2]$ лето'!n868-'[2]$ лето'!m868-'[2]$ лето'!l868+'[2]$ лето'!k868+'[2]$ лето'!q868+'[2]$ лето'!w868+'[2]$ лето'!ac868+'[2]$ лето'!ai868+'[2]$ лето'!ao868</f>
        <v>0</v>
      </c>
      <c r="I868" s="109" t="n">
        <f aca="false">'[2]$ лето'!ay868*1.1</f>
        <v>3696</v>
      </c>
      <c r="J868" s="85" t="n">
        <v>2017</v>
      </c>
    </row>
    <row r="869" customFormat="false" ht="15" hidden="true" customHeight="false" outlineLevel="0" collapsed="false">
      <c r="A869" s="115" t="s">
        <v>1449</v>
      </c>
      <c r="B869" s="115" t="s">
        <v>593</v>
      </c>
      <c r="C869" s="107" t="s">
        <v>1452</v>
      </c>
      <c r="D869" s="107"/>
      <c r="E869" s="107"/>
      <c r="F869" s="107"/>
      <c r="G869" s="108"/>
      <c r="H869" s="105" t="n">
        <f aca="false">'[2]$ лето'!j869-'[2]$ лето'!au869-'[2]$ лето'!at869-'[2]$ лето'!as869-'[2]$ лето'!ar869-'[2]$ лето'!aq869-'[2]$ лето'!ap869-'[2]$ лето'!an869-'[2]$ лето'!am869-'[2]$ лето'!al869-'[2]$ лето'!ak869-'[2]$ лето'!aj869-'[2]$ лето'!ah869-'[2]$ лето'!ag869-'[2]$ лето'!af869-'[2]$ лето'!ae869-'[2]$ лето'!ad869-'[2]$ лето'!ab869-'[2]$ лето'!aa869-'[2]$ лето'!z869-'[2]$ лето'!y869-'[2]$ лето'!x869-'[2]$ лето'!v869-'[2]$ лето'!u869-'[2]$ лето'!t869-'[2]$ лето'!s869-'[2]$ лето'!r869-'[2]$ лето'!p869-'[2]$ лето'!o869-'[2]$ лето'!n869-'[2]$ лето'!m869-'[2]$ лето'!l869+'[2]$ лето'!k869+'[2]$ лето'!q869+'[2]$ лето'!w869+'[2]$ лето'!ac869+'[2]$ лето'!ai869+'[2]$ лето'!ao869</f>
        <v>0</v>
      </c>
      <c r="I869" s="109" t="n">
        <f aca="false">'[2]$ лето'!ay869*1.1</f>
        <v>4096.4</v>
      </c>
    </row>
    <row r="870" customFormat="false" ht="15" hidden="true" customHeight="false" outlineLevel="0" collapsed="false">
      <c r="A870" s="115" t="s">
        <v>1449</v>
      </c>
      <c r="B870" s="115" t="s">
        <v>586</v>
      </c>
      <c r="C870" s="107" t="s">
        <v>1453</v>
      </c>
      <c r="D870" s="107"/>
      <c r="E870" s="107"/>
      <c r="F870" s="107"/>
      <c r="G870" s="108" t="s">
        <v>520</v>
      </c>
      <c r="H870" s="105" t="n">
        <f aca="false">'[2]$ лето'!j870-'[2]$ лето'!au870-'[2]$ лето'!at870-'[2]$ лето'!as870-'[2]$ лето'!ar870-'[2]$ лето'!aq870-'[2]$ лето'!ap870-'[2]$ лето'!an870-'[2]$ лето'!am870-'[2]$ лето'!al870-'[2]$ лето'!ak870-'[2]$ лето'!aj870-'[2]$ лето'!ah870-'[2]$ лето'!ag870-'[2]$ лето'!af870-'[2]$ лето'!ae870-'[2]$ лето'!ad870-'[2]$ лето'!ab870-'[2]$ лето'!aa870-'[2]$ лето'!z870-'[2]$ лето'!y870-'[2]$ лето'!x870-'[2]$ лето'!v870-'[2]$ лето'!u870-'[2]$ лето'!t870-'[2]$ лето'!s870-'[2]$ лето'!r870-'[2]$ лето'!p870-'[2]$ лето'!o870-'[2]$ лето'!n870-'[2]$ лето'!m870-'[2]$ лето'!l870+'[2]$ лето'!k870+'[2]$ лето'!q870+'[2]$ лето'!w870+'[2]$ лето'!ac870+'[2]$ лето'!ai870+'[2]$ лето'!ao870</f>
        <v>0</v>
      </c>
      <c r="I870" s="109" t="n">
        <f aca="false">'[2]$ лето'!ay870*1.1</f>
        <v>2002</v>
      </c>
      <c r="J870" s="85" t="n">
        <v>2016</v>
      </c>
    </row>
    <row r="871" customFormat="false" ht="15" hidden="false" customHeight="false" outlineLevel="0" collapsed="false">
      <c r="A871" s="115" t="s">
        <v>1449</v>
      </c>
      <c r="B871" s="115" t="s">
        <v>615</v>
      </c>
      <c r="C871" s="107" t="s">
        <v>1454</v>
      </c>
      <c r="D871" s="107"/>
      <c r="E871" s="116" t="n">
        <v>111</v>
      </c>
      <c r="F871" s="116" t="s">
        <v>1455</v>
      </c>
      <c r="G871" s="108"/>
      <c r="H871" s="105" t="n">
        <f aca="false">'[2]$ лето'!j871-'[2]$ лето'!au871-'[2]$ лето'!at871-'[2]$ лето'!as871-'[2]$ лето'!ar871-'[2]$ лето'!aq871-'[2]$ лето'!ap871-'[2]$ лето'!an871-'[2]$ лето'!am871-'[2]$ лето'!al871-'[2]$ лето'!ak871-'[2]$ лето'!aj871-'[2]$ лето'!ah871-'[2]$ лето'!ag871-'[2]$ лето'!af871-'[2]$ лето'!ae871-'[2]$ лето'!ad871-'[2]$ лето'!ab871-'[2]$ лето'!aa871-'[2]$ лето'!z871-'[2]$ лето'!y871-'[2]$ лето'!x871-'[2]$ лето'!v871-'[2]$ лето'!u871-'[2]$ лето'!t871-'[2]$ лето'!s871-'[2]$ лето'!r871-'[2]$ лето'!p871-'[2]$ лето'!o871-'[2]$ лето'!n871-'[2]$ лето'!m871-'[2]$ лето'!l871+'[2]$ лето'!k871+'[2]$ лето'!q871+'[2]$ лето'!w871+'[2]$ лето'!ac871+'[2]$ лето'!ai871+'[2]$ лето'!ao871</f>
        <v>4</v>
      </c>
      <c r="I871" s="109" t="n">
        <f aca="false">'[2]$ лето'!ay871*1.1</f>
        <v>2587.2</v>
      </c>
    </row>
    <row r="872" customFormat="false" ht="15" hidden="false" customHeight="false" outlineLevel="0" collapsed="false">
      <c r="A872" s="115" t="s">
        <v>1449</v>
      </c>
      <c r="B872" s="115" t="s">
        <v>564</v>
      </c>
      <c r="C872" s="107" t="s">
        <v>1456</v>
      </c>
      <c r="D872" s="107"/>
      <c r="E872" s="116"/>
      <c r="F872" s="116"/>
      <c r="G872" s="108" t="s">
        <v>520</v>
      </c>
      <c r="H872" s="105" t="n">
        <f aca="false">'[2]$ лето'!j872-'[2]$ лето'!au872-'[2]$ лето'!at872-'[2]$ лето'!as872-'[2]$ лето'!ar872-'[2]$ лето'!aq872-'[2]$ лето'!ap872-'[2]$ лето'!an872-'[2]$ лето'!am872-'[2]$ лето'!al872-'[2]$ лето'!ak872-'[2]$ лето'!aj872-'[2]$ лето'!ah872-'[2]$ лето'!ag872-'[2]$ лето'!af872-'[2]$ лето'!ae872-'[2]$ лето'!ad872-'[2]$ лето'!ab872-'[2]$ лето'!aa872-'[2]$ лето'!z872-'[2]$ лето'!y872-'[2]$ лето'!x872-'[2]$ лето'!v872-'[2]$ лето'!u872-'[2]$ лето'!t872-'[2]$ лето'!s872-'[2]$ лето'!r872-'[2]$ лето'!p872-'[2]$ лето'!o872-'[2]$ лето'!n872-'[2]$ лето'!m872-'[2]$ лето'!l872+'[2]$ лето'!k872+'[2]$ лето'!q872+'[2]$ лето'!w872+'[2]$ лето'!ac872+'[2]$ лето'!ai872+'[2]$ лето'!ao872</f>
        <v>4</v>
      </c>
      <c r="I872" s="109" t="n">
        <f aca="false">'[2]$ лето'!ay872*1.1</f>
        <v>2217.6</v>
      </c>
    </row>
    <row r="873" customFormat="false" ht="15" hidden="true" customHeight="false" outlineLevel="0" collapsed="false">
      <c r="A873" s="115" t="s">
        <v>1457</v>
      </c>
      <c r="B873" s="115" t="s">
        <v>583</v>
      </c>
      <c r="C873" s="116" t="s">
        <v>1458</v>
      </c>
      <c r="D873" s="116"/>
      <c r="E873" s="116"/>
      <c r="F873" s="116"/>
      <c r="G873" s="108"/>
      <c r="H873" s="105" t="n">
        <f aca="false">'[2]$ лето'!j873-'[2]$ лето'!au873-'[2]$ лето'!at873-'[2]$ лето'!as873-'[2]$ лето'!ar873-'[2]$ лето'!aq873-'[2]$ лето'!ap873-'[2]$ лето'!an873-'[2]$ лето'!am873-'[2]$ лето'!al873-'[2]$ лето'!ak873-'[2]$ лето'!aj873-'[2]$ лето'!ah873-'[2]$ лето'!ag873-'[2]$ лето'!af873-'[2]$ лето'!ae873-'[2]$ лето'!ad873-'[2]$ лето'!ab873-'[2]$ лето'!aa873-'[2]$ лето'!z873-'[2]$ лето'!y873-'[2]$ лето'!x873-'[2]$ лето'!v873-'[2]$ лето'!u873-'[2]$ лето'!t873-'[2]$ лето'!s873-'[2]$ лето'!r873-'[2]$ лето'!p873-'[2]$ лето'!o873-'[2]$ лето'!n873-'[2]$ лето'!m873-'[2]$ лето'!l873+'[2]$ лето'!k873+'[2]$ лето'!q873+'[2]$ лето'!w873+'[2]$ лето'!ac873+'[2]$ лето'!ai873+'[2]$ лето'!ao873</f>
        <v>0</v>
      </c>
      <c r="I873" s="109" t="n">
        <f aca="false">'[2]$ лето'!ay873*1.1</f>
        <v>2772</v>
      </c>
    </row>
    <row r="874" customFormat="false" ht="15" hidden="true" customHeight="false" outlineLevel="0" collapsed="false">
      <c r="A874" s="115" t="s">
        <v>1457</v>
      </c>
      <c r="B874" s="115" t="s">
        <v>593</v>
      </c>
      <c r="C874" s="116" t="s">
        <v>1404</v>
      </c>
      <c r="D874" s="116"/>
      <c r="E874" s="116"/>
      <c r="F874" s="116"/>
      <c r="G874" s="108"/>
      <c r="H874" s="105" t="n">
        <f aca="false">'[2]$ лето'!j874-'[2]$ лето'!au874-'[2]$ лето'!at874-'[2]$ лето'!as874-'[2]$ лето'!ar874-'[2]$ лето'!aq874-'[2]$ лето'!ap874-'[2]$ лето'!an874-'[2]$ лето'!am874-'[2]$ лето'!al874-'[2]$ лето'!ak874-'[2]$ лето'!aj874-'[2]$ лето'!ah874-'[2]$ лето'!ag874-'[2]$ лето'!af874-'[2]$ лето'!ae874-'[2]$ лето'!ad874-'[2]$ лето'!ab874-'[2]$ лето'!aa874-'[2]$ лето'!z874-'[2]$ лето'!y874-'[2]$ лето'!x874-'[2]$ лето'!v874-'[2]$ лето'!u874-'[2]$ лето'!t874-'[2]$ лето'!s874-'[2]$ лето'!r874-'[2]$ лето'!p874-'[2]$ лето'!o874-'[2]$ лето'!n874-'[2]$ лето'!m874-'[2]$ лето'!l874+'[2]$ лето'!k874+'[2]$ лето'!q874+'[2]$ лето'!w874+'[2]$ лето'!ac874+'[2]$ лето'!ai874+'[2]$ лето'!ao874</f>
        <v>0</v>
      </c>
      <c r="I874" s="109" t="n">
        <f aca="false">'[2]$ лето'!ay874*1.1</f>
        <v>4620</v>
      </c>
    </row>
    <row r="875" customFormat="false" ht="15" hidden="true" customHeight="false" outlineLevel="0" collapsed="false">
      <c r="A875" s="115" t="s">
        <v>1457</v>
      </c>
      <c r="B875" s="115" t="s">
        <v>593</v>
      </c>
      <c r="C875" s="116" t="s">
        <v>1044</v>
      </c>
      <c r="D875" s="116"/>
      <c r="E875" s="116"/>
      <c r="F875" s="116"/>
      <c r="G875" s="108"/>
      <c r="H875" s="105" t="n">
        <f aca="false">'[2]$ лето'!j875-'[2]$ лето'!au875-'[2]$ лето'!at875-'[2]$ лето'!as875-'[2]$ лето'!ar875-'[2]$ лето'!aq875-'[2]$ лето'!ap875-'[2]$ лето'!an875-'[2]$ лето'!am875-'[2]$ лето'!al875-'[2]$ лето'!ak875-'[2]$ лето'!aj875-'[2]$ лето'!ah875-'[2]$ лето'!ag875-'[2]$ лето'!af875-'[2]$ лето'!ae875-'[2]$ лето'!ad875-'[2]$ лето'!ab875-'[2]$ лето'!aa875-'[2]$ лето'!z875-'[2]$ лето'!y875-'[2]$ лето'!x875-'[2]$ лето'!v875-'[2]$ лето'!u875-'[2]$ лето'!t875-'[2]$ лето'!s875-'[2]$ лето'!r875-'[2]$ лето'!p875-'[2]$ лето'!o875-'[2]$ лето'!n875-'[2]$ лето'!m875-'[2]$ лето'!l875+'[2]$ лето'!k875+'[2]$ лето'!q875+'[2]$ лето'!w875+'[2]$ лето'!ac875+'[2]$ лето'!ai875+'[2]$ лето'!ao875</f>
        <v>0</v>
      </c>
      <c r="I875" s="109" t="n">
        <f aca="false">'[2]$ лето'!ay875*1.1</f>
        <v>3388</v>
      </c>
    </row>
    <row r="876" customFormat="false" ht="15" hidden="true" customHeight="false" outlineLevel="0" collapsed="false">
      <c r="A876" s="115" t="s">
        <v>1459</v>
      </c>
      <c r="B876" s="115" t="s">
        <v>589</v>
      </c>
      <c r="C876" s="116" t="s">
        <v>1460</v>
      </c>
      <c r="D876" s="116"/>
      <c r="E876" s="116"/>
      <c r="F876" s="116"/>
      <c r="G876" s="108"/>
      <c r="H876" s="105" t="n">
        <f aca="false">'[2]$ лето'!j876-'[2]$ лето'!au876-'[2]$ лето'!at876-'[2]$ лето'!as876-'[2]$ лето'!ar876-'[2]$ лето'!aq876-'[2]$ лето'!ap876-'[2]$ лето'!an876-'[2]$ лето'!am876-'[2]$ лето'!al876-'[2]$ лето'!ak876-'[2]$ лето'!aj876-'[2]$ лето'!ah876-'[2]$ лето'!ag876-'[2]$ лето'!af876-'[2]$ лето'!ae876-'[2]$ лето'!ad876-'[2]$ лето'!ab876-'[2]$ лето'!aa876-'[2]$ лето'!z876-'[2]$ лето'!y876-'[2]$ лето'!x876-'[2]$ лето'!v876-'[2]$ лето'!u876-'[2]$ лето'!t876-'[2]$ лето'!s876-'[2]$ лето'!r876-'[2]$ лето'!p876-'[2]$ лето'!o876-'[2]$ лето'!n876-'[2]$ лето'!m876-'[2]$ лето'!l876+'[2]$ лето'!k876+'[2]$ лето'!q876+'[2]$ лето'!w876+'[2]$ лето'!ac876+'[2]$ лето'!ai876+'[2]$ лето'!ao876</f>
        <v>0</v>
      </c>
      <c r="I876" s="109" t="n">
        <f aca="false">'[2]$ лето'!ay876*1.1</f>
        <v>5544</v>
      </c>
      <c r="J876" s="113"/>
    </row>
    <row r="877" customFormat="false" ht="15" hidden="true" customHeight="false" outlineLevel="0" collapsed="false">
      <c r="A877" s="115" t="s">
        <v>1461</v>
      </c>
      <c r="B877" s="115" t="s">
        <v>1338</v>
      </c>
      <c r="C877" s="116" t="s">
        <v>1426</v>
      </c>
      <c r="D877" s="116"/>
      <c r="E877" s="116"/>
      <c r="F877" s="116"/>
      <c r="G877" s="108"/>
      <c r="H877" s="105" t="n">
        <f aca="false">'[2]$ лето'!j877-'[2]$ лето'!au877-'[2]$ лето'!at877-'[2]$ лето'!as877-'[2]$ лето'!ar877-'[2]$ лето'!aq877-'[2]$ лето'!ap877-'[2]$ лето'!an877-'[2]$ лето'!am877-'[2]$ лето'!al877-'[2]$ лето'!ak877-'[2]$ лето'!aj877-'[2]$ лето'!ah877-'[2]$ лето'!ag877-'[2]$ лето'!af877-'[2]$ лето'!ae877-'[2]$ лето'!ad877-'[2]$ лето'!ab877-'[2]$ лето'!aa877-'[2]$ лето'!z877-'[2]$ лето'!y877-'[2]$ лето'!x877-'[2]$ лето'!v877-'[2]$ лето'!u877-'[2]$ лето'!t877-'[2]$ лето'!s877-'[2]$ лето'!r877-'[2]$ лето'!p877-'[2]$ лето'!o877-'[2]$ лето'!n877-'[2]$ лето'!m877-'[2]$ лето'!l877+'[2]$ лето'!k877+'[2]$ лето'!q877+'[2]$ лето'!w877+'[2]$ лето'!ac877+'[2]$ лето'!ai877+'[2]$ лето'!ao877</f>
        <v>0</v>
      </c>
      <c r="I877" s="109" t="n">
        <f aca="false">'[2]$ лето'!ay877*1.1</f>
        <v>2217.6</v>
      </c>
      <c r="J877" s="113"/>
    </row>
    <row r="878" customFormat="false" ht="15" hidden="true" customHeight="false" outlineLevel="0" collapsed="false">
      <c r="A878" s="115" t="s">
        <v>1461</v>
      </c>
      <c r="B878" s="115" t="s">
        <v>568</v>
      </c>
      <c r="C878" s="107" t="s">
        <v>1388</v>
      </c>
      <c r="D878" s="107"/>
      <c r="E878" s="107"/>
      <c r="F878" s="107"/>
      <c r="G878" s="108"/>
      <c r="H878" s="105" t="n">
        <f aca="false">'[2]$ лето'!j878-'[2]$ лето'!au878-'[2]$ лето'!at878-'[2]$ лето'!as878-'[2]$ лето'!ar878-'[2]$ лето'!aq878-'[2]$ лето'!ap878-'[2]$ лето'!an878-'[2]$ лето'!am878-'[2]$ лето'!al878-'[2]$ лето'!ak878-'[2]$ лето'!aj878-'[2]$ лето'!ah878-'[2]$ лето'!ag878-'[2]$ лето'!af878-'[2]$ лето'!ae878-'[2]$ лето'!ad878-'[2]$ лето'!ab878-'[2]$ лето'!aa878-'[2]$ лето'!z878-'[2]$ лето'!y878-'[2]$ лето'!x878-'[2]$ лето'!v878-'[2]$ лето'!u878-'[2]$ лето'!t878-'[2]$ лето'!s878-'[2]$ лето'!r878-'[2]$ лето'!p878-'[2]$ лето'!o878-'[2]$ лето'!n878-'[2]$ лето'!m878-'[2]$ лето'!l878+'[2]$ лето'!k878+'[2]$ лето'!q878+'[2]$ лето'!w878+'[2]$ лето'!ac878+'[2]$ лето'!ai878+'[2]$ лето'!ao878</f>
        <v>0</v>
      </c>
      <c r="I878" s="109" t="n">
        <f aca="false">'[2]$ лето'!ay878*1.1</f>
        <v>2618</v>
      </c>
      <c r="J878" s="113"/>
    </row>
    <row r="879" customFormat="false" ht="15" hidden="false" customHeight="false" outlineLevel="0" collapsed="false">
      <c r="A879" s="115" t="s">
        <v>1461</v>
      </c>
      <c r="B879" s="115" t="s">
        <v>844</v>
      </c>
      <c r="C879" s="116" t="s">
        <v>1462</v>
      </c>
      <c r="D879" s="116"/>
      <c r="E879" s="116"/>
      <c r="F879" s="116"/>
      <c r="G879" s="108" t="s">
        <v>1432</v>
      </c>
      <c r="H879" s="105" t="n">
        <f aca="false">'[2]$ лето'!j879-'[2]$ лето'!au879-'[2]$ лето'!at879-'[2]$ лето'!as879-'[2]$ лето'!ar879-'[2]$ лето'!aq879-'[2]$ лето'!ap879-'[2]$ лето'!an879-'[2]$ лето'!am879-'[2]$ лето'!al879-'[2]$ лето'!ak879-'[2]$ лето'!aj879-'[2]$ лето'!ah879-'[2]$ лето'!ag879-'[2]$ лето'!af879-'[2]$ лето'!ae879-'[2]$ лето'!ad879-'[2]$ лето'!ab879-'[2]$ лето'!aa879-'[2]$ лето'!z879-'[2]$ лето'!y879-'[2]$ лето'!x879-'[2]$ лето'!v879-'[2]$ лето'!u879-'[2]$ лето'!t879-'[2]$ лето'!s879-'[2]$ лето'!r879-'[2]$ лето'!p879-'[2]$ лето'!o879-'[2]$ лето'!n879-'[2]$ лето'!m879-'[2]$ лето'!l879+'[2]$ лето'!k879+'[2]$ лето'!q879+'[2]$ лето'!w879+'[2]$ лето'!ac879+'[2]$ лето'!ai879+'[2]$ лето'!ao879</f>
        <v>4</v>
      </c>
      <c r="I879" s="109" t="n">
        <f aca="false">'[2]$ лето'!ay879*1.1</f>
        <v>4774</v>
      </c>
      <c r="J879" s="113" t="n">
        <v>2017</v>
      </c>
    </row>
    <row r="880" customFormat="false" ht="15" hidden="true" customHeight="false" outlineLevel="0" collapsed="false">
      <c r="A880" s="115" t="s">
        <v>1461</v>
      </c>
      <c r="B880" s="115" t="s">
        <v>601</v>
      </c>
      <c r="C880" s="116" t="s">
        <v>1463</v>
      </c>
      <c r="D880" s="116"/>
      <c r="E880" s="116"/>
      <c r="F880" s="116"/>
      <c r="G880" s="108"/>
      <c r="H880" s="105" t="n">
        <f aca="false">'[2]$ лето'!j880-'[2]$ лето'!au880-'[2]$ лето'!at880-'[2]$ лето'!as880-'[2]$ лето'!ar880-'[2]$ лето'!aq880-'[2]$ лето'!ap880-'[2]$ лето'!an880-'[2]$ лето'!am880-'[2]$ лето'!al880-'[2]$ лето'!ak880-'[2]$ лето'!aj880-'[2]$ лето'!ah880-'[2]$ лето'!ag880-'[2]$ лето'!af880-'[2]$ лето'!ae880-'[2]$ лето'!ad880-'[2]$ лето'!ab880-'[2]$ лето'!aa880-'[2]$ лето'!z880-'[2]$ лето'!y880-'[2]$ лето'!x880-'[2]$ лето'!v880-'[2]$ лето'!u880-'[2]$ лето'!t880-'[2]$ лето'!s880-'[2]$ лето'!r880-'[2]$ лето'!p880-'[2]$ лето'!o880-'[2]$ лето'!n880-'[2]$ лето'!m880-'[2]$ лето'!l880+'[2]$ лето'!k880+'[2]$ лето'!q880+'[2]$ лето'!w880+'[2]$ лето'!ac880+'[2]$ лето'!ai880+'[2]$ лето'!ao880</f>
        <v>0</v>
      </c>
      <c r="I880" s="109" t="n">
        <f aca="false">'[2]$ лето'!ay880*1.1</f>
        <v>3080</v>
      </c>
      <c r="J880" s="113"/>
    </row>
    <row r="881" customFormat="false" ht="15" hidden="false" customHeight="false" outlineLevel="0" collapsed="false">
      <c r="A881" s="115" t="s">
        <v>1461</v>
      </c>
      <c r="B881" s="115" t="s">
        <v>601</v>
      </c>
      <c r="C881" s="107" t="s">
        <v>1464</v>
      </c>
      <c r="D881" s="107"/>
      <c r="E881" s="116"/>
      <c r="F881" s="116"/>
      <c r="G881" s="108"/>
      <c r="H881" s="105" t="n">
        <f aca="false">'[2]$ лето'!j881-'[2]$ лето'!au881-'[2]$ лето'!at881-'[2]$ лето'!as881-'[2]$ лето'!ar881-'[2]$ лето'!aq881-'[2]$ лето'!ap881-'[2]$ лето'!an881-'[2]$ лето'!am881-'[2]$ лето'!al881-'[2]$ лето'!ak881-'[2]$ лето'!aj881-'[2]$ лето'!ah881-'[2]$ лето'!ag881-'[2]$ лето'!af881-'[2]$ лето'!ae881-'[2]$ лето'!ad881-'[2]$ лето'!ab881-'[2]$ лето'!aa881-'[2]$ лето'!z881-'[2]$ лето'!y881-'[2]$ лето'!x881-'[2]$ лето'!v881-'[2]$ лето'!u881-'[2]$ лето'!t881-'[2]$ лето'!s881-'[2]$ лето'!r881-'[2]$ лето'!p881-'[2]$ лето'!o881-'[2]$ лето'!n881-'[2]$ лето'!m881-'[2]$ лето'!l881+'[2]$ лето'!k881+'[2]$ лето'!q881+'[2]$ лето'!w881+'[2]$ лето'!ac881+'[2]$ лето'!ai881+'[2]$ лето'!ao881</f>
        <v>4</v>
      </c>
      <c r="I881" s="109" t="n">
        <f aca="false">'[2]$ лето'!ay881*1.1</f>
        <v>3256</v>
      </c>
      <c r="J881" s="113"/>
    </row>
    <row r="882" customFormat="false" ht="15" hidden="false" customHeight="false" outlineLevel="0" collapsed="false">
      <c r="A882" s="115" t="s">
        <v>1461</v>
      </c>
      <c r="B882" s="115" t="s">
        <v>606</v>
      </c>
      <c r="C882" s="107" t="s">
        <v>1465</v>
      </c>
      <c r="D882" s="107"/>
      <c r="E882" s="116"/>
      <c r="F882" s="116"/>
      <c r="G882" s="108"/>
      <c r="H882" s="105" t="n">
        <f aca="false">'[2]$ лето'!j882-'[2]$ лето'!au882-'[2]$ лето'!at882-'[2]$ лето'!as882-'[2]$ лето'!ar882-'[2]$ лето'!aq882-'[2]$ лето'!ap882-'[2]$ лето'!an882-'[2]$ лето'!am882-'[2]$ лето'!al882-'[2]$ лето'!ak882-'[2]$ лето'!aj882-'[2]$ лето'!ah882-'[2]$ лето'!ag882-'[2]$ лето'!af882-'[2]$ лето'!ae882-'[2]$ лето'!ad882-'[2]$ лето'!ab882-'[2]$ лето'!aa882-'[2]$ лето'!z882-'[2]$ лето'!y882-'[2]$ лето'!x882-'[2]$ лето'!v882-'[2]$ лето'!u882-'[2]$ лето'!t882-'[2]$ лето'!s882-'[2]$ лето'!r882-'[2]$ лето'!p882-'[2]$ лето'!o882-'[2]$ лето'!n882-'[2]$ лето'!m882-'[2]$ лето'!l882+'[2]$ лето'!k882+'[2]$ лето'!q882+'[2]$ лето'!w882+'[2]$ лето'!ac882+'[2]$ лето'!ai882+'[2]$ лето'!ao882</f>
        <v>8</v>
      </c>
      <c r="I882" s="109" t="n">
        <f aca="false">'[2]$ лето'!ay882*1.1</f>
        <v>3080</v>
      </c>
      <c r="J882" s="113"/>
    </row>
    <row r="883" customFormat="false" ht="15" hidden="true" customHeight="false" outlineLevel="0" collapsed="false">
      <c r="A883" s="115" t="s">
        <v>1461</v>
      </c>
      <c r="B883" s="115" t="s">
        <v>1130</v>
      </c>
      <c r="C883" s="107" t="s">
        <v>1466</v>
      </c>
      <c r="D883" s="107"/>
      <c r="E883" s="107"/>
      <c r="F883" s="107"/>
      <c r="G883" s="108"/>
      <c r="H883" s="105" t="n">
        <f aca="false">'[2]$ лето'!j883-'[2]$ лето'!au883-'[2]$ лето'!at883-'[2]$ лето'!as883-'[2]$ лето'!ar883-'[2]$ лето'!aq883-'[2]$ лето'!ap883-'[2]$ лето'!an883-'[2]$ лето'!am883-'[2]$ лето'!al883-'[2]$ лето'!ak883-'[2]$ лето'!aj883-'[2]$ лето'!ah883-'[2]$ лето'!ag883-'[2]$ лето'!af883-'[2]$ лето'!ae883-'[2]$ лето'!ad883-'[2]$ лето'!ab883-'[2]$ лето'!aa883-'[2]$ лето'!z883-'[2]$ лето'!y883-'[2]$ лето'!x883-'[2]$ лето'!v883-'[2]$ лето'!u883-'[2]$ лето'!t883-'[2]$ лето'!s883-'[2]$ лето'!r883-'[2]$ лето'!p883-'[2]$ лето'!o883-'[2]$ лето'!n883-'[2]$ лето'!m883-'[2]$ лето'!l883+'[2]$ лето'!k883+'[2]$ лето'!q883+'[2]$ лето'!w883+'[2]$ лето'!ac883+'[2]$ лето'!ai883+'[2]$ лето'!ao883</f>
        <v>0</v>
      </c>
      <c r="I883" s="109" t="n">
        <f aca="false">'[2]$ лето'!ay883*1.1</f>
        <v>1848</v>
      </c>
      <c r="J883" s="113" t="n">
        <v>2016</v>
      </c>
    </row>
    <row r="884" customFormat="false" ht="15" hidden="true" customHeight="false" outlineLevel="0" collapsed="false">
      <c r="A884" s="115" t="s">
        <v>1461</v>
      </c>
      <c r="B884" s="115" t="s">
        <v>574</v>
      </c>
      <c r="C884" s="107" t="s">
        <v>1467</v>
      </c>
      <c r="D884" s="107"/>
      <c r="E884" s="107"/>
      <c r="F884" s="107"/>
      <c r="G884" s="108" t="s">
        <v>576</v>
      </c>
      <c r="H884" s="105" t="n">
        <f aca="false">'[2]$ лето'!j884-'[2]$ лето'!au884-'[2]$ лето'!at884-'[2]$ лето'!as884-'[2]$ лето'!ar884-'[2]$ лето'!aq884-'[2]$ лето'!ap884-'[2]$ лето'!an884-'[2]$ лето'!am884-'[2]$ лето'!al884-'[2]$ лето'!ak884-'[2]$ лето'!aj884-'[2]$ лето'!ah884-'[2]$ лето'!ag884-'[2]$ лето'!af884-'[2]$ лето'!ae884-'[2]$ лето'!ad884-'[2]$ лето'!ab884-'[2]$ лето'!aa884-'[2]$ лето'!z884-'[2]$ лето'!y884-'[2]$ лето'!x884-'[2]$ лето'!v884-'[2]$ лето'!u884-'[2]$ лето'!t884-'[2]$ лето'!s884-'[2]$ лето'!r884-'[2]$ лето'!p884-'[2]$ лето'!o884-'[2]$ лето'!n884-'[2]$ лето'!m884-'[2]$ лето'!l884+'[2]$ лето'!k884+'[2]$ лето'!q884+'[2]$ лето'!w884+'[2]$ лето'!ac884+'[2]$ лето'!ai884+'[2]$ лето'!ao884</f>
        <v>0</v>
      </c>
      <c r="I884" s="109" t="n">
        <f aca="false">'[2]$ лето'!ay884*1.1</f>
        <v>2741.2</v>
      </c>
      <c r="J884" s="113"/>
    </row>
    <row r="885" customFormat="false" ht="15" hidden="false" customHeight="false" outlineLevel="0" collapsed="false">
      <c r="A885" s="115" t="s">
        <v>1461</v>
      </c>
      <c r="B885" s="115" t="s">
        <v>574</v>
      </c>
      <c r="C885" s="116" t="s">
        <v>1468</v>
      </c>
      <c r="D885" s="116"/>
      <c r="E885" s="116"/>
      <c r="F885" s="116"/>
      <c r="G885" s="108" t="s">
        <v>576</v>
      </c>
      <c r="H885" s="105" t="n">
        <f aca="false">'[2]$ лето'!j885-'[2]$ лето'!au885-'[2]$ лето'!at885-'[2]$ лето'!as885-'[2]$ лето'!ar885-'[2]$ лето'!aq885-'[2]$ лето'!ap885-'[2]$ лето'!an885-'[2]$ лето'!am885-'[2]$ лето'!al885-'[2]$ лето'!ak885-'[2]$ лето'!aj885-'[2]$ лето'!ah885-'[2]$ лето'!ag885-'[2]$ лето'!af885-'[2]$ лето'!ae885-'[2]$ лето'!ad885-'[2]$ лето'!ab885-'[2]$ лето'!aa885-'[2]$ лето'!z885-'[2]$ лето'!y885-'[2]$ лето'!x885-'[2]$ лето'!v885-'[2]$ лето'!u885-'[2]$ лето'!t885-'[2]$ лето'!s885-'[2]$ лето'!r885-'[2]$ лето'!p885-'[2]$ лето'!o885-'[2]$ лето'!n885-'[2]$ лето'!m885-'[2]$ лето'!l885+'[2]$ лето'!k885+'[2]$ лето'!q885+'[2]$ лето'!w885+'[2]$ лето'!ac885+'[2]$ лето'!ai885+'[2]$ лето'!ao885</f>
        <v>4</v>
      </c>
      <c r="I885" s="109" t="n">
        <f aca="false">'[2]$ лето'!ay885*1.1</f>
        <v>2874.08</v>
      </c>
      <c r="J885" s="113"/>
    </row>
    <row r="886" customFormat="false" ht="15" hidden="true" customHeight="false" outlineLevel="0" collapsed="false">
      <c r="A886" s="115" t="s">
        <v>1461</v>
      </c>
      <c r="B886" s="115" t="s">
        <v>577</v>
      </c>
      <c r="C886" s="116" t="s">
        <v>1469</v>
      </c>
      <c r="D886" s="116"/>
      <c r="E886" s="116"/>
      <c r="F886" s="116"/>
      <c r="G886" s="108" t="s">
        <v>563</v>
      </c>
      <c r="H886" s="105" t="n">
        <f aca="false">'[2]$ лето'!j886-'[2]$ лето'!au886-'[2]$ лето'!at886-'[2]$ лето'!as886-'[2]$ лето'!ar886-'[2]$ лето'!aq886-'[2]$ лето'!ap886-'[2]$ лето'!an886-'[2]$ лето'!am886-'[2]$ лето'!al886-'[2]$ лето'!ak886-'[2]$ лето'!aj886-'[2]$ лето'!ah886-'[2]$ лето'!ag886-'[2]$ лето'!af886-'[2]$ лето'!ae886-'[2]$ лето'!ad886-'[2]$ лето'!ab886-'[2]$ лето'!aa886-'[2]$ лето'!z886-'[2]$ лето'!y886-'[2]$ лето'!x886-'[2]$ лето'!v886-'[2]$ лето'!u886-'[2]$ лето'!t886-'[2]$ лето'!s886-'[2]$ лето'!r886-'[2]$ лето'!p886-'[2]$ лето'!o886-'[2]$ лето'!n886-'[2]$ лето'!m886-'[2]$ лето'!l886+'[2]$ лето'!k886+'[2]$ лето'!q886+'[2]$ лето'!w886+'[2]$ лето'!ac886+'[2]$ лето'!ai886+'[2]$ лето'!ao886</f>
        <v>0</v>
      </c>
      <c r="I886" s="109" t="n">
        <f aca="false">'[2]$ лето'!ay886*1.1</f>
        <v>2464</v>
      </c>
      <c r="J886" s="113"/>
    </row>
    <row r="887" customFormat="false" ht="15" hidden="true" customHeight="false" outlineLevel="0" collapsed="false">
      <c r="A887" s="115" t="s">
        <v>1461</v>
      </c>
      <c r="B887" s="115" t="s">
        <v>583</v>
      </c>
      <c r="C887" s="116" t="s">
        <v>1470</v>
      </c>
      <c r="D887" s="116"/>
      <c r="E887" s="116"/>
      <c r="F887" s="116"/>
      <c r="G887" s="108"/>
      <c r="H887" s="105" t="n">
        <f aca="false">'[2]$ лето'!j887-'[2]$ лето'!au887-'[2]$ лето'!at887-'[2]$ лето'!as887-'[2]$ лето'!ar887-'[2]$ лето'!aq887-'[2]$ лето'!ap887-'[2]$ лето'!an887-'[2]$ лето'!am887-'[2]$ лето'!al887-'[2]$ лето'!ak887-'[2]$ лето'!aj887-'[2]$ лето'!ah887-'[2]$ лето'!ag887-'[2]$ лето'!af887-'[2]$ лето'!ae887-'[2]$ лето'!ad887-'[2]$ лето'!ab887-'[2]$ лето'!aa887-'[2]$ лето'!z887-'[2]$ лето'!y887-'[2]$ лето'!x887-'[2]$ лето'!v887-'[2]$ лето'!u887-'[2]$ лето'!t887-'[2]$ лето'!s887-'[2]$ лето'!r887-'[2]$ лето'!p887-'[2]$ лето'!o887-'[2]$ лето'!n887-'[2]$ лето'!m887-'[2]$ лето'!l887+'[2]$ лето'!k887+'[2]$ лето'!q887+'[2]$ лето'!w887+'[2]$ лето'!ac887+'[2]$ лето'!ai887+'[2]$ лето'!ao887</f>
        <v>0</v>
      </c>
      <c r="I887" s="109" t="n">
        <f aca="false">'[2]$ лето'!ay887*1.1</f>
        <v>2525.6</v>
      </c>
      <c r="J887" s="113"/>
    </row>
    <row r="888" customFormat="false" ht="15" hidden="false" customHeight="false" outlineLevel="0" collapsed="false">
      <c r="A888" s="115" t="s">
        <v>1461</v>
      </c>
      <c r="B888" s="115" t="s">
        <v>1471</v>
      </c>
      <c r="C888" s="116" t="s">
        <v>1472</v>
      </c>
      <c r="D888" s="116"/>
      <c r="E888" s="116"/>
      <c r="F888" s="116"/>
      <c r="G888" s="108"/>
      <c r="H888" s="105" t="n">
        <f aca="false">'[2]$ лето'!j888-'[2]$ лето'!au888-'[2]$ лето'!at888-'[2]$ лето'!as888-'[2]$ лето'!ar888-'[2]$ лето'!aq888-'[2]$ лето'!ap888-'[2]$ лето'!an888-'[2]$ лето'!am888-'[2]$ лето'!al888-'[2]$ лето'!ak888-'[2]$ лето'!aj888-'[2]$ лето'!ah888-'[2]$ лето'!ag888-'[2]$ лето'!af888-'[2]$ лето'!ae888-'[2]$ лето'!ad888-'[2]$ лето'!ab888-'[2]$ лето'!aa888-'[2]$ лето'!z888-'[2]$ лето'!y888-'[2]$ лето'!x888-'[2]$ лето'!v888-'[2]$ лето'!u888-'[2]$ лето'!t888-'[2]$ лето'!s888-'[2]$ лето'!r888-'[2]$ лето'!p888-'[2]$ лето'!o888-'[2]$ лето'!n888-'[2]$ лето'!m888-'[2]$ лето'!l888+'[2]$ лето'!k888+'[2]$ лето'!q888+'[2]$ лето'!w888+'[2]$ лето'!ac888+'[2]$ лето'!ai888+'[2]$ лето'!ao888</f>
        <v>4</v>
      </c>
      <c r="I888" s="109" t="n">
        <f aca="false">'[2]$ лето'!ay888*1.1</f>
        <v>2833.6</v>
      </c>
      <c r="J888" s="113" t="n">
        <v>2018</v>
      </c>
    </row>
    <row r="889" customFormat="false" ht="15" hidden="false" customHeight="false" outlineLevel="0" collapsed="false">
      <c r="A889" s="115" t="s">
        <v>1461</v>
      </c>
      <c r="B889" s="115" t="s">
        <v>613</v>
      </c>
      <c r="C889" s="107" t="s">
        <v>1473</v>
      </c>
      <c r="D889" s="107"/>
      <c r="E889" s="116"/>
      <c r="F889" s="116"/>
      <c r="G889" s="108"/>
      <c r="H889" s="105" t="n">
        <f aca="false">'[2]$ лето'!j889-'[2]$ лето'!au889-'[2]$ лето'!at889-'[2]$ лето'!as889-'[2]$ лето'!ar889-'[2]$ лето'!aq889-'[2]$ лето'!ap889-'[2]$ лето'!an889-'[2]$ лето'!am889-'[2]$ лето'!al889-'[2]$ лето'!ak889-'[2]$ лето'!aj889-'[2]$ лето'!ah889-'[2]$ лето'!ag889-'[2]$ лето'!af889-'[2]$ лето'!ae889-'[2]$ лето'!ad889-'[2]$ лето'!ab889-'[2]$ лето'!aa889-'[2]$ лето'!z889-'[2]$ лето'!y889-'[2]$ лето'!x889-'[2]$ лето'!v889-'[2]$ лето'!u889-'[2]$ лето'!t889-'[2]$ лето'!s889-'[2]$ лето'!r889-'[2]$ лето'!p889-'[2]$ лето'!o889-'[2]$ лето'!n889-'[2]$ лето'!m889-'[2]$ лето'!l889+'[2]$ лето'!k889+'[2]$ лето'!q889+'[2]$ лето'!w889+'[2]$ лето'!ac889+'[2]$ лето'!ai889+'[2]$ лето'!ao889</f>
        <v>4</v>
      </c>
      <c r="I889" s="109" t="n">
        <f aca="false">'[2]$ лето'!ay889*1.1</f>
        <v>3295.6</v>
      </c>
      <c r="J889" s="113"/>
    </row>
    <row r="890" customFormat="false" ht="15" hidden="false" customHeight="false" outlineLevel="0" collapsed="false">
      <c r="A890" s="115" t="s">
        <v>1461</v>
      </c>
      <c r="B890" s="115" t="s">
        <v>593</v>
      </c>
      <c r="C890" s="116" t="s">
        <v>1474</v>
      </c>
      <c r="D890" s="116"/>
      <c r="E890" s="116"/>
      <c r="F890" s="116"/>
      <c r="G890" s="108" t="s">
        <v>663</v>
      </c>
      <c r="H890" s="105" t="n">
        <f aca="false">'[2]$ лето'!j890-'[2]$ лето'!au890-'[2]$ лето'!at890-'[2]$ лето'!as890-'[2]$ лето'!ar890-'[2]$ лето'!aq890-'[2]$ лето'!ap890-'[2]$ лето'!an890-'[2]$ лето'!am890-'[2]$ лето'!al890-'[2]$ лето'!ak890-'[2]$ лето'!aj890-'[2]$ лето'!ah890-'[2]$ лето'!ag890-'[2]$ лето'!af890-'[2]$ лето'!ae890-'[2]$ лето'!ad890-'[2]$ лето'!ab890-'[2]$ лето'!aa890-'[2]$ лето'!z890-'[2]$ лето'!y890-'[2]$ лето'!x890-'[2]$ лето'!v890-'[2]$ лето'!u890-'[2]$ лето'!t890-'[2]$ лето'!s890-'[2]$ лето'!r890-'[2]$ лето'!p890-'[2]$ лето'!o890-'[2]$ лето'!n890-'[2]$ лето'!m890-'[2]$ лето'!l890+'[2]$ лето'!k890+'[2]$ лето'!q890+'[2]$ лето'!w890+'[2]$ лето'!ac890+'[2]$ лето'!ai890+'[2]$ лето'!ao890</f>
        <v>2</v>
      </c>
      <c r="I890" s="109" t="n">
        <f aca="false">'[2]$ лето'!ay890*1.1</f>
        <v>4065.6</v>
      </c>
      <c r="J890" s="113" t="n">
        <v>2017</v>
      </c>
    </row>
    <row r="891" customFormat="false" ht="15" hidden="true" customHeight="false" outlineLevel="0" collapsed="false">
      <c r="A891" s="115" t="s">
        <v>1461</v>
      </c>
      <c r="B891" s="115" t="s">
        <v>593</v>
      </c>
      <c r="C891" s="116" t="s">
        <v>1474</v>
      </c>
      <c r="D891" s="116"/>
      <c r="E891" s="116"/>
      <c r="F891" s="116"/>
      <c r="G891" s="108" t="s">
        <v>663</v>
      </c>
      <c r="H891" s="105" t="n">
        <f aca="false">'[2]$ лето'!j891-'[2]$ лето'!au891-'[2]$ лето'!at891-'[2]$ лето'!as891-'[2]$ лето'!ar891-'[2]$ лето'!aq891-'[2]$ лето'!ap891-'[2]$ лето'!an891-'[2]$ лето'!am891-'[2]$ лето'!al891-'[2]$ лето'!ak891-'[2]$ лето'!aj891-'[2]$ лето'!ah891-'[2]$ лето'!ag891-'[2]$ лето'!af891-'[2]$ лето'!ae891-'[2]$ лето'!ad891-'[2]$ лето'!ab891-'[2]$ лето'!aa891-'[2]$ лето'!z891-'[2]$ лето'!y891-'[2]$ лето'!x891-'[2]$ лето'!v891-'[2]$ лето'!u891-'[2]$ лето'!t891-'[2]$ лето'!s891-'[2]$ лето'!r891-'[2]$ лето'!p891-'[2]$ лето'!o891-'[2]$ лето'!n891-'[2]$ лето'!m891-'[2]$ лето'!l891+'[2]$ лето'!k891+'[2]$ лето'!q891+'[2]$ лето'!w891+'[2]$ лето'!ac891+'[2]$ лето'!ai891+'[2]$ лето'!ao891</f>
        <v>0</v>
      </c>
      <c r="I891" s="109" t="n">
        <f aca="false">'[2]$ лето'!ay891*1.1</f>
        <v>4188.8</v>
      </c>
      <c r="J891" s="113" t="n">
        <v>2018</v>
      </c>
    </row>
    <row r="892" customFormat="false" ht="15" hidden="false" customHeight="false" outlineLevel="0" collapsed="false">
      <c r="A892" s="115" t="s">
        <v>1461</v>
      </c>
      <c r="B892" s="115" t="s">
        <v>586</v>
      </c>
      <c r="C892" s="116" t="s">
        <v>1475</v>
      </c>
      <c r="D892" s="116"/>
      <c r="E892" s="116"/>
      <c r="F892" s="116"/>
      <c r="G892" s="108" t="s">
        <v>520</v>
      </c>
      <c r="H892" s="105" t="n">
        <f aca="false">'[2]$ лето'!j892-'[2]$ лето'!au892-'[2]$ лето'!at892-'[2]$ лето'!as892-'[2]$ лето'!ar892-'[2]$ лето'!aq892-'[2]$ лето'!ap892-'[2]$ лето'!an892-'[2]$ лето'!am892-'[2]$ лето'!al892-'[2]$ лето'!ak892-'[2]$ лето'!aj892-'[2]$ лето'!ah892-'[2]$ лето'!ag892-'[2]$ лето'!af892-'[2]$ лето'!ae892-'[2]$ лето'!ad892-'[2]$ лето'!ab892-'[2]$ лето'!aa892-'[2]$ лето'!z892-'[2]$ лето'!y892-'[2]$ лето'!x892-'[2]$ лето'!v892-'[2]$ лето'!u892-'[2]$ лето'!t892-'[2]$ лето'!s892-'[2]$ лето'!r892-'[2]$ лето'!p892-'[2]$ лето'!o892-'[2]$ лето'!n892-'[2]$ лето'!m892-'[2]$ лето'!l892+'[2]$ лето'!k892+'[2]$ лето'!q892+'[2]$ лето'!w892+'[2]$ лето'!ac892+'[2]$ лето'!ai892+'[2]$ лето'!ao892</f>
        <v>8</v>
      </c>
      <c r="I892" s="109" t="n">
        <f aca="false">'[2]$ лето'!ay892*1.1</f>
        <v>2063.6</v>
      </c>
      <c r="J892" s="113" t="n">
        <v>2017</v>
      </c>
    </row>
    <row r="893" customFormat="false" ht="15" hidden="true" customHeight="false" outlineLevel="0" collapsed="false">
      <c r="A893" s="115" t="s">
        <v>1461</v>
      </c>
      <c r="B893" s="115" t="s">
        <v>677</v>
      </c>
      <c r="C893" s="116" t="s">
        <v>1476</v>
      </c>
      <c r="D893" s="116"/>
      <c r="E893" s="116"/>
      <c r="F893" s="116"/>
      <c r="G893" s="108"/>
      <c r="H893" s="105" t="n">
        <f aca="false">'[2]$ лето'!j893-'[2]$ лето'!au893-'[2]$ лето'!at893-'[2]$ лето'!as893-'[2]$ лето'!ar893-'[2]$ лето'!aq893-'[2]$ лето'!ap893-'[2]$ лето'!an893-'[2]$ лето'!am893-'[2]$ лето'!al893-'[2]$ лето'!ak893-'[2]$ лето'!aj893-'[2]$ лето'!ah893-'[2]$ лето'!ag893-'[2]$ лето'!af893-'[2]$ лето'!ae893-'[2]$ лето'!ad893-'[2]$ лето'!ab893-'[2]$ лето'!aa893-'[2]$ лето'!z893-'[2]$ лето'!y893-'[2]$ лето'!x893-'[2]$ лето'!v893-'[2]$ лето'!u893-'[2]$ лето'!t893-'[2]$ лето'!s893-'[2]$ лето'!r893-'[2]$ лето'!p893-'[2]$ лето'!o893-'[2]$ лето'!n893-'[2]$ лето'!m893-'[2]$ лето'!l893+'[2]$ лето'!k893+'[2]$ лето'!q893+'[2]$ лето'!w893+'[2]$ лето'!ac893+'[2]$ лето'!ai893+'[2]$ лето'!ao893</f>
        <v>0</v>
      </c>
      <c r="I893" s="109" t="n">
        <f aca="false">'[2]$ лето'!ay893*1.1</f>
        <v>2679.6</v>
      </c>
      <c r="J893" s="113" t="n">
        <v>2017</v>
      </c>
    </row>
    <row r="894" customFormat="false" ht="15" hidden="false" customHeight="false" outlineLevel="0" collapsed="false">
      <c r="A894" s="115" t="s">
        <v>1461</v>
      </c>
      <c r="B894" s="115" t="s">
        <v>621</v>
      </c>
      <c r="C894" s="116" t="s">
        <v>1477</v>
      </c>
      <c r="D894" s="116"/>
      <c r="E894" s="116"/>
      <c r="F894" s="116"/>
      <c r="G894" s="108" t="s">
        <v>520</v>
      </c>
      <c r="H894" s="105" t="n">
        <f aca="false">'[2]$ лето'!j894-'[2]$ лето'!au894-'[2]$ лето'!at894-'[2]$ лето'!as894-'[2]$ лето'!ar894-'[2]$ лето'!aq894-'[2]$ лето'!ap894-'[2]$ лето'!an894-'[2]$ лето'!am894-'[2]$ лето'!al894-'[2]$ лето'!ak894-'[2]$ лето'!aj894-'[2]$ лето'!ah894-'[2]$ лето'!ag894-'[2]$ лето'!af894-'[2]$ лето'!ae894-'[2]$ лето'!ad894-'[2]$ лето'!ab894-'[2]$ лето'!aa894-'[2]$ лето'!z894-'[2]$ лето'!y894-'[2]$ лето'!x894-'[2]$ лето'!v894-'[2]$ лето'!u894-'[2]$ лето'!t894-'[2]$ лето'!s894-'[2]$ лето'!r894-'[2]$ лето'!p894-'[2]$ лето'!o894-'[2]$ лето'!n894-'[2]$ лето'!m894-'[2]$ лето'!l894+'[2]$ лето'!k894+'[2]$ лето'!q894+'[2]$ лето'!w894+'[2]$ лето'!ac894+'[2]$ лето'!ai894+'[2]$ лето'!ao894</f>
        <v>4</v>
      </c>
      <c r="I894" s="109" t="n">
        <f aca="false">'[2]$ лето'!ay894*1.1</f>
        <v>2310</v>
      </c>
      <c r="J894" s="113"/>
    </row>
    <row r="895" customFormat="false" ht="15" hidden="true" customHeight="false" outlineLevel="0" collapsed="false">
      <c r="A895" s="115" t="s">
        <v>1461</v>
      </c>
      <c r="B895" s="115" t="s">
        <v>589</v>
      </c>
      <c r="C895" s="116" t="s">
        <v>1478</v>
      </c>
      <c r="D895" s="116"/>
      <c r="E895" s="116"/>
      <c r="F895" s="116"/>
      <c r="G895" s="108"/>
      <c r="H895" s="105" t="n">
        <f aca="false">'[2]$ лето'!j895-'[2]$ лето'!au895-'[2]$ лето'!at895-'[2]$ лето'!as895-'[2]$ лето'!ar895-'[2]$ лето'!aq895-'[2]$ лето'!ap895-'[2]$ лето'!an895-'[2]$ лето'!am895-'[2]$ лето'!al895-'[2]$ лето'!ak895-'[2]$ лето'!aj895-'[2]$ лето'!ah895-'[2]$ лето'!ag895-'[2]$ лето'!af895-'[2]$ лето'!ae895-'[2]$ лето'!ad895-'[2]$ лето'!ab895-'[2]$ лето'!aa895-'[2]$ лето'!z895-'[2]$ лето'!y895-'[2]$ лето'!x895-'[2]$ лето'!v895-'[2]$ лето'!u895-'[2]$ лето'!t895-'[2]$ лето'!s895-'[2]$ лето'!r895-'[2]$ лето'!p895-'[2]$ лето'!o895-'[2]$ лето'!n895-'[2]$ лето'!m895-'[2]$ лето'!l895+'[2]$ лето'!k895+'[2]$ лето'!q895+'[2]$ лето'!w895+'[2]$ лето'!ac895+'[2]$ лето'!ai895+'[2]$ лето'!ao895</f>
        <v>0</v>
      </c>
      <c r="I895" s="109" t="n">
        <f aca="false">'[2]$ лето'!ay895*1.1</f>
        <v>3141.6</v>
      </c>
      <c r="J895" s="113" t="n">
        <v>2015</v>
      </c>
    </row>
    <row r="896" customFormat="false" ht="15" hidden="false" customHeight="false" outlineLevel="0" collapsed="false">
      <c r="A896" s="115" t="s">
        <v>1461</v>
      </c>
      <c r="B896" s="115" t="s">
        <v>981</v>
      </c>
      <c r="C896" s="107" t="s">
        <v>1479</v>
      </c>
      <c r="D896" s="107"/>
      <c r="E896" s="116"/>
      <c r="F896" s="116"/>
      <c r="G896" s="108" t="s">
        <v>570</v>
      </c>
      <c r="H896" s="105" t="n">
        <f aca="false">'[2]$ лето'!j896-'[2]$ лето'!au896-'[2]$ лето'!at896-'[2]$ лето'!as896-'[2]$ лето'!ar896-'[2]$ лето'!aq896-'[2]$ лето'!ap896-'[2]$ лето'!an896-'[2]$ лето'!am896-'[2]$ лето'!al896-'[2]$ лето'!ak896-'[2]$ лето'!aj896-'[2]$ лето'!ah896-'[2]$ лето'!ag896-'[2]$ лето'!af896-'[2]$ лето'!ae896-'[2]$ лето'!ad896-'[2]$ лето'!ab896-'[2]$ лето'!aa896-'[2]$ лето'!z896-'[2]$ лето'!y896-'[2]$ лето'!x896-'[2]$ лето'!v896-'[2]$ лето'!u896-'[2]$ лето'!t896-'[2]$ лето'!s896-'[2]$ лето'!r896-'[2]$ лето'!p896-'[2]$ лето'!o896-'[2]$ лето'!n896-'[2]$ лето'!m896-'[2]$ лето'!l896+'[2]$ лето'!k896+'[2]$ лето'!q896+'[2]$ лето'!w896+'[2]$ лето'!ac896+'[2]$ лето'!ai896+'[2]$ лето'!ao896</f>
        <v>4</v>
      </c>
      <c r="I896" s="109" t="n">
        <f aca="false">'[2]$ лето'!ay896*1.1</f>
        <v>3172.4</v>
      </c>
      <c r="J896" s="113" t="n">
        <v>2017</v>
      </c>
    </row>
    <row r="897" customFormat="false" ht="15" hidden="false" customHeight="false" outlineLevel="0" collapsed="false">
      <c r="A897" s="123" t="s">
        <v>1480</v>
      </c>
      <c r="B897" s="115" t="s">
        <v>606</v>
      </c>
      <c r="C897" s="116" t="s">
        <v>1451</v>
      </c>
      <c r="D897" s="116"/>
      <c r="E897" s="116"/>
      <c r="F897" s="116"/>
      <c r="G897" s="108" t="s">
        <v>609</v>
      </c>
      <c r="H897" s="105" t="n">
        <f aca="false">'[2]$ лето'!j897-'[2]$ лето'!au897-'[2]$ лето'!at897-'[2]$ лето'!as897-'[2]$ лето'!ar897-'[2]$ лето'!aq897-'[2]$ лето'!ap897-'[2]$ лето'!an897-'[2]$ лето'!am897-'[2]$ лето'!al897-'[2]$ лето'!ak897-'[2]$ лето'!aj897-'[2]$ лето'!ah897-'[2]$ лето'!ag897-'[2]$ лето'!af897-'[2]$ лето'!ae897-'[2]$ лето'!ad897-'[2]$ лето'!ab897-'[2]$ лето'!aa897-'[2]$ лето'!z897-'[2]$ лето'!y897-'[2]$ лето'!x897-'[2]$ лето'!v897-'[2]$ лето'!u897-'[2]$ лето'!t897-'[2]$ лето'!s897-'[2]$ лето'!r897-'[2]$ лето'!p897-'[2]$ лето'!o897-'[2]$ лето'!n897-'[2]$ лето'!m897-'[2]$ лето'!l897+'[2]$ лето'!k897+'[2]$ лето'!q897+'[2]$ лето'!w897+'[2]$ лето'!ac897+'[2]$ лето'!ai897+'[2]$ лето'!ao897</f>
        <v>4</v>
      </c>
      <c r="I897" s="109" t="n">
        <f aca="false">'[2]$ лето'!ay897*1.1</f>
        <v>3388</v>
      </c>
      <c r="J897" s="113" t="n">
        <v>2017</v>
      </c>
    </row>
    <row r="898" customFormat="false" ht="15" hidden="false" customHeight="false" outlineLevel="0" collapsed="false">
      <c r="A898" s="123" t="s">
        <v>1480</v>
      </c>
      <c r="B898" s="115" t="s">
        <v>586</v>
      </c>
      <c r="C898" s="116" t="s">
        <v>1481</v>
      </c>
      <c r="D898" s="116"/>
      <c r="E898" s="116"/>
      <c r="F898" s="116"/>
      <c r="G898" s="108" t="s">
        <v>520</v>
      </c>
      <c r="H898" s="105" t="n">
        <f aca="false">'[2]$ лето'!j898-'[2]$ лето'!au898-'[2]$ лето'!at898-'[2]$ лето'!as898-'[2]$ лето'!ar898-'[2]$ лето'!aq898-'[2]$ лето'!ap898-'[2]$ лето'!an898-'[2]$ лето'!am898-'[2]$ лето'!al898-'[2]$ лето'!ak898-'[2]$ лето'!aj898-'[2]$ лето'!ah898-'[2]$ лето'!ag898-'[2]$ лето'!af898-'[2]$ лето'!ae898-'[2]$ лето'!ad898-'[2]$ лето'!ab898-'[2]$ лето'!aa898-'[2]$ лето'!z898-'[2]$ лето'!y898-'[2]$ лето'!x898-'[2]$ лето'!v898-'[2]$ лето'!u898-'[2]$ лето'!t898-'[2]$ лето'!s898-'[2]$ лето'!r898-'[2]$ лето'!p898-'[2]$ лето'!o898-'[2]$ лето'!n898-'[2]$ лето'!m898-'[2]$ лето'!l898+'[2]$ лето'!k898+'[2]$ лето'!q898+'[2]$ лето'!w898+'[2]$ лето'!ac898+'[2]$ лето'!ai898+'[2]$ лето'!ao898</f>
        <v>4</v>
      </c>
      <c r="I898" s="109" t="n">
        <f aca="false">'[2]$ лето'!ay898*1.1</f>
        <v>2464</v>
      </c>
      <c r="J898" s="113" t="n">
        <v>2017</v>
      </c>
    </row>
    <row r="899" customFormat="false" ht="15" hidden="true" customHeight="false" outlineLevel="0" collapsed="false">
      <c r="A899" s="123" t="s">
        <v>1480</v>
      </c>
      <c r="B899" s="115" t="s">
        <v>615</v>
      </c>
      <c r="C899" s="116" t="s">
        <v>1482</v>
      </c>
      <c r="D899" s="116"/>
      <c r="E899" s="116"/>
      <c r="F899" s="116"/>
      <c r="G899" s="108"/>
      <c r="H899" s="105" t="n">
        <f aca="false">'[2]$ лето'!j899-'[2]$ лето'!au899-'[2]$ лето'!at899-'[2]$ лето'!as899-'[2]$ лето'!ar899-'[2]$ лето'!aq899-'[2]$ лето'!ap899-'[2]$ лето'!an899-'[2]$ лето'!am899-'[2]$ лето'!al899-'[2]$ лето'!ak899-'[2]$ лето'!aj899-'[2]$ лето'!ah899-'[2]$ лето'!ag899-'[2]$ лето'!af899-'[2]$ лето'!ae899-'[2]$ лето'!ad899-'[2]$ лето'!ab899-'[2]$ лето'!aa899-'[2]$ лето'!z899-'[2]$ лето'!y899-'[2]$ лето'!x899-'[2]$ лето'!v899-'[2]$ лето'!u899-'[2]$ лето'!t899-'[2]$ лето'!s899-'[2]$ лето'!r899-'[2]$ лето'!p899-'[2]$ лето'!o899-'[2]$ лето'!n899-'[2]$ лето'!m899-'[2]$ лето'!l899+'[2]$ лето'!k899+'[2]$ лето'!q899+'[2]$ лето'!w899+'[2]$ лето'!ac899+'[2]$ лето'!ai899+'[2]$ лето'!ao899</f>
        <v>0</v>
      </c>
      <c r="I899" s="109" t="n">
        <f aca="false">'[2]$ лето'!ay899*1.1</f>
        <v>2525.6</v>
      </c>
      <c r="J899" s="113"/>
    </row>
    <row r="900" customFormat="false" ht="15" hidden="true" customHeight="false" outlineLevel="0" collapsed="false">
      <c r="A900" s="123" t="s">
        <v>1480</v>
      </c>
      <c r="B900" s="115" t="s">
        <v>589</v>
      </c>
      <c r="C900" s="116" t="s">
        <v>1483</v>
      </c>
      <c r="D900" s="116"/>
      <c r="E900" s="116"/>
      <c r="F900" s="116"/>
      <c r="G900" s="108"/>
      <c r="H900" s="105" t="n">
        <f aca="false">'[2]$ лето'!j900-'[2]$ лето'!au900-'[2]$ лето'!at900-'[2]$ лето'!as900-'[2]$ лето'!ar900-'[2]$ лето'!aq900-'[2]$ лето'!ap900-'[2]$ лето'!an900-'[2]$ лето'!am900-'[2]$ лето'!al900-'[2]$ лето'!ak900-'[2]$ лето'!aj900-'[2]$ лето'!ah900-'[2]$ лето'!ag900-'[2]$ лето'!af900-'[2]$ лето'!ae900-'[2]$ лето'!ad900-'[2]$ лето'!ab900-'[2]$ лето'!aa900-'[2]$ лето'!z900-'[2]$ лето'!y900-'[2]$ лето'!x900-'[2]$ лето'!v900-'[2]$ лето'!u900-'[2]$ лето'!t900-'[2]$ лето'!s900-'[2]$ лето'!r900-'[2]$ лето'!p900-'[2]$ лето'!o900-'[2]$ лето'!n900-'[2]$ лето'!m900-'[2]$ лето'!l900+'[2]$ лето'!k900+'[2]$ лето'!q900+'[2]$ лето'!w900+'[2]$ лето'!ac900+'[2]$ лето'!ai900+'[2]$ лето'!ao900</f>
        <v>0</v>
      </c>
      <c r="I900" s="109" t="n">
        <f aca="false">'[2]$ лето'!ay900*1.1</f>
        <v>3234</v>
      </c>
      <c r="J900" s="113" t="n">
        <v>2016</v>
      </c>
    </row>
    <row r="901" customFormat="false" ht="15" hidden="true" customHeight="false" outlineLevel="0" collapsed="false">
      <c r="A901" s="115" t="s">
        <v>1484</v>
      </c>
      <c r="B901" s="115" t="s">
        <v>601</v>
      </c>
      <c r="C901" s="116" t="s">
        <v>1485</v>
      </c>
      <c r="D901" s="116"/>
      <c r="E901" s="116"/>
      <c r="F901" s="116"/>
      <c r="G901" s="108"/>
      <c r="H901" s="105" t="n">
        <f aca="false">'[2]$ лето'!j901-'[2]$ лето'!au901-'[2]$ лето'!at901-'[2]$ лето'!as901-'[2]$ лето'!ar901-'[2]$ лето'!aq901-'[2]$ лето'!ap901-'[2]$ лето'!an901-'[2]$ лето'!am901-'[2]$ лето'!al901-'[2]$ лето'!ak901-'[2]$ лето'!aj901-'[2]$ лето'!ah901-'[2]$ лето'!ag901-'[2]$ лето'!af901-'[2]$ лето'!ae901-'[2]$ лето'!ad901-'[2]$ лето'!ab901-'[2]$ лето'!aa901-'[2]$ лето'!z901-'[2]$ лето'!y901-'[2]$ лето'!x901-'[2]$ лето'!v901-'[2]$ лето'!u901-'[2]$ лето'!t901-'[2]$ лето'!s901-'[2]$ лето'!r901-'[2]$ лето'!p901-'[2]$ лето'!o901-'[2]$ лето'!n901-'[2]$ лето'!m901-'[2]$ лето'!l901+'[2]$ лето'!k901+'[2]$ лето'!q901+'[2]$ лето'!w901+'[2]$ лето'!ac901+'[2]$ лето'!ai901+'[2]$ лето'!ao901</f>
        <v>0</v>
      </c>
      <c r="I901" s="109" t="n">
        <f aca="false">'[2]$ лето'!ay901*1.1</f>
        <v>3172.4</v>
      </c>
      <c r="J901" s="113"/>
    </row>
    <row r="902" customFormat="false" ht="15" hidden="false" customHeight="false" outlineLevel="0" collapsed="false">
      <c r="A902" s="115" t="s">
        <v>1484</v>
      </c>
      <c r="B902" s="115" t="s">
        <v>601</v>
      </c>
      <c r="C902" s="107" t="s">
        <v>1486</v>
      </c>
      <c r="D902" s="107"/>
      <c r="E902" s="116"/>
      <c r="F902" s="116"/>
      <c r="G902" s="108"/>
      <c r="H902" s="105" t="n">
        <f aca="false">'[2]$ лето'!j902-'[2]$ лето'!au902-'[2]$ лето'!at902-'[2]$ лето'!as902-'[2]$ лето'!ar902-'[2]$ лето'!aq902-'[2]$ лето'!ap902-'[2]$ лето'!an902-'[2]$ лето'!am902-'[2]$ лето'!al902-'[2]$ лето'!ak902-'[2]$ лето'!aj902-'[2]$ лето'!ah902-'[2]$ лето'!ag902-'[2]$ лето'!af902-'[2]$ лето'!ae902-'[2]$ лето'!ad902-'[2]$ лето'!ab902-'[2]$ лето'!aa902-'[2]$ лето'!z902-'[2]$ лето'!y902-'[2]$ лето'!x902-'[2]$ лето'!v902-'[2]$ лето'!u902-'[2]$ лето'!t902-'[2]$ лето'!s902-'[2]$ лето'!r902-'[2]$ лето'!p902-'[2]$ лето'!o902-'[2]$ лето'!n902-'[2]$ лето'!m902-'[2]$ лето'!l902+'[2]$ лето'!k902+'[2]$ лето'!q902+'[2]$ лето'!w902+'[2]$ лето'!ac902+'[2]$ лето'!ai902+'[2]$ лето'!ao902</f>
        <v>4</v>
      </c>
      <c r="I902" s="109" t="n">
        <f aca="false">'[2]$ лето'!ay902*1.1</f>
        <v>3388</v>
      </c>
      <c r="J902" s="113"/>
    </row>
    <row r="903" customFormat="false" ht="15" hidden="true" customHeight="false" outlineLevel="0" collapsed="false">
      <c r="A903" s="115" t="s">
        <v>1484</v>
      </c>
      <c r="B903" s="115" t="s">
        <v>1487</v>
      </c>
      <c r="C903" s="107" t="s">
        <v>1488</v>
      </c>
      <c r="D903" s="107"/>
      <c r="E903" s="107"/>
      <c r="F903" s="107"/>
      <c r="G903" s="108" t="s">
        <v>595</v>
      </c>
      <c r="H903" s="105" t="n">
        <f aca="false">'[2]$ лето'!j903-'[2]$ лето'!au903-'[2]$ лето'!at903-'[2]$ лето'!as903-'[2]$ лето'!ar903-'[2]$ лето'!aq903-'[2]$ лето'!ap903-'[2]$ лето'!an903-'[2]$ лето'!am903-'[2]$ лето'!al903-'[2]$ лето'!ak903-'[2]$ лето'!aj903-'[2]$ лето'!ah903-'[2]$ лето'!ag903-'[2]$ лето'!af903-'[2]$ лето'!ae903-'[2]$ лето'!ad903-'[2]$ лето'!ab903-'[2]$ лето'!aa903-'[2]$ лето'!z903-'[2]$ лето'!y903-'[2]$ лето'!x903-'[2]$ лето'!v903-'[2]$ лето'!u903-'[2]$ лето'!t903-'[2]$ лето'!s903-'[2]$ лето'!r903-'[2]$ лето'!p903-'[2]$ лето'!o903-'[2]$ лето'!n903-'[2]$ лето'!m903-'[2]$ лето'!l903+'[2]$ лето'!k903+'[2]$ лето'!q903+'[2]$ лето'!w903+'[2]$ лето'!ac903+'[2]$ лето'!ai903+'[2]$ лето'!ao903</f>
        <v>0</v>
      </c>
      <c r="I903" s="109" t="n">
        <f aca="false">'[2]$ лето'!ay903*1.1</f>
        <v>2156</v>
      </c>
      <c r="J903" s="113" t="n">
        <v>2016</v>
      </c>
    </row>
    <row r="904" customFormat="false" ht="15" hidden="false" customHeight="false" outlineLevel="0" collapsed="false">
      <c r="A904" s="115" t="s">
        <v>1484</v>
      </c>
      <c r="B904" s="115" t="s">
        <v>606</v>
      </c>
      <c r="C904" s="107" t="s">
        <v>1489</v>
      </c>
      <c r="D904" s="107"/>
      <c r="E904" s="116"/>
      <c r="F904" s="116"/>
      <c r="G904" s="108"/>
      <c r="H904" s="105" t="n">
        <f aca="false">'[2]$ лето'!j904-'[2]$ лето'!au904-'[2]$ лето'!at904-'[2]$ лето'!as904-'[2]$ лето'!ar904-'[2]$ лето'!aq904-'[2]$ лето'!ap904-'[2]$ лето'!an904-'[2]$ лето'!am904-'[2]$ лето'!al904-'[2]$ лето'!ak904-'[2]$ лето'!aj904-'[2]$ лето'!ah904-'[2]$ лето'!ag904-'[2]$ лето'!af904-'[2]$ лето'!ae904-'[2]$ лето'!ad904-'[2]$ лето'!ab904-'[2]$ лето'!aa904-'[2]$ лето'!z904-'[2]$ лето'!y904-'[2]$ лето'!x904-'[2]$ лето'!v904-'[2]$ лето'!u904-'[2]$ лето'!t904-'[2]$ лето'!s904-'[2]$ лето'!r904-'[2]$ лето'!p904-'[2]$ лето'!o904-'[2]$ лето'!n904-'[2]$ лето'!m904-'[2]$ лето'!l904+'[2]$ лето'!k904+'[2]$ лето'!q904+'[2]$ лето'!w904+'[2]$ лето'!ac904+'[2]$ лето'!ai904+'[2]$ лето'!ao904</f>
        <v>4</v>
      </c>
      <c r="I904" s="109" t="n">
        <f aca="false">'[2]$ лето'!ay904*1.1</f>
        <v>3326.4</v>
      </c>
      <c r="J904" s="113" t="n">
        <v>2016</v>
      </c>
    </row>
    <row r="905" customFormat="false" ht="15" hidden="false" customHeight="false" outlineLevel="0" collapsed="false">
      <c r="A905" s="115" t="s">
        <v>1484</v>
      </c>
      <c r="B905" s="115" t="s">
        <v>593</v>
      </c>
      <c r="C905" s="116" t="s">
        <v>1082</v>
      </c>
      <c r="D905" s="116"/>
      <c r="E905" s="116"/>
      <c r="F905" s="116"/>
      <c r="G905" s="108"/>
      <c r="H905" s="105" t="n">
        <f aca="false">'[2]$ лето'!j905-'[2]$ лето'!au905-'[2]$ лето'!at905-'[2]$ лето'!as905-'[2]$ лето'!ar905-'[2]$ лето'!aq905-'[2]$ лето'!ap905-'[2]$ лето'!an905-'[2]$ лето'!am905-'[2]$ лето'!al905-'[2]$ лето'!ak905-'[2]$ лето'!aj905-'[2]$ лето'!ah905-'[2]$ лето'!ag905-'[2]$ лето'!af905-'[2]$ лето'!ae905-'[2]$ лето'!ad905-'[2]$ лето'!ab905-'[2]$ лето'!aa905-'[2]$ лето'!z905-'[2]$ лето'!y905-'[2]$ лето'!x905-'[2]$ лето'!v905-'[2]$ лето'!u905-'[2]$ лето'!t905-'[2]$ лето'!s905-'[2]$ лето'!r905-'[2]$ лето'!p905-'[2]$ лето'!o905-'[2]$ лето'!n905-'[2]$ лето'!m905-'[2]$ лето'!l905+'[2]$ лето'!k905+'[2]$ лето'!q905+'[2]$ лето'!w905+'[2]$ лето'!ac905+'[2]$ лето'!ai905+'[2]$ лето'!ao905</f>
        <v>4</v>
      </c>
      <c r="I905" s="109" t="n">
        <f aca="false">'[2]$ лето'!ay905*1.1</f>
        <v>3850</v>
      </c>
    </row>
    <row r="906" customFormat="false" ht="15" hidden="false" customHeight="false" outlineLevel="0" collapsed="false">
      <c r="A906" s="115" t="s">
        <v>1484</v>
      </c>
      <c r="B906" s="115" t="s">
        <v>593</v>
      </c>
      <c r="C906" s="116" t="s">
        <v>1490</v>
      </c>
      <c r="D906" s="116"/>
      <c r="E906" s="116"/>
      <c r="F906" s="116"/>
      <c r="G906" s="108"/>
      <c r="H906" s="105" t="n">
        <f aca="false">'[2]$ лето'!j906-'[2]$ лето'!au906-'[2]$ лето'!at906-'[2]$ лето'!as906-'[2]$ лето'!ar906-'[2]$ лето'!aq906-'[2]$ лето'!ap906-'[2]$ лето'!an906-'[2]$ лето'!am906-'[2]$ лето'!al906-'[2]$ лето'!ak906-'[2]$ лето'!aj906-'[2]$ лето'!ah906-'[2]$ лето'!ag906-'[2]$ лето'!af906-'[2]$ лето'!ae906-'[2]$ лето'!ad906-'[2]$ лето'!ab906-'[2]$ лето'!aa906-'[2]$ лето'!z906-'[2]$ лето'!y906-'[2]$ лето'!x906-'[2]$ лето'!v906-'[2]$ лето'!u906-'[2]$ лето'!t906-'[2]$ лето'!s906-'[2]$ лето'!r906-'[2]$ лето'!p906-'[2]$ лето'!o906-'[2]$ лето'!n906-'[2]$ лето'!m906-'[2]$ лето'!l906+'[2]$ лето'!k906+'[2]$ лето'!q906+'[2]$ лето'!w906+'[2]$ лето'!ac906+'[2]$ лето'!ai906+'[2]$ лето'!ao906</f>
        <v>4</v>
      </c>
      <c r="I906" s="109" t="n">
        <f aca="false">'[2]$ лето'!ay906*1.1</f>
        <v>3542</v>
      </c>
    </row>
    <row r="907" customFormat="false" ht="15" hidden="false" customHeight="false" outlineLevel="0" collapsed="false">
      <c r="A907" s="115" t="s">
        <v>1484</v>
      </c>
      <c r="B907" s="115" t="s">
        <v>615</v>
      </c>
      <c r="C907" s="116" t="s">
        <v>1491</v>
      </c>
      <c r="D907" s="116"/>
      <c r="E907" s="116" t="n">
        <v>114</v>
      </c>
      <c r="F907" s="116" t="s">
        <v>1455</v>
      </c>
      <c r="G907" s="108"/>
      <c r="H907" s="105" t="n">
        <f aca="false">'[2]$ лето'!j907-'[2]$ лето'!au907-'[2]$ лето'!at907-'[2]$ лето'!as907-'[2]$ лето'!ar907-'[2]$ лето'!aq907-'[2]$ лето'!ap907-'[2]$ лето'!an907-'[2]$ лето'!am907-'[2]$ лето'!al907-'[2]$ лето'!ak907-'[2]$ лето'!aj907-'[2]$ лето'!ah907-'[2]$ лето'!ag907-'[2]$ лето'!af907-'[2]$ лето'!ae907-'[2]$ лето'!ad907-'[2]$ лето'!ab907-'[2]$ лето'!aa907-'[2]$ лето'!z907-'[2]$ лето'!y907-'[2]$ лето'!x907-'[2]$ лето'!v907-'[2]$ лето'!u907-'[2]$ лето'!t907-'[2]$ лето'!s907-'[2]$ лето'!r907-'[2]$ лето'!p907-'[2]$ лето'!o907-'[2]$ лето'!n907-'[2]$ лето'!m907-'[2]$ лето'!l907+'[2]$ лето'!k907+'[2]$ лето'!q907+'[2]$ лето'!w907+'[2]$ лето'!ac907+'[2]$ лето'!ai907+'[2]$ лето'!ao907</f>
        <v>4</v>
      </c>
      <c r="I907" s="109" t="n">
        <f aca="false">'[2]$ лето'!ay907*1.1</f>
        <v>2464</v>
      </c>
    </row>
    <row r="908" customFormat="false" ht="15" hidden="true" customHeight="false" outlineLevel="0" collapsed="false">
      <c r="A908" s="115" t="s">
        <v>1484</v>
      </c>
      <c r="B908" s="115" t="s">
        <v>589</v>
      </c>
      <c r="C908" s="116" t="s">
        <v>1492</v>
      </c>
      <c r="D908" s="116"/>
      <c r="E908" s="116"/>
      <c r="F908" s="116"/>
      <c r="G908" s="108"/>
      <c r="H908" s="105" t="n">
        <f aca="false">'[2]$ лето'!j908-'[2]$ лето'!au908-'[2]$ лето'!at908-'[2]$ лето'!as908-'[2]$ лето'!ar908-'[2]$ лето'!aq908-'[2]$ лето'!ap908-'[2]$ лето'!an908-'[2]$ лето'!am908-'[2]$ лето'!al908-'[2]$ лето'!ak908-'[2]$ лето'!aj908-'[2]$ лето'!ah908-'[2]$ лето'!ag908-'[2]$ лето'!af908-'[2]$ лето'!ae908-'[2]$ лето'!ad908-'[2]$ лето'!ab908-'[2]$ лето'!aa908-'[2]$ лето'!z908-'[2]$ лето'!y908-'[2]$ лето'!x908-'[2]$ лето'!v908-'[2]$ лето'!u908-'[2]$ лето'!t908-'[2]$ лето'!s908-'[2]$ лето'!r908-'[2]$ лето'!p908-'[2]$ лето'!o908-'[2]$ лето'!n908-'[2]$ лето'!m908-'[2]$ лето'!l908+'[2]$ лето'!k908+'[2]$ лето'!q908+'[2]$ лето'!w908+'[2]$ лето'!ac908+'[2]$ лето'!ai908+'[2]$ лето'!ao908</f>
        <v>0</v>
      </c>
      <c r="I908" s="109" t="n">
        <f aca="false">'[2]$ лето'!ay908*1.1</f>
        <v>3234</v>
      </c>
    </row>
    <row r="909" customFormat="false" ht="15" hidden="true" customHeight="false" outlineLevel="0" collapsed="false">
      <c r="A909" s="115" t="s">
        <v>1493</v>
      </c>
      <c r="B909" s="115" t="s">
        <v>844</v>
      </c>
      <c r="C909" s="116" t="s">
        <v>1072</v>
      </c>
      <c r="D909" s="116"/>
      <c r="E909" s="116"/>
      <c r="F909" s="116"/>
      <c r="G909" s="108"/>
      <c r="H909" s="105" t="n">
        <f aca="false">'[2]$ лето'!j909-'[2]$ лето'!au909-'[2]$ лето'!at909-'[2]$ лето'!as909-'[2]$ лето'!ar909-'[2]$ лето'!aq909-'[2]$ лето'!ap909-'[2]$ лето'!an909-'[2]$ лето'!am909-'[2]$ лето'!al909-'[2]$ лето'!ak909-'[2]$ лето'!aj909-'[2]$ лето'!ah909-'[2]$ лето'!ag909-'[2]$ лето'!af909-'[2]$ лето'!ae909-'[2]$ лето'!ad909-'[2]$ лето'!ab909-'[2]$ лето'!aa909-'[2]$ лето'!z909-'[2]$ лето'!y909-'[2]$ лето'!x909-'[2]$ лето'!v909-'[2]$ лето'!u909-'[2]$ лето'!t909-'[2]$ лето'!s909-'[2]$ лето'!r909-'[2]$ лето'!p909-'[2]$ лето'!o909-'[2]$ лето'!n909-'[2]$ лето'!m909-'[2]$ лето'!l909+'[2]$ лето'!k909+'[2]$ лето'!q909+'[2]$ лето'!w909+'[2]$ лето'!ac909+'[2]$ лето'!ai909+'[2]$ лето'!ao909</f>
        <v>0</v>
      </c>
      <c r="I909" s="109" t="n">
        <f aca="false">'[2]$ лето'!ay909*1.1</f>
        <v>4312</v>
      </c>
    </row>
    <row r="910" customFormat="false" ht="15" hidden="true" customHeight="false" outlineLevel="0" collapsed="false">
      <c r="A910" s="115" t="s">
        <v>1493</v>
      </c>
      <c r="B910" s="115" t="s">
        <v>844</v>
      </c>
      <c r="C910" s="116" t="s">
        <v>1494</v>
      </c>
      <c r="D910" s="116"/>
      <c r="E910" s="116"/>
      <c r="F910" s="116"/>
      <c r="G910" s="108"/>
      <c r="H910" s="105" t="n">
        <f aca="false">'[2]$ лето'!j910-'[2]$ лето'!au910-'[2]$ лето'!at910-'[2]$ лето'!as910-'[2]$ лето'!ar910-'[2]$ лето'!aq910-'[2]$ лето'!ap910-'[2]$ лето'!an910-'[2]$ лето'!am910-'[2]$ лето'!al910-'[2]$ лето'!ak910-'[2]$ лето'!aj910-'[2]$ лето'!ah910-'[2]$ лето'!ag910-'[2]$ лето'!af910-'[2]$ лето'!ae910-'[2]$ лето'!ad910-'[2]$ лето'!ab910-'[2]$ лето'!aa910-'[2]$ лето'!z910-'[2]$ лето'!y910-'[2]$ лето'!x910-'[2]$ лето'!v910-'[2]$ лето'!u910-'[2]$ лето'!t910-'[2]$ лето'!s910-'[2]$ лето'!r910-'[2]$ лето'!p910-'[2]$ лето'!o910-'[2]$ лето'!n910-'[2]$ лето'!m910-'[2]$ лето'!l910+'[2]$ лето'!k910+'[2]$ лето'!q910+'[2]$ лето'!w910+'[2]$ лето'!ac910+'[2]$ лето'!ai910+'[2]$ лето'!ao910</f>
        <v>0</v>
      </c>
      <c r="I910" s="109" t="n">
        <f aca="false">'[2]$ лето'!ay910*1.1</f>
        <v>6160</v>
      </c>
    </row>
    <row r="911" customFormat="false" ht="15" hidden="true" customHeight="false" outlineLevel="0" collapsed="false">
      <c r="A911" s="115" t="s">
        <v>1493</v>
      </c>
      <c r="B911" s="115" t="s">
        <v>589</v>
      </c>
      <c r="C911" s="116" t="s">
        <v>1495</v>
      </c>
      <c r="D911" s="116"/>
      <c r="E911" s="116"/>
      <c r="F911" s="116"/>
      <c r="G911" s="108"/>
      <c r="H911" s="105" t="n">
        <f aca="false">'[2]$ лето'!j911-'[2]$ лето'!au911-'[2]$ лето'!at911-'[2]$ лето'!as911-'[2]$ лето'!ar911-'[2]$ лето'!aq911-'[2]$ лето'!ap911-'[2]$ лето'!an911-'[2]$ лето'!am911-'[2]$ лето'!al911-'[2]$ лето'!ak911-'[2]$ лето'!aj911-'[2]$ лето'!ah911-'[2]$ лето'!ag911-'[2]$ лето'!af911-'[2]$ лето'!ae911-'[2]$ лето'!ad911-'[2]$ лето'!ab911-'[2]$ лето'!aa911-'[2]$ лето'!z911-'[2]$ лето'!y911-'[2]$ лето'!x911-'[2]$ лето'!v911-'[2]$ лето'!u911-'[2]$ лето'!t911-'[2]$ лето'!s911-'[2]$ лето'!r911-'[2]$ лето'!p911-'[2]$ лето'!o911-'[2]$ лето'!n911-'[2]$ лето'!m911-'[2]$ лето'!l911+'[2]$ лето'!k911+'[2]$ лето'!q911+'[2]$ лето'!w911+'[2]$ лето'!ac911+'[2]$ лето'!ai911+'[2]$ лето'!ao911</f>
        <v>0</v>
      </c>
      <c r="I911" s="109" t="n">
        <f aca="false">'[2]$ лето'!ay911*1.1</f>
        <v>4312</v>
      </c>
    </row>
    <row r="912" customFormat="false" ht="15" hidden="false" customHeight="false" outlineLevel="0" collapsed="false">
      <c r="A912" s="110" t="s">
        <v>1496</v>
      </c>
      <c r="B912" s="111"/>
      <c r="C912" s="112"/>
      <c r="D912" s="112"/>
      <c r="E912" s="112"/>
      <c r="F912" s="112"/>
      <c r="G912" s="104"/>
      <c r="H912" s="105"/>
      <c r="I912" s="105" t="n">
        <f aca="false">'[2]$ лето'!ay912*1.1</f>
        <v>0</v>
      </c>
    </row>
    <row r="913" customFormat="false" ht="15" hidden="true" customHeight="false" outlineLevel="0" collapsed="false">
      <c r="A913" s="115" t="s">
        <v>1497</v>
      </c>
      <c r="B913" s="107" t="s">
        <v>568</v>
      </c>
      <c r="C913" s="116" t="s">
        <v>993</v>
      </c>
      <c r="D913" s="116"/>
      <c r="E913" s="116"/>
      <c r="F913" s="116"/>
      <c r="G913" s="108"/>
      <c r="H913" s="105" t="n">
        <f aca="false">'[2]$ лето'!j913-'[2]$ лето'!au913-'[2]$ лето'!at913-'[2]$ лето'!as913-'[2]$ лето'!ar913-'[2]$ лето'!aq913-'[2]$ лето'!ap913-'[2]$ лето'!an913-'[2]$ лето'!am913-'[2]$ лето'!al913-'[2]$ лето'!ak913-'[2]$ лето'!aj913-'[2]$ лето'!ah913-'[2]$ лето'!ag913-'[2]$ лето'!af913-'[2]$ лето'!ae913-'[2]$ лето'!ad913-'[2]$ лето'!ab913-'[2]$ лето'!aa913-'[2]$ лето'!z913-'[2]$ лето'!y913-'[2]$ лето'!x913-'[2]$ лето'!v913-'[2]$ лето'!u913-'[2]$ лето'!t913-'[2]$ лето'!s913-'[2]$ лето'!r913-'[2]$ лето'!p913-'[2]$ лето'!o913-'[2]$ лето'!n913-'[2]$ лето'!m913-'[2]$ лето'!l913+'[2]$ лето'!k913+'[2]$ лето'!q913+'[2]$ лето'!w913+'[2]$ лето'!ac913+'[2]$ лето'!ai913+'[2]$ лето'!ao913</f>
        <v>0</v>
      </c>
      <c r="I913" s="109" t="n">
        <f aca="false">'[2]$ лето'!ay913*1.1</f>
        <v>2402.4</v>
      </c>
    </row>
    <row r="914" customFormat="false" ht="15" hidden="true" customHeight="false" outlineLevel="0" collapsed="false">
      <c r="A914" s="115" t="s">
        <v>1497</v>
      </c>
      <c r="B914" s="107" t="s">
        <v>568</v>
      </c>
      <c r="C914" s="116" t="s">
        <v>1498</v>
      </c>
      <c r="D914" s="116"/>
      <c r="E914" s="116"/>
      <c r="F914" s="116"/>
      <c r="G914" s="108"/>
      <c r="H914" s="105" t="n">
        <f aca="false">'[2]$ лето'!j914-'[2]$ лето'!au914-'[2]$ лето'!at914-'[2]$ лето'!as914-'[2]$ лето'!ar914-'[2]$ лето'!aq914-'[2]$ лето'!ap914-'[2]$ лето'!an914-'[2]$ лето'!am914-'[2]$ лето'!al914-'[2]$ лето'!ak914-'[2]$ лето'!aj914-'[2]$ лето'!ah914-'[2]$ лето'!ag914-'[2]$ лето'!af914-'[2]$ лето'!ae914-'[2]$ лето'!ad914-'[2]$ лето'!ab914-'[2]$ лето'!aa914-'[2]$ лето'!z914-'[2]$ лето'!y914-'[2]$ лето'!x914-'[2]$ лето'!v914-'[2]$ лето'!u914-'[2]$ лето'!t914-'[2]$ лето'!s914-'[2]$ лето'!r914-'[2]$ лето'!p914-'[2]$ лето'!o914-'[2]$ лето'!n914-'[2]$ лето'!m914-'[2]$ лето'!l914+'[2]$ лето'!k914+'[2]$ лето'!q914+'[2]$ лето'!w914+'[2]$ лето'!ac914+'[2]$ лето'!ai914+'[2]$ лето'!ao914</f>
        <v>0</v>
      </c>
      <c r="I914" s="109" t="n">
        <f aca="false">'[2]$ лето'!ay914*1.1</f>
        <v>1909.6</v>
      </c>
    </row>
    <row r="915" customFormat="false" ht="15" hidden="true" customHeight="false" outlineLevel="0" collapsed="false">
      <c r="A915" s="115" t="s">
        <v>1497</v>
      </c>
      <c r="B915" s="107" t="s">
        <v>658</v>
      </c>
      <c r="C915" s="116" t="s">
        <v>1499</v>
      </c>
      <c r="D915" s="116"/>
      <c r="E915" s="116"/>
      <c r="F915" s="116"/>
      <c r="G915" s="108"/>
      <c r="H915" s="105" t="n">
        <f aca="false">'[2]$ лето'!j915-'[2]$ лето'!au915-'[2]$ лето'!at915-'[2]$ лето'!as915-'[2]$ лето'!ar915-'[2]$ лето'!aq915-'[2]$ лето'!ap915-'[2]$ лето'!an915-'[2]$ лето'!am915-'[2]$ лето'!al915-'[2]$ лето'!ak915-'[2]$ лето'!aj915-'[2]$ лето'!ah915-'[2]$ лето'!ag915-'[2]$ лето'!af915-'[2]$ лето'!ae915-'[2]$ лето'!ad915-'[2]$ лето'!ab915-'[2]$ лето'!aa915-'[2]$ лето'!z915-'[2]$ лето'!y915-'[2]$ лето'!x915-'[2]$ лето'!v915-'[2]$ лето'!u915-'[2]$ лето'!t915-'[2]$ лето'!s915-'[2]$ лето'!r915-'[2]$ лето'!p915-'[2]$ лето'!o915-'[2]$ лето'!n915-'[2]$ лето'!m915-'[2]$ лето'!l915+'[2]$ лето'!k915+'[2]$ лето'!q915+'[2]$ лето'!w915+'[2]$ лето'!ac915+'[2]$ лето'!ai915+'[2]$ лето'!ao915</f>
        <v>0</v>
      </c>
      <c r="I915" s="109" t="n">
        <f aca="false">'[2]$ лето'!ay915*1.1</f>
        <v>2772</v>
      </c>
    </row>
    <row r="916" customFormat="false" ht="15" hidden="true" customHeight="false" outlineLevel="0" collapsed="false">
      <c r="A916" s="115" t="s">
        <v>1497</v>
      </c>
      <c r="B916" s="107" t="s">
        <v>583</v>
      </c>
      <c r="C916" s="116" t="s">
        <v>1500</v>
      </c>
      <c r="D916" s="116"/>
      <c r="E916" s="116"/>
      <c r="F916" s="116"/>
      <c r="G916" s="108"/>
      <c r="H916" s="105" t="n">
        <f aca="false">'[2]$ лето'!j916-'[2]$ лето'!au916-'[2]$ лето'!at916-'[2]$ лето'!as916-'[2]$ лето'!ar916-'[2]$ лето'!aq916-'[2]$ лето'!ap916-'[2]$ лето'!an916-'[2]$ лето'!am916-'[2]$ лето'!al916-'[2]$ лето'!ak916-'[2]$ лето'!aj916-'[2]$ лето'!ah916-'[2]$ лето'!ag916-'[2]$ лето'!af916-'[2]$ лето'!ae916-'[2]$ лето'!ad916-'[2]$ лето'!ab916-'[2]$ лето'!aa916-'[2]$ лето'!z916-'[2]$ лето'!y916-'[2]$ лето'!x916-'[2]$ лето'!v916-'[2]$ лето'!u916-'[2]$ лето'!t916-'[2]$ лето'!s916-'[2]$ лето'!r916-'[2]$ лето'!p916-'[2]$ лето'!o916-'[2]$ лето'!n916-'[2]$ лето'!m916-'[2]$ лето'!l916+'[2]$ лето'!k916+'[2]$ лето'!q916+'[2]$ лето'!w916+'[2]$ лето'!ac916+'[2]$ лето'!ai916+'[2]$ лето'!ao916</f>
        <v>0</v>
      </c>
      <c r="I916" s="109" t="n">
        <f aca="false">'[2]$ лето'!ay916*1.1</f>
        <v>1848</v>
      </c>
    </row>
    <row r="917" customFormat="false" ht="15" hidden="true" customHeight="false" outlineLevel="0" collapsed="false">
      <c r="A917" s="115" t="s">
        <v>1497</v>
      </c>
      <c r="B917" s="123" t="s">
        <v>593</v>
      </c>
      <c r="C917" s="116" t="s">
        <v>1501</v>
      </c>
      <c r="D917" s="116"/>
      <c r="E917" s="116"/>
      <c r="F917" s="116"/>
      <c r="G917" s="108"/>
      <c r="H917" s="105" t="n">
        <f aca="false">'[2]$ лето'!j917-'[2]$ лето'!au917-'[2]$ лето'!at917-'[2]$ лето'!as917-'[2]$ лето'!ar917-'[2]$ лето'!aq917-'[2]$ лето'!ap917-'[2]$ лето'!an917-'[2]$ лето'!am917-'[2]$ лето'!al917-'[2]$ лето'!ak917-'[2]$ лето'!aj917-'[2]$ лето'!ah917-'[2]$ лето'!ag917-'[2]$ лето'!af917-'[2]$ лето'!ae917-'[2]$ лето'!ad917-'[2]$ лето'!ab917-'[2]$ лето'!aa917-'[2]$ лето'!z917-'[2]$ лето'!y917-'[2]$ лето'!x917-'[2]$ лето'!v917-'[2]$ лето'!u917-'[2]$ лето'!t917-'[2]$ лето'!s917-'[2]$ лето'!r917-'[2]$ лето'!p917-'[2]$ лето'!o917-'[2]$ лето'!n917-'[2]$ лето'!m917-'[2]$ лето'!l917+'[2]$ лето'!k917+'[2]$ лето'!q917+'[2]$ лето'!w917+'[2]$ лето'!ac917+'[2]$ лето'!ai917+'[2]$ лето'!ao917</f>
        <v>0</v>
      </c>
      <c r="I917" s="109" t="n">
        <f aca="false">'[2]$ лето'!ay917*1.1</f>
        <v>0</v>
      </c>
    </row>
    <row r="918" customFormat="false" ht="15" hidden="false" customHeight="false" outlineLevel="0" collapsed="false">
      <c r="A918" s="115" t="s">
        <v>1497</v>
      </c>
      <c r="B918" s="123" t="s">
        <v>1371</v>
      </c>
      <c r="C918" s="116" t="s">
        <v>1502</v>
      </c>
      <c r="D918" s="116"/>
      <c r="E918" s="116"/>
      <c r="F918" s="116"/>
      <c r="G918" s="108"/>
      <c r="H918" s="105" t="n">
        <f aca="false">'[2]$ лето'!j918-'[2]$ лето'!au918-'[2]$ лето'!at918-'[2]$ лето'!as918-'[2]$ лето'!ar918-'[2]$ лето'!aq918-'[2]$ лето'!ap918-'[2]$ лето'!an918-'[2]$ лето'!am918-'[2]$ лето'!al918-'[2]$ лето'!ak918-'[2]$ лето'!aj918-'[2]$ лето'!ah918-'[2]$ лето'!ag918-'[2]$ лето'!af918-'[2]$ лето'!ae918-'[2]$ лето'!ad918-'[2]$ лето'!ab918-'[2]$ лето'!aa918-'[2]$ лето'!z918-'[2]$ лето'!y918-'[2]$ лето'!x918-'[2]$ лето'!v918-'[2]$ лето'!u918-'[2]$ лето'!t918-'[2]$ лето'!s918-'[2]$ лето'!r918-'[2]$ лето'!p918-'[2]$ лето'!o918-'[2]$ лето'!n918-'[2]$ лето'!m918-'[2]$ лето'!l918+'[2]$ лето'!k918+'[2]$ лето'!q918+'[2]$ лето'!w918+'[2]$ лето'!ac918+'[2]$ лето'!ai918+'[2]$ лето'!ao918</f>
        <v>2</v>
      </c>
      <c r="I918" s="109" t="n">
        <f aca="false">'[2]$ лето'!ay918*1.1</f>
        <v>1155</v>
      </c>
    </row>
    <row r="919" customFormat="false" ht="15" hidden="true" customHeight="false" outlineLevel="0" collapsed="false">
      <c r="A919" s="115" t="s">
        <v>1497</v>
      </c>
      <c r="B919" s="123" t="s">
        <v>677</v>
      </c>
      <c r="C919" s="116" t="s">
        <v>1503</v>
      </c>
      <c r="D919" s="116"/>
      <c r="E919" s="116"/>
      <c r="F919" s="116"/>
      <c r="G919" s="108"/>
      <c r="H919" s="105" t="n">
        <f aca="false">'[2]$ лето'!j919-'[2]$ лето'!au919-'[2]$ лето'!at919-'[2]$ лето'!as919-'[2]$ лето'!ar919-'[2]$ лето'!aq919-'[2]$ лето'!ap919-'[2]$ лето'!an919-'[2]$ лето'!am919-'[2]$ лето'!al919-'[2]$ лето'!ak919-'[2]$ лето'!aj919-'[2]$ лето'!ah919-'[2]$ лето'!ag919-'[2]$ лето'!af919-'[2]$ лето'!ae919-'[2]$ лето'!ad919-'[2]$ лето'!ab919-'[2]$ лето'!aa919-'[2]$ лето'!z919-'[2]$ лето'!y919-'[2]$ лето'!x919-'[2]$ лето'!v919-'[2]$ лето'!u919-'[2]$ лето'!t919-'[2]$ лето'!s919-'[2]$ лето'!r919-'[2]$ лето'!p919-'[2]$ лето'!o919-'[2]$ лето'!n919-'[2]$ лето'!m919-'[2]$ лето'!l919+'[2]$ лето'!k919+'[2]$ лето'!q919+'[2]$ лето'!w919+'[2]$ лето'!ac919+'[2]$ лето'!ai919+'[2]$ лето'!ao919</f>
        <v>0</v>
      </c>
      <c r="I919" s="109" t="n">
        <f aca="false">'[2]$ лето'!ay919*1.1</f>
        <v>1540</v>
      </c>
    </row>
    <row r="920" customFormat="false" ht="15" hidden="false" customHeight="false" outlineLevel="0" collapsed="false">
      <c r="A920" s="115" t="s">
        <v>1504</v>
      </c>
      <c r="B920" s="123" t="s">
        <v>658</v>
      </c>
      <c r="C920" s="116" t="s">
        <v>1505</v>
      </c>
      <c r="D920" s="116"/>
      <c r="E920" s="116"/>
      <c r="F920" s="116"/>
      <c r="G920" s="108" t="s">
        <v>933</v>
      </c>
      <c r="H920" s="105" t="n">
        <f aca="false">'[2]$ лето'!j920-'[2]$ лето'!au920-'[2]$ лето'!at920-'[2]$ лето'!as920-'[2]$ лето'!ar920-'[2]$ лето'!aq920-'[2]$ лето'!ap920-'[2]$ лето'!an920-'[2]$ лето'!am920-'[2]$ лето'!al920-'[2]$ лето'!ak920-'[2]$ лето'!aj920-'[2]$ лето'!ah920-'[2]$ лето'!ag920-'[2]$ лето'!af920-'[2]$ лето'!ae920-'[2]$ лето'!ad920-'[2]$ лето'!ab920-'[2]$ лето'!aa920-'[2]$ лето'!z920-'[2]$ лето'!y920-'[2]$ лето'!x920-'[2]$ лето'!v920-'[2]$ лето'!u920-'[2]$ лето'!t920-'[2]$ лето'!s920-'[2]$ лето'!r920-'[2]$ лето'!p920-'[2]$ лето'!o920-'[2]$ лето'!n920-'[2]$ лето'!m920-'[2]$ лето'!l920+'[2]$ лето'!k920+'[2]$ лето'!q920+'[2]$ лето'!w920+'[2]$ лето'!ac920+'[2]$ лето'!ai920+'[2]$ лето'!ao920</f>
        <v>2</v>
      </c>
      <c r="I920" s="109" t="n">
        <f aca="false">'[2]$ лето'!ay920*1.1</f>
        <v>2464</v>
      </c>
      <c r="J920" s="85" t="n">
        <v>2012</v>
      </c>
    </row>
    <row r="921" customFormat="false" ht="15" hidden="true" customHeight="false" outlineLevel="0" collapsed="false">
      <c r="A921" s="115" t="s">
        <v>1504</v>
      </c>
      <c r="B921" s="123" t="s">
        <v>574</v>
      </c>
      <c r="C921" s="116" t="s">
        <v>1506</v>
      </c>
      <c r="D921" s="116"/>
      <c r="E921" s="116"/>
      <c r="F921" s="116"/>
      <c r="G921" s="108" t="s">
        <v>576</v>
      </c>
      <c r="H921" s="105" t="n">
        <f aca="false">'[2]$ лето'!j921-'[2]$ лето'!au921-'[2]$ лето'!at921-'[2]$ лето'!as921-'[2]$ лето'!ar921-'[2]$ лето'!aq921-'[2]$ лето'!ap921-'[2]$ лето'!an921-'[2]$ лето'!am921-'[2]$ лето'!al921-'[2]$ лето'!ak921-'[2]$ лето'!aj921-'[2]$ лето'!ah921-'[2]$ лето'!ag921-'[2]$ лето'!af921-'[2]$ лето'!ae921-'[2]$ лето'!ad921-'[2]$ лето'!ab921-'[2]$ лето'!aa921-'[2]$ лето'!z921-'[2]$ лето'!y921-'[2]$ лето'!x921-'[2]$ лето'!v921-'[2]$ лето'!u921-'[2]$ лето'!t921-'[2]$ лето'!s921-'[2]$ лето'!r921-'[2]$ лето'!p921-'[2]$ лето'!o921-'[2]$ лето'!n921-'[2]$ лето'!m921-'[2]$ лето'!l921+'[2]$ лето'!k921+'[2]$ лето'!q921+'[2]$ лето'!w921+'[2]$ лето'!ac921+'[2]$ лето'!ai921+'[2]$ лето'!ao921</f>
        <v>0</v>
      </c>
      <c r="I921" s="109" t="n">
        <f aca="false">'[2]$ лето'!ay921*1.1</f>
        <v>2156</v>
      </c>
      <c r="J921" s="85" t="n">
        <v>2017</v>
      </c>
    </row>
    <row r="922" customFormat="false" ht="15" hidden="false" customHeight="false" outlineLevel="0" collapsed="false">
      <c r="A922" s="115" t="str">
        <f aca="false">$A$923</f>
        <v>205.55/R17</v>
      </c>
      <c r="B922" s="123" t="s">
        <v>583</v>
      </c>
      <c r="C922" s="116" t="s">
        <v>1507</v>
      </c>
      <c r="D922" s="116"/>
      <c r="E922" s="116"/>
      <c r="F922" s="116"/>
      <c r="G922" s="108" t="s">
        <v>933</v>
      </c>
      <c r="H922" s="105" t="n">
        <f aca="false">'[2]$ лето'!j922-'[2]$ лето'!au922-'[2]$ лето'!at922-'[2]$ лето'!as922-'[2]$ лето'!ar922-'[2]$ лето'!aq922-'[2]$ лето'!ap922-'[2]$ лето'!an922-'[2]$ лето'!am922-'[2]$ лето'!al922-'[2]$ лето'!ak922-'[2]$ лето'!aj922-'[2]$ лето'!ah922-'[2]$ лето'!ag922-'[2]$ лето'!af922-'[2]$ лето'!ae922-'[2]$ лето'!ad922-'[2]$ лето'!ab922-'[2]$ лето'!aa922-'[2]$ лето'!z922-'[2]$ лето'!y922-'[2]$ лето'!x922-'[2]$ лето'!v922-'[2]$ лето'!u922-'[2]$ лето'!t922-'[2]$ лето'!s922-'[2]$ лето'!r922-'[2]$ лето'!p922-'[2]$ лето'!o922-'[2]$ лето'!n922-'[2]$ лето'!m922-'[2]$ лето'!l922+'[2]$ лето'!k922+'[2]$ лето'!q922+'[2]$ лето'!w922+'[2]$ лето'!ac922+'[2]$ лето'!ai922+'[2]$ лето'!ao922</f>
        <v>4</v>
      </c>
      <c r="I922" s="109" t="n">
        <f aca="false">'[2]$ лето'!ay922*1.1</f>
        <v>2464</v>
      </c>
    </row>
    <row r="923" customFormat="false" ht="15" hidden="false" customHeight="false" outlineLevel="0" collapsed="false">
      <c r="A923" s="115" t="s">
        <v>1504</v>
      </c>
      <c r="B923" s="123" t="s">
        <v>593</v>
      </c>
      <c r="C923" s="116" t="s">
        <v>1508</v>
      </c>
      <c r="D923" s="116"/>
      <c r="E923" s="116"/>
      <c r="F923" s="116"/>
      <c r="G923" s="108"/>
      <c r="H923" s="105" t="n">
        <f aca="false">'[2]$ лето'!j923-'[2]$ лето'!au923-'[2]$ лето'!at923-'[2]$ лето'!as923-'[2]$ лето'!ar923-'[2]$ лето'!aq923-'[2]$ лето'!ap923-'[2]$ лето'!an923-'[2]$ лето'!am923-'[2]$ лето'!al923-'[2]$ лето'!ak923-'[2]$ лето'!aj923-'[2]$ лето'!ah923-'[2]$ лето'!ag923-'[2]$ лето'!af923-'[2]$ лето'!ae923-'[2]$ лето'!ad923-'[2]$ лето'!ab923-'[2]$ лето'!aa923-'[2]$ лето'!z923-'[2]$ лето'!y923-'[2]$ лето'!x923-'[2]$ лето'!v923-'[2]$ лето'!u923-'[2]$ лето'!t923-'[2]$ лето'!s923-'[2]$ лето'!r923-'[2]$ лето'!p923-'[2]$ лето'!o923-'[2]$ лето'!n923-'[2]$ лето'!m923-'[2]$ лето'!l923+'[2]$ лето'!k923+'[2]$ лето'!q923+'[2]$ лето'!w923+'[2]$ лето'!ac923+'[2]$ лето'!ai923+'[2]$ лето'!ao923</f>
        <v>4</v>
      </c>
      <c r="I923" s="109" t="n">
        <f aca="false">'[2]$ лето'!ay923*1.1</f>
        <v>2772</v>
      </c>
    </row>
    <row r="924" customFormat="false" ht="15" hidden="true" customHeight="false" outlineLevel="0" collapsed="false">
      <c r="A924" s="115" t="s">
        <v>1504</v>
      </c>
      <c r="B924" s="123" t="s">
        <v>615</v>
      </c>
      <c r="C924" s="116" t="s">
        <v>1509</v>
      </c>
      <c r="D924" s="116"/>
      <c r="E924" s="116"/>
      <c r="F924" s="116"/>
      <c r="G924" s="108"/>
      <c r="H924" s="105" t="n">
        <f aca="false">'[2]$ лето'!j924-'[2]$ лето'!au924-'[2]$ лето'!at924-'[2]$ лето'!as924-'[2]$ лето'!ar924-'[2]$ лето'!aq924-'[2]$ лето'!ap924-'[2]$ лето'!an924-'[2]$ лето'!am924-'[2]$ лето'!al924-'[2]$ лето'!ak924-'[2]$ лето'!aj924-'[2]$ лето'!ah924-'[2]$ лето'!ag924-'[2]$ лето'!af924-'[2]$ лето'!ae924-'[2]$ лето'!ad924-'[2]$ лето'!ab924-'[2]$ лето'!aa924-'[2]$ лето'!z924-'[2]$ лето'!y924-'[2]$ лето'!x924-'[2]$ лето'!v924-'[2]$ лето'!u924-'[2]$ лето'!t924-'[2]$ лето'!s924-'[2]$ лето'!r924-'[2]$ лето'!p924-'[2]$ лето'!o924-'[2]$ лето'!n924-'[2]$ лето'!m924-'[2]$ лето'!l924+'[2]$ лето'!k924+'[2]$ лето'!q924+'[2]$ лето'!w924+'[2]$ лето'!ac924+'[2]$ лето'!ai924+'[2]$ лето'!ao924</f>
        <v>0</v>
      </c>
      <c r="I924" s="109" t="n">
        <f aca="false">'[2]$ лето'!ay924*1.1</f>
        <v>1909.6</v>
      </c>
    </row>
    <row r="925" customFormat="false" ht="15" hidden="true" customHeight="false" outlineLevel="0" collapsed="false">
      <c r="A925" s="115" t="s">
        <v>1504</v>
      </c>
      <c r="B925" s="123" t="s">
        <v>615</v>
      </c>
      <c r="C925" s="116" t="s">
        <v>1510</v>
      </c>
      <c r="D925" s="116"/>
      <c r="E925" s="116"/>
      <c r="F925" s="116"/>
      <c r="G925" s="108"/>
      <c r="H925" s="105" t="n">
        <f aca="false">'[2]$ лето'!j925-'[2]$ лето'!au925-'[2]$ лето'!at925-'[2]$ лето'!as925-'[2]$ лето'!ar925-'[2]$ лето'!aq925-'[2]$ лето'!ap925-'[2]$ лето'!an925-'[2]$ лето'!am925-'[2]$ лето'!al925-'[2]$ лето'!ak925-'[2]$ лето'!aj925-'[2]$ лето'!ah925-'[2]$ лето'!ag925-'[2]$ лето'!af925-'[2]$ лето'!ae925-'[2]$ лето'!ad925-'[2]$ лето'!ab925-'[2]$ лето'!aa925-'[2]$ лето'!z925-'[2]$ лето'!y925-'[2]$ лето'!x925-'[2]$ лето'!v925-'[2]$ лето'!u925-'[2]$ лето'!t925-'[2]$ лето'!s925-'[2]$ лето'!r925-'[2]$ лето'!p925-'[2]$ лето'!o925-'[2]$ лето'!n925-'[2]$ лето'!m925-'[2]$ лето'!l925+'[2]$ лето'!k925+'[2]$ лето'!q925+'[2]$ лето'!w925+'[2]$ лето'!ac925+'[2]$ лето'!ai925+'[2]$ лето'!ao925</f>
        <v>0</v>
      </c>
      <c r="I925" s="109" t="n">
        <f aca="false">'[2]$ лето'!ay925*1.1</f>
        <v>2002</v>
      </c>
    </row>
    <row r="926" customFormat="false" ht="15" hidden="true" customHeight="false" outlineLevel="0" collapsed="false">
      <c r="A926" s="115" t="s">
        <v>1511</v>
      </c>
      <c r="B926" s="115" t="s">
        <v>568</v>
      </c>
      <c r="C926" s="116" t="s">
        <v>1512</v>
      </c>
      <c r="D926" s="116"/>
      <c r="E926" s="116"/>
      <c r="F926" s="116"/>
      <c r="G926" s="108"/>
      <c r="H926" s="105" t="n">
        <f aca="false">'[2]$ лето'!j926-'[2]$ лето'!au926-'[2]$ лето'!at926-'[2]$ лето'!as926-'[2]$ лето'!ar926-'[2]$ лето'!aq926-'[2]$ лето'!ap926-'[2]$ лето'!an926-'[2]$ лето'!am926-'[2]$ лето'!al926-'[2]$ лето'!ak926-'[2]$ лето'!aj926-'[2]$ лето'!ah926-'[2]$ лето'!ag926-'[2]$ лето'!af926-'[2]$ лето'!ae926-'[2]$ лето'!ad926-'[2]$ лето'!ab926-'[2]$ лето'!aa926-'[2]$ лето'!z926-'[2]$ лето'!y926-'[2]$ лето'!x926-'[2]$ лето'!v926-'[2]$ лето'!u926-'[2]$ лето'!t926-'[2]$ лето'!s926-'[2]$ лето'!r926-'[2]$ лето'!p926-'[2]$ лето'!o926-'[2]$ лето'!n926-'[2]$ лето'!m926-'[2]$ лето'!l926+'[2]$ лето'!k926+'[2]$ лето'!q926+'[2]$ лето'!w926+'[2]$ лето'!ac926+'[2]$ лето'!ai926+'[2]$ лето'!ao926</f>
        <v>0</v>
      </c>
      <c r="I926" s="109" t="n">
        <f aca="false">'[2]$ лето'!ay926*1.1</f>
        <v>2094.4</v>
      </c>
    </row>
    <row r="927" customFormat="false" ht="15" hidden="true" customHeight="false" outlineLevel="0" collapsed="false">
      <c r="A927" s="115" t="s">
        <v>1511</v>
      </c>
      <c r="B927" s="115" t="s">
        <v>658</v>
      </c>
      <c r="C927" s="116" t="s">
        <v>1513</v>
      </c>
      <c r="D927" s="116"/>
      <c r="E927" s="116"/>
      <c r="F927" s="116"/>
      <c r="G927" s="108"/>
      <c r="H927" s="105" t="n">
        <f aca="false">'[2]$ лето'!j927-'[2]$ лето'!au927-'[2]$ лето'!at927-'[2]$ лето'!as927-'[2]$ лето'!ar927-'[2]$ лето'!aq927-'[2]$ лето'!ap927-'[2]$ лето'!an927-'[2]$ лето'!am927-'[2]$ лето'!al927-'[2]$ лето'!ak927-'[2]$ лето'!aj927-'[2]$ лето'!ah927-'[2]$ лето'!ag927-'[2]$ лето'!af927-'[2]$ лето'!ae927-'[2]$ лето'!ad927-'[2]$ лето'!ab927-'[2]$ лето'!aa927-'[2]$ лето'!z927-'[2]$ лето'!y927-'[2]$ лето'!x927-'[2]$ лето'!v927-'[2]$ лето'!u927-'[2]$ лето'!t927-'[2]$ лето'!s927-'[2]$ лето'!r927-'[2]$ лето'!p927-'[2]$ лето'!o927-'[2]$ лето'!n927-'[2]$ лето'!m927-'[2]$ лето'!l927+'[2]$ лето'!k927+'[2]$ лето'!q927+'[2]$ лето'!w927+'[2]$ лето'!ac927+'[2]$ лето'!ai927+'[2]$ лето'!ao927</f>
        <v>0</v>
      </c>
      <c r="I927" s="109" t="n">
        <f aca="false">'[2]$ лето'!ay927*1.1</f>
        <v>3542</v>
      </c>
    </row>
    <row r="928" customFormat="false" ht="15" hidden="false" customHeight="false" outlineLevel="0" collapsed="false">
      <c r="A928" s="115" t="s">
        <v>1511</v>
      </c>
      <c r="B928" s="115" t="s">
        <v>604</v>
      </c>
      <c r="C928" s="116" t="s">
        <v>1514</v>
      </c>
      <c r="D928" s="116"/>
      <c r="E928" s="116"/>
      <c r="F928" s="116"/>
      <c r="G928" s="108" t="s">
        <v>864</v>
      </c>
      <c r="H928" s="105" t="n">
        <f aca="false">'[2]$ лето'!j928-'[2]$ лето'!au928-'[2]$ лето'!at928-'[2]$ лето'!as928-'[2]$ лето'!ar928-'[2]$ лето'!aq928-'[2]$ лето'!ap928-'[2]$ лето'!an928-'[2]$ лето'!am928-'[2]$ лето'!al928-'[2]$ лето'!ak928-'[2]$ лето'!aj928-'[2]$ лето'!ah928-'[2]$ лето'!ag928-'[2]$ лето'!af928-'[2]$ лето'!ae928-'[2]$ лето'!ad928-'[2]$ лето'!ab928-'[2]$ лето'!aa928-'[2]$ лето'!z928-'[2]$ лето'!y928-'[2]$ лето'!x928-'[2]$ лето'!v928-'[2]$ лето'!u928-'[2]$ лето'!t928-'[2]$ лето'!s928-'[2]$ лето'!r928-'[2]$ лето'!p928-'[2]$ лето'!o928-'[2]$ лето'!n928-'[2]$ лето'!m928-'[2]$ лето'!l928+'[2]$ лето'!k928+'[2]$ лето'!q928+'[2]$ лето'!w928+'[2]$ лето'!ac928+'[2]$ лето'!ai928+'[2]$ лето'!ao928</f>
        <v>4</v>
      </c>
      <c r="I928" s="109" t="n">
        <f aca="false">'[2]$ лето'!ay928*1.1</f>
        <v>2618</v>
      </c>
    </row>
    <row r="929" customFormat="false" ht="15" hidden="true" customHeight="false" outlineLevel="0" collapsed="false">
      <c r="A929" s="115" t="s">
        <v>1511</v>
      </c>
      <c r="B929" s="115" t="s">
        <v>606</v>
      </c>
      <c r="C929" s="116" t="s">
        <v>1515</v>
      </c>
      <c r="D929" s="116"/>
      <c r="E929" s="116"/>
      <c r="F929" s="116"/>
      <c r="G929" s="108"/>
      <c r="H929" s="105" t="n">
        <f aca="false">'[2]$ лето'!j929-'[2]$ лето'!au929-'[2]$ лето'!at929-'[2]$ лето'!as929-'[2]$ лето'!ar929-'[2]$ лето'!aq929-'[2]$ лето'!ap929-'[2]$ лето'!an929-'[2]$ лето'!am929-'[2]$ лето'!al929-'[2]$ лето'!ak929-'[2]$ лето'!aj929-'[2]$ лето'!ah929-'[2]$ лето'!ag929-'[2]$ лето'!af929-'[2]$ лето'!ae929-'[2]$ лето'!ad929-'[2]$ лето'!ab929-'[2]$ лето'!aa929-'[2]$ лето'!z929-'[2]$ лето'!y929-'[2]$ лето'!x929-'[2]$ лето'!v929-'[2]$ лето'!u929-'[2]$ лето'!t929-'[2]$ лето'!s929-'[2]$ лето'!r929-'[2]$ лето'!p929-'[2]$ лето'!o929-'[2]$ лето'!n929-'[2]$ лето'!m929-'[2]$ лето'!l929+'[2]$ лето'!k929+'[2]$ лето'!q929+'[2]$ лето'!w929+'[2]$ лето'!ac929+'[2]$ лето'!ai929+'[2]$ лето'!ao929</f>
        <v>0</v>
      </c>
      <c r="I929" s="109" t="n">
        <f aca="false">'[2]$ лето'!ay929*1.1</f>
        <v>2340.8</v>
      </c>
      <c r="J929" s="85" t="n">
        <v>2016</v>
      </c>
    </row>
    <row r="930" customFormat="false" ht="15" hidden="true" customHeight="false" outlineLevel="0" collapsed="false">
      <c r="A930" s="115" t="s">
        <v>1511</v>
      </c>
      <c r="B930" s="115" t="s">
        <v>574</v>
      </c>
      <c r="C930" s="116" t="s">
        <v>1506</v>
      </c>
      <c r="D930" s="116"/>
      <c r="E930" s="116"/>
      <c r="F930" s="116"/>
      <c r="G930" s="108" t="s">
        <v>576</v>
      </c>
      <c r="H930" s="105" t="n">
        <f aca="false">'[2]$ лето'!j930-'[2]$ лето'!au930-'[2]$ лето'!at930-'[2]$ лето'!as930-'[2]$ лето'!ar930-'[2]$ лето'!aq930-'[2]$ лето'!ap930-'[2]$ лето'!an930-'[2]$ лето'!am930-'[2]$ лето'!al930-'[2]$ лето'!ak930-'[2]$ лето'!aj930-'[2]$ лето'!ah930-'[2]$ лето'!ag930-'[2]$ лето'!af930-'[2]$ лето'!ae930-'[2]$ лето'!ad930-'[2]$ лето'!ab930-'[2]$ лето'!aa930-'[2]$ лето'!z930-'[2]$ лето'!y930-'[2]$ лето'!x930-'[2]$ лето'!v930-'[2]$ лето'!u930-'[2]$ лето'!t930-'[2]$ лето'!s930-'[2]$ лето'!r930-'[2]$ лето'!p930-'[2]$ лето'!o930-'[2]$ лето'!n930-'[2]$ лето'!m930-'[2]$ лето'!l930+'[2]$ лето'!k930+'[2]$ лето'!q930+'[2]$ лето'!w930+'[2]$ лето'!ac930+'[2]$ лето'!ai930+'[2]$ лето'!ao930</f>
        <v>0</v>
      </c>
      <c r="I930" s="109" t="n">
        <f aca="false">'[2]$ лето'!ay930*1.1</f>
        <v>2156</v>
      </c>
    </row>
    <row r="931" customFormat="false" ht="15" hidden="true" customHeight="false" outlineLevel="0" collapsed="false">
      <c r="A931" s="115" t="s">
        <v>1511</v>
      </c>
      <c r="B931" s="115" t="s">
        <v>583</v>
      </c>
      <c r="C931" s="116" t="s">
        <v>1516</v>
      </c>
      <c r="D931" s="116"/>
      <c r="E931" s="116"/>
      <c r="F931" s="116"/>
      <c r="G931" s="108" t="s">
        <v>933</v>
      </c>
      <c r="H931" s="105" t="n">
        <f aca="false">'[2]$ лето'!j931-'[2]$ лето'!au931-'[2]$ лето'!at931-'[2]$ лето'!as931-'[2]$ лето'!ar931-'[2]$ лето'!aq931-'[2]$ лето'!ap931-'[2]$ лето'!an931-'[2]$ лето'!am931-'[2]$ лето'!al931-'[2]$ лето'!ak931-'[2]$ лето'!aj931-'[2]$ лето'!ah931-'[2]$ лето'!ag931-'[2]$ лето'!af931-'[2]$ лето'!ae931-'[2]$ лето'!ad931-'[2]$ лето'!ab931-'[2]$ лето'!aa931-'[2]$ лето'!z931-'[2]$ лето'!y931-'[2]$ лето'!x931-'[2]$ лето'!v931-'[2]$ лето'!u931-'[2]$ лето'!t931-'[2]$ лето'!s931-'[2]$ лето'!r931-'[2]$ лето'!p931-'[2]$ лето'!o931-'[2]$ лето'!n931-'[2]$ лето'!m931-'[2]$ лето'!l931+'[2]$ лето'!k931+'[2]$ лето'!q931+'[2]$ лето'!w931+'[2]$ лето'!ac931+'[2]$ лето'!ai931+'[2]$ лето'!ao931</f>
        <v>0</v>
      </c>
      <c r="I931" s="109" t="n">
        <f aca="false">'[2]$ лето'!ay931*1.1</f>
        <v>1848</v>
      </c>
      <c r="J931" s="85" t="n">
        <v>2017</v>
      </c>
    </row>
    <row r="932" customFormat="false" ht="15" hidden="true" customHeight="false" outlineLevel="0" collapsed="false">
      <c r="A932" s="115" t="s">
        <v>1511</v>
      </c>
      <c r="B932" s="115" t="s">
        <v>593</v>
      </c>
      <c r="C932" s="116" t="s">
        <v>1517</v>
      </c>
      <c r="D932" s="116"/>
      <c r="E932" s="116"/>
      <c r="F932" s="116"/>
      <c r="G932" s="108"/>
      <c r="H932" s="105" t="n">
        <f aca="false">'[2]$ лето'!j932-'[2]$ лето'!au932-'[2]$ лето'!at932-'[2]$ лето'!as932-'[2]$ лето'!ar932-'[2]$ лето'!aq932-'[2]$ лето'!ap932-'[2]$ лето'!an932-'[2]$ лето'!am932-'[2]$ лето'!al932-'[2]$ лето'!ak932-'[2]$ лето'!aj932-'[2]$ лето'!ah932-'[2]$ лето'!ag932-'[2]$ лето'!af932-'[2]$ лето'!ae932-'[2]$ лето'!ad932-'[2]$ лето'!ab932-'[2]$ лето'!aa932-'[2]$ лето'!z932-'[2]$ лето'!y932-'[2]$ лето'!x932-'[2]$ лето'!v932-'[2]$ лето'!u932-'[2]$ лето'!t932-'[2]$ лето'!s932-'[2]$ лето'!r932-'[2]$ лето'!p932-'[2]$ лето'!o932-'[2]$ лето'!n932-'[2]$ лето'!m932-'[2]$ лето'!l932+'[2]$ лето'!k932+'[2]$ лето'!q932+'[2]$ лето'!w932+'[2]$ лето'!ac932+'[2]$ лето'!ai932+'[2]$ лето'!ao932</f>
        <v>0</v>
      </c>
      <c r="I932" s="109" t="n">
        <f aca="false">'[2]$ лето'!ay932*1.1</f>
        <v>3911.6</v>
      </c>
    </row>
    <row r="933" customFormat="false" ht="15" hidden="true" customHeight="false" outlineLevel="0" collapsed="false">
      <c r="A933" s="115" t="s">
        <v>1511</v>
      </c>
      <c r="B933" s="115" t="s">
        <v>586</v>
      </c>
      <c r="C933" s="116" t="s">
        <v>1518</v>
      </c>
      <c r="D933" s="116"/>
      <c r="E933" s="116"/>
      <c r="F933" s="116"/>
      <c r="G933" s="108" t="s">
        <v>520</v>
      </c>
      <c r="H933" s="105" t="n">
        <f aca="false">'[2]$ лето'!j933-'[2]$ лето'!au933-'[2]$ лето'!at933-'[2]$ лето'!as933-'[2]$ лето'!ar933-'[2]$ лето'!aq933-'[2]$ лето'!ap933-'[2]$ лето'!an933-'[2]$ лето'!am933-'[2]$ лето'!al933-'[2]$ лето'!ak933-'[2]$ лето'!aj933-'[2]$ лето'!ah933-'[2]$ лето'!ag933-'[2]$ лето'!af933-'[2]$ лето'!ae933-'[2]$ лето'!ad933-'[2]$ лето'!ab933-'[2]$ лето'!aa933-'[2]$ лето'!z933-'[2]$ лето'!y933-'[2]$ лето'!x933-'[2]$ лето'!v933-'[2]$ лето'!u933-'[2]$ лето'!t933-'[2]$ лето'!s933-'[2]$ лето'!r933-'[2]$ лето'!p933-'[2]$ лето'!o933-'[2]$ лето'!n933-'[2]$ лето'!m933-'[2]$ лето'!l933+'[2]$ лето'!k933+'[2]$ лето'!q933+'[2]$ лето'!w933+'[2]$ лето'!ac933+'[2]$ лето'!ai933+'[2]$ лето'!ao933</f>
        <v>0</v>
      </c>
      <c r="I933" s="109" t="n">
        <f aca="false">'[2]$ лето'!ay933*1.1</f>
        <v>1386</v>
      </c>
    </row>
    <row r="934" customFormat="false" ht="15" hidden="true" customHeight="false" outlineLevel="0" collapsed="false">
      <c r="A934" s="115" t="s">
        <v>1511</v>
      </c>
      <c r="B934" s="115" t="s">
        <v>615</v>
      </c>
      <c r="C934" s="107" t="s">
        <v>1519</v>
      </c>
      <c r="D934" s="107"/>
      <c r="E934" s="107"/>
      <c r="F934" s="107"/>
      <c r="G934" s="108"/>
      <c r="H934" s="105" t="n">
        <f aca="false">'[2]$ лето'!j934-'[2]$ лето'!au934-'[2]$ лето'!at934-'[2]$ лето'!as934-'[2]$ лето'!ar934-'[2]$ лето'!aq934-'[2]$ лето'!ap934-'[2]$ лето'!an934-'[2]$ лето'!am934-'[2]$ лето'!al934-'[2]$ лето'!ak934-'[2]$ лето'!aj934-'[2]$ лето'!ah934-'[2]$ лето'!ag934-'[2]$ лето'!af934-'[2]$ лето'!ae934-'[2]$ лето'!ad934-'[2]$ лето'!ab934-'[2]$ лето'!aa934-'[2]$ лето'!z934-'[2]$ лето'!y934-'[2]$ лето'!x934-'[2]$ лето'!v934-'[2]$ лето'!u934-'[2]$ лето'!t934-'[2]$ лето'!s934-'[2]$ лето'!r934-'[2]$ лето'!p934-'[2]$ лето'!o934-'[2]$ лето'!n934-'[2]$ лето'!m934-'[2]$ лето'!l934+'[2]$ лето'!k934+'[2]$ лето'!q934+'[2]$ лето'!w934+'[2]$ лето'!ac934+'[2]$ лето'!ai934+'[2]$ лето'!ao934</f>
        <v>0</v>
      </c>
      <c r="I934" s="109" t="n">
        <f aca="false">'[2]$ лето'!ay934*1.1</f>
        <v>1848</v>
      </c>
      <c r="J934" s="85" t="n">
        <v>2016</v>
      </c>
    </row>
    <row r="935" customFormat="false" ht="15" hidden="true" customHeight="false" outlineLevel="0" collapsed="false">
      <c r="A935" s="115" t="s">
        <v>1511</v>
      </c>
      <c r="B935" s="115" t="s">
        <v>762</v>
      </c>
      <c r="C935" s="107" t="s">
        <v>1520</v>
      </c>
      <c r="D935" s="107"/>
      <c r="E935" s="107"/>
      <c r="F935" s="107"/>
      <c r="G935" s="108"/>
      <c r="H935" s="105" t="n">
        <f aca="false">'[2]$ лето'!j935-'[2]$ лето'!au935-'[2]$ лето'!at935-'[2]$ лето'!as935-'[2]$ лето'!ar935-'[2]$ лето'!aq935-'[2]$ лето'!ap935-'[2]$ лето'!an935-'[2]$ лето'!am935-'[2]$ лето'!al935-'[2]$ лето'!ak935-'[2]$ лето'!aj935-'[2]$ лето'!ah935-'[2]$ лето'!ag935-'[2]$ лето'!af935-'[2]$ лето'!ae935-'[2]$ лето'!ad935-'[2]$ лето'!ab935-'[2]$ лето'!aa935-'[2]$ лето'!z935-'[2]$ лето'!y935-'[2]$ лето'!x935-'[2]$ лето'!v935-'[2]$ лето'!u935-'[2]$ лето'!t935-'[2]$ лето'!s935-'[2]$ лето'!r935-'[2]$ лето'!p935-'[2]$ лето'!o935-'[2]$ лето'!n935-'[2]$ лето'!m935-'[2]$ лето'!l935+'[2]$ лето'!k935+'[2]$ лето'!q935+'[2]$ лето'!w935+'[2]$ лето'!ac935+'[2]$ лето'!ai935+'[2]$ лето'!ao935</f>
        <v>0</v>
      </c>
      <c r="I935" s="109" t="n">
        <f aca="false">'[2]$ лето'!ay935*1.1</f>
        <v>1786.4</v>
      </c>
      <c r="J935" s="85" t="n">
        <v>2017</v>
      </c>
    </row>
    <row r="936" customFormat="false" ht="15" hidden="true" customHeight="false" outlineLevel="0" collapsed="false">
      <c r="A936" s="115" t="s">
        <v>1511</v>
      </c>
      <c r="B936" s="115" t="s">
        <v>623</v>
      </c>
      <c r="C936" s="107" t="s">
        <v>1521</v>
      </c>
      <c r="D936" s="107"/>
      <c r="E936" s="107"/>
      <c r="F936" s="107"/>
      <c r="G936" s="108"/>
      <c r="H936" s="105" t="n">
        <f aca="false">'[2]$ лето'!j936-'[2]$ лето'!au936-'[2]$ лето'!at936-'[2]$ лето'!as936-'[2]$ лето'!ar936-'[2]$ лето'!aq936-'[2]$ лето'!ap936-'[2]$ лето'!an936-'[2]$ лето'!am936-'[2]$ лето'!al936-'[2]$ лето'!ak936-'[2]$ лето'!aj936-'[2]$ лето'!ah936-'[2]$ лето'!ag936-'[2]$ лето'!af936-'[2]$ лето'!ae936-'[2]$ лето'!ad936-'[2]$ лето'!ab936-'[2]$ лето'!aa936-'[2]$ лето'!z936-'[2]$ лето'!y936-'[2]$ лето'!x936-'[2]$ лето'!v936-'[2]$ лето'!u936-'[2]$ лето'!t936-'[2]$ лето'!s936-'[2]$ лето'!r936-'[2]$ лето'!p936-'[2]$ лето'!o936-'[2]$ лето'!n936-'[2]$ лето'!m936-'[2]$ лето'!l936+'[2]$ лето'!k936+'[2]$ лето'!q936+'[2]$ лето'!w936+'[2]$ лето'!ac936+'[2]$ лето'!ai936+'[2]$ лето'!ao936</f>
        <v>0</v>
      </c>
      <c r="I936" s="109" t="n">
        <f aca="false">'[2]$ лето'!ay936*1.1</f>
        <v>1601.6</v>
      </c>
      <c r="J936" s="85" t="n">
        <v>2018</v>
      </c>
    </row>
    <row r="937" customFormat="false" ht="15" hidden="true" customHeight="false" outlineLevel="0" collapsed="false">
      <c r="A937" s="115" t="s">
        <v>1511</v>
      </c>
      <c r="B937" s="115" t="s">
        <v>589</v>
      </c>
      <c r="C937" s="107" t="s">
        <v>1522</v>
      </c>
      <c r="D937" s="107"/>
      <c r="E937" s="107"/>
      <c r="F937" s="107"/>
      <c r="G937" s="108"/>
      <c r="H937" s="105" t="n">
        <f aca="false">'[2]$ лето'!j937-'[2]$ лето'!au937-'[2]$ лето'!at937-'[2]$ лето'!as937-'[2]$ лето'!ar937-'[2]$ лето'!aq937-'[2]$ лето'!ap937-'[2]$ лето'!an937-'[2]$ лето'!am937-'[2]$ лето'!al937-'[2]$ лето'!ak937-'[2]$ лето'!aj937-'[2]$ лето'!ah937-'[2]$ лето'!ag937-'[2]$ лето'!af937-'[2]$ лето'!ae937-'[2]$ лето'!ad937-'[2]$ лето'!ab937-'[2]$ лето'!aa937-'[2]$ лето'!z937-'[2]$ лето'!y937-'[2]$ лето'!x937-'[2]$ лето'!v937-'[2]$ лето'!u937-'[2]$ лето'!t937-'[2]$ лето'!s937-'[2]$ лето'!r937-'[2]$ лето'!p937-'[2]$ лето'!o937-'[2]$ лето'!n937-'[2]$ лето'!m937-'[2]$ лето'!l937+'[2]$ лето'!k937+'[2]$ лето'!q937+'[2]$ лето'!w937+'[2]$ лето'!ac937+'[2]$ лето'!ai937+'[2]$ лето'!ao937</f>
        <v>0</v>
      </c>
      <c r="I937" s="109" t="n">
        <f aca="false">'[2]$ лето'!ay937*1.1</f>
        <v>2508</v>
      </c>
    </row>
    <row r="938" customFormat="false" ht="15" hidden="false" customHeight="false" outlineLevel="0" collapsed="false">
      <c r="A938" s="115" t="s">
        <v>1511</v>
      </c>
      <c r="B938" s="115" t="s">
        <v>564</v>
      </c>
      <c r="C938" s="107" t="s">
        <v>1523</v>
      </c>
      <c r="D938" s="107"/>
      <c r="E938" s="116"/>
      <c r="F938" s="116"/>
      <c r="G938" s="108" t="s">
        <v>520</v>
      </c>
      <c r="H938" s="105" t="n">
        <f aca="false">'[2]$ лето'!j938-'[2]$ лето'!au938-'[2]$ лето'!at938-'[2]$ лето'!as938-'[2]$ лето'!ar938-'[2]$ лето'!aq938-'[2]$ лето'!ap938-'[2]$ лето'!an938-'[2]$ лето'!am938-'[2]$ лето'!al938-'[2]$ лето'!ak938-'[2]$ лето'!aj938-'[2]$ лето'!ah938-'[2]$ лето'!ag938-'[2]$ лето'!af938-'[2]$ лето'!ae938-'[2]$ лето'!ad938-'[2]$ лето'!ab938-'[2]$ лето'!aa938-'[2]$ лето'!z938-'[2]$ лето'!y938-'[2]$ лето'!x938-'[2]$ лето'!v938-'[2]$ лето'!u938-'[2]$ лето'!t938-'[2]$ лето'!s938-'[2]$ лето'!r938-'[2]$ лето'!p938-'[2]$ лето'!o938-'[2]$ лето'!n938-'[2]$ лето'!m938-'[2]$ лето'!l938+'[2]$ лето'!k938+'[2]$ лето'!q938+'[2]$ лето'!w938+'[2]$ лето'!ac938+'[2]$ лето'!ai938+'[2]$ лето'!ao938</f>
        <v>4</v>
      </c>
      <c r="I938" s="109" t="n">
        <f aca="false">'[2]$ лето'!ay938*1.1</f>
        <v>1540</v>
      </c>
    </row>
    <row r="939" customFormat="false" ht="15" hidden="false" customHeight="false" outlineLevel="0" collapsed="false">
      <c r="A939" s="115" t="s">
        <v>1511</v>
      </c>
      <c r="B939" s="115" t="s">
        <v>1524</v>
      </c>
      <c r="C939" s="107" t="s">
        <v>1525</v>
      </c>
      <c r="D939" s="107"/>
      <c r="E939" s="116"/>
      <c r="F939" s="116"/>
      <c r="G939" s="108"/>
      <c r="H939" s="105" t="n">
        <f aca="false">'[2]$ лето'!j939-'[2]$ лето'!au939-'[2]$ лето'!at939-'[2]$ лето'!as939-'[2]$ лето'!ar939-'[2]$ лето'!aq939-'[2]$ лето'!ap939-'[2]$ лето'!an939-'[2]$ лето'!am939-'[2]$ лето'!al939-'[2]$ лето'!ak939-'[2]$ лето'!aj939-'[2]$ лето'!ah939-'[2]$ лето'!ag939-'[2]$ лето'!af939-'[2]$ лето'!ae939-'[2]$ лето'!ad939-'[2]$ лето'!ab939-'[2]$ лето'!aa939-'[2]$ лето'!z939-'[2]$ лето'!y939-'[2]$ лето'!x939-'[2]$ лето'!v939-'[2]$ лето'!u939-'[2]$ лето'!t939-'[2]$ лето'!s939-'[2]$ лето'!r939-'[2]$ лето'!p939-'[2]$ лето'!o939-'[2]$ лето'!n939-'[2]$ лето'!m939-'[2]$ лето'!l939+'[2]$ лето'!k939+'[2]$ лето'!q939+'[2]$ лето'!w939+'[2]$ лето'!ac939+'[2]$ лето'!ai939+'[2]$ лето'!ao939</f>
        <v>2</v>
      </c>
      <c r="I939" s="109" t="n">
        <f aca="false">'[2]$ лето'!ay939*1.1</f>
        <v>1386</v>
      </c>
      <c r="J939" s="85" t="n">
        <v>2017</v>
      </c>
    </row>
    <row r="940" customFormat="false" ht="15" hidden="true" customHeight="false" outlineLevel="0" collapsed="false">
      <c r="A940" s="115" t="s">
        <v>1526</v>
      </c>
      <c r="B940" s="115" t="s">
        <v>991</v>
      </c>
      <c r="C940" s="107" t="s">
        <v>1527</v>
      </c>
      <c r="D940" s="107"/>
      <c r="E940" s="107"/>
      <c r="F940" s="107"/>
      <c r="G940" s="108" t="s">
        <v>520</v>
      </c>
      <c r="H940" s="105" t="n">
        <f aca="false">'[2]$ лето'!j940-'[2]$ лето'!au940-'[2]$ лето'!at940-'[2]$ лето'!as940-'[2]$ лето'!ar940-'[2]$ лето'!aq940-'[2]$ лето'!ap940-'[2]$ лето'!an940-'[2]$ лето'!am940-'[2]$ лето'!al940-'[2]$ лето'!ak940-'[2]$ лето'!aj940-'[2]$ лето'!ah940-'[2]$ лето'!ag940-'[2]$ лето'!af940-'[2]$ лето'!ae940-'[2]$ лето'!ad940-'[2]$ лето'!ab940-'[2]$ лето'!aa940-'[2]$ лето'!z940-'[2]$ лето'!y940-'[2]$ лето'!x940-'[2]$ лето'!v940-'[2]$ лето'!u940-'[2]$ лето'!t940-'[2]$ лето'!s940-'[2]$ лето'!r940-'[2]$ лето'!p940-'[2]$ лето'!o940-'[2]$ лето'!n940-'[2]$ лето'!m940-'[2]$ лето'!l940+'[2]$ лето'!k940+'[2]$ лето'!q940+'[2]$ лето'!w940+'[2]$ лето'!ac940+'[2]$ лето'!ai940+'[2]$ лето'!ao940</f>
        <v>0</v>
      </c>
      <c r="I940" s="109" t="n">
        <f aca="false">'[2]$ лето'!ay940*1.1</f>
        <v>1232</v>
      </c>
    </row>
    <row r="941" customFormat="false" ht="15" hidden="true" customHeight="false" outlineLevel="0" collapsed="false">
      <c r="A941" s="115" t="s">
        <v>1526</v>
      </c>
      <c r="B941" s="115" t="s">
        <v>1528</v>
      </c>
      <c r="C941" s="107" t="s">
        <v>1529</v>
      </c>
      <c r="D941" s="107"/>
      <c r="E941" s="107"/>
      <c r="F941" s="107"/>
      <c r="G941" s="108" t="s">
        <v>563</v>
      </c>
      <c r="H941" s="105" t="n">
        <f aca="false">'[2]$ лето'!j941-'[2]$ лето'!au941-'[2]$ лето'!at941-'[2]$ лето'!as941-'[2]$ лето'!ar941-'[2]$ лето'!aq941-'[2]$ лето'!ap941-'[2]$ лето'!an941-'[2]$ лето'!am941-'[2]$ лето'!al941-'[2]$ лето'!ak941-'[2]$ лето'!aj941-'[2]$ лето'!ah941-'[2]$ лето'!ag941-'[2]$ лето'!af941-'[2]$ лето'!ae941-'[2]$ лето'!ad941-'[2]$ лето'!ab941-'[2]$ лето'!aa941-'[2]$ лето'!z941-'[2]$ лето'!y941-'[2]$ лето'!x941-'[2]$ лето'!v941-'[2]$ лето'!u941-'[2]$ лето'!t941-'[2]$ лето'!s941-'[2]$ лето'!r941-'[2]$ лето'!p941-'[2]$ лето'!o941-'[2]$ лето'!n941-'[2]$ лето'!m941-'[2]$ лето'!l941+'[2]$ лето'!k941+'[2]$ лето'!q941+'[2]$ лето'!w941+'[2]$ лето'!ac941+'[2]$ лето'!ai941+'[2]$ лето'!ao941</f>
        <v>0</v>
      </c>
      <c r="I941" s="109" t="n">
        <f aca="false">'[2]$ лето'!ay941*1.1</f>
        <v>1416.8</v>
      </c>
    </row>
    <row r="942" customFormat="false" ht="15" hidden="false" customHeight="false" outlineLevel="0" collapsed="false">
      <c r="A942" s="115" t="s">
        <v>1526</v>
      </c>
      <c r="B942" s="115" t="s">
        <v>568</v>
      </c>
      <c r="C942" s="116" t="s">
        <v>1530</v>
      </c>
      <c r="D942" s="116"/>
      <c r="E942" s="116"/>
      <c r="F942" s="116"/>
      <c r="G942" s="108" t="s">
        <v>631</v>
      </c>
      <c r="H942" s="105" t="n">
        <f aca="false">'[2]$ лето'!j942-'[2]$ лето'!au942-'[2]$ лето'!at942-'[2]$ лето'!as942-'[2]$ лето'!ar942-'[2]$ лето'!aq942-'[2]$ лето'!ap942-'[2]$ лето'!an942-'[2]$ лето'!am942-'[2]$ лето'!al942-'[2]$ лето'!ak942-'[2]$ лето'!aj942-'[2]$ лето'!ah942-'[2]$ лето'!ag942-'[2]$ лето'!af942-'[2]$ лето'!ae942-'[2]$ лето'!ad942-'[2]$ лето'!ab942-'[2]$ лето'!aa942-'[2]$ лето'!z942-'[2]$ лето'!y942-'[2]$ лето'!x942-'[2]$ лето'!v942-'[2]$ лето'!u942-'[2]$ лето'!t942-'[2]$ лето'!s942-'[2]$ лето'!r942-'[2]$ лето'!p942-'[2]$ лето'!o942-'[2]$ лето'!n942-'[2]$ лето'!m942-'[2]$ лето'!l942+'[2]$ лето'!k942+'[2]$ лето'!q942+'[2]$ лето'!w942+'[2]$ лето'!ac942+'[2]$ лето'!ai942+'[2]$ лето'!ao942</f>
        <v>4</v>
      </c>
      <c r="I942" s="109" t="n">
        <f aca="false">'[2]$ лето'!ay942*1.1</f>
        <v>2002</v>
      </c>
      <c r="J942" s="85" t="n">
        <v>2017</v>
      </c>
    </row>
    <row r="943" customFormat="false" ht="15" hidden="true" customHeight="false" outlineLevel="0" collapsed="false">
      <c r="A943" s="115" t="s">
        <v>1526</v>
      </c>
      <c r="B943" s="115" t="s">
        <v>844</v>
      </c>
      <c r="C943" s="116" t="s">
        <v>1531</v>
      </c>
      <c r="D943" s="116"/>
      <c r="E943" s="116"/>
      <c r="F943" s="116"/>
      <c r="G943" s="108"/>
      <c r="H943" s="105" t="n">
        <f aca="false">'[2]$ лето'!j943-'[2]$ лето'!au943-'[2]$ лето'!at943-'[2]$ лето'!as943-'[2]$ лето'!ar943-'[2]$ лето'!aq943-'[2]$ лето'!ap943-'[2]$ лето'!an943-'[2]$ лето'!am943-'[2]$ лето'!al943-'[2]$ лето'!ak943-'[2]$ лето'!aj943-'[2]$ лето'!ah943-'[2]$ лето'!ag943-'[2]$ лето'!af943-'[2]$ лето'!ae943-'[2]$ лето'!ad943-'[2]$ лето'!ab943-'[2]$ лето'!aa943-'[2]$ лето'!z943-'[2]$ лето'!y943-'[2]$ лето'!x943-'[2]$ лето'!v943-'[2]$ лето'!u943-'[2]$ лето'!t943-'[2]$ лето'!s943-'[2]$ лето'!r943-'[2]$ лето'!p943-'[2]$ лето'!o943-'[2]$ лето'!n943-'[2]$ лето'!m943-'[2]$ лето'!l943+'[2]$ лето'!k943+'[2]$ лето'!q943+'[2]$ лето'!w943+'[2]$ лето'!ac943+'[2]$ лето'!ai943+'[2]$ лето'!ao943</f>
        <v>0</v>
      </c>
      <c r="I943" s="109" t="n">
        <f aca="false">'[2]$ лето'!ay943*1.1</f>
        <v>3942.4</v>
      </c>
    </row>
    <row r="944" customFormat="false" ht="15" hidden="false" customHeight="false" outlineLevel="0" collapsed="false">
      <c r="A944" s="115" t="s">
        <v>1526</v>
      </c>
      <c r="B944" s="115" t="s">
        <v>601</v>
      </c>
      <c r="C944" s="116" t="s">
        <v>1532</v>
      </c>
      <c r="D944" s="116"/>
      <c r="E944" s="116"/>
      <c r="F944" s="116"/>
      <c r="G944" s="108" t="s">
        <v>849</v>
      </c>
      <c r="H944" s="105" t="n">
        <f aca="false">'[2]$ лето'!j944-'[2]$ лето'!au944-'[2]$ лето'!at944-'[2]$ лето'!as944-'[2]$ лето'!ar944-'[2]$ лето'!aq944-'[2]$ лето'!ap944-'[2]$ лето'!an944-'[2]$ лето'!am944-'[2]$ лето'!al944-'[2]$ лето'!ak944-'[2]$ лето'!aj944-'[2]$ лето'!ah944-'[2]$ лето'!ag944-'[2]$ лето'!af944-'[2]$ лето'!ae944-'[2]$ лето'!ad944-'[2]$ лето'!ab944-'[2]$ лето'!aa944-'[2]$ лето'!z944-'[2]$ лето'!y944-'[2]$ лето'!x944-'[2]$ лето'!v944-'[2]$ лето'!u944-'[2]$ лето'!t944-'[2]$ лето'!s944-'[2]$ лето'!r944-'[2]$ лето'!p944-'[2]$ лето'!o944-'[2]$ лето'!n944-'[2]$ лето'!m944-'[2]$ лето'!l944+'[2]$ лето'!k944+'[2]$ лето'!q944+'[2]$ лето'!w944+'[2]$ лето'!ac944+'[2]$ лето'!ai944+'[2]$ лето'!ao944</f>
        <v>8</v>
      </c>
      <c r="I944" s="109" t="n">
        <f aca="false">'[2]$ лето'!ay944*1.1</f>
        <v>3449.6</v>
      </c>
      <c r="J944" s="85" t="n">
        <v>2018</v>
      </c>
    </row>
    <row r="945" customFormat="false" ht="15" hidden="true" customHeight="false" outlineLevel="0" collapsed="false">
      <c r="A945" s="115" t="s">
        <v>1526</v>
      </c>
      <c r="B945" s="115" t="s">
        <v>601</v>
      </c>
      <c r="C945" s="116" t="s">
        <v>1533</v>
      </c>
      <c r="D945" s="116"/>
      <c r="E945" s="116"/>
      <c r="F945" s="116"/>
      <c r="G945" s="108"/>
      <c r="H945" s="105" t="n">
        <f aca="false">'[2]$ лето'!j945-'[2]$ лето'!au945-'[2]$ лето'!at945-'[2]$ лето'!as945-'[2]$ лето'!ar945-'[2]$ лето'!aq945-'[2]$ лето'!ap945-'[2]$ лето'!an945-'[2]$ лето'!am945-'[2]$ лето'!al945-'[2]$ лето'!ak945-'[2]$ лето'!aj945-'[2]$ лето'!ah945-'[2]$ лето'!ag945-'[2]$ лето'!af945-'[2]$ лето'!ae945-'[2]$ лето'!ad945-'[2]$ лето'!ab945-'[2]$ лето'!aa945-'[2]$ лето'!z945-'[2]$ лето'!y945-'[2]$ лето'!x945-'[2]$ лето'!v945-'[2]$ лето'!u945-'[2]$ лето'!t945-'[2]$ лето'!s945-'[2]$ лето'!r945-'[2]$ лето'!p945-'[2]$ лето'!o945-'[2]$ лето'!n945-'[2]$ лето'!m945-'[2]$ лето'!l945+'[2]$ лето'!k945+'[2]$ лето'!q945+'[2]$ лето'!w945+'[2]$ лето'!ac945+'[2]$ лето'!ai945+'[2]$ лето'!ao945</f>
        <v>0</v>
      </c>
      <c r="I945" s="109" t="n">
        <f aca="false">'[2]$ лето'!ay945*1.1</f>
        <v>3388</v>
      </c>
      <c r="J945" s="85" t="n">
        <v>2016</v>
      </c>
    </row>
    <row r="946" customFormat="false" ht="15" hidden="false" customHeight="false" outlineLevel="0" collapsed="false">
      <c r="A946" s="115" t="s">
        <v>1526</v>
      </c>
      <c r="B946" s="115" t="s">
        <v>658</v>
      </c>
      <c r="C946" s="107" t="s">
        <v>1534</v>
      </c>
      <c r="D946" s="107"/>
      <c r="E946" s="116"/>
      <c r="F946" s="116"/>
      <c r="G946" s="108" t="s">
        <v>570</v>
      </c>
      <c r="H946" s="105" t="n">
        <f aca="false">'[2]$ лето'!j946-'[2]$ лето'!au946-'[2]$ лето'!at946-'[2]$ лето'!as946-'[2]$ лето'!ar946-'[2]$ лето'!aq946-'[2]$ лето'!ap946-'[2]$ лето'!an946-'[2]$ лето'!am946-'[2]$ лето'!al946-'[2]$ лето'!ak946-'[2]$ лето'!aj946-'[2]$ лето'!ah946-'[2]$ лето'!ag946-'[2]$ лето'!af946-'[2]$ лето'!ae946-'[2]$ лето'!ad946-'[2]$ лето'!ab946-'[2]$ лето'!aa946-'[2]$ лето'!z946-'[2]$ лето'!y946-'[2]$ лето'!x946-'[2]$ лето'!v946-'[2]$ лето'!u946-'[2]$ лето'!t946-'[2]$ лето'!s946-'[2]$ лето'!r946-'[2]$ лето'!p946-'[2]$ лето'!o946-'[2]$ лето'!n946-'[2]$ лето'!m946-'[2]$ лето'!l946+'[2]$ лето'!k946+'[2]$ лето'!q946+'[2]$ лето'!w946+'[2]$ лето'!ac946+'[2]$ лето'!ai946+'[2]$ лето'!ao946</f>
        <v>4</v>
      </c>
      <c r="I946" s="109" t="n">
        <f aca="false">'[2]$ лето'!ay946*1.1</f>
        <v>3696</v>
      </c>
      <c r="J946" s="85" t="n">
        <v>2017</v>
      </c>
    </row>
    <row r="947" customFormat="false" ht="15" hidden="false" customHeight="false" outlineLevel="0" collapsed="false">
      <c r="A947" s="115" t="s">
        <v>1526</v>
      </c>
      <c r="B947" s="115" t="s">
        <v>658</v>
      </c>
      <c r="C947" s="107" t="s">
        <v>1535</v>
      </c>
      <c r="D947" s="107"/>
      <c r="E947" s="116"/>
      <c r="F947" s="116"/>
      <c r="G947" s="108" t="s">
        <v>631</v>
      </c>
      <c r="H947" s="105" t="n">
        <f aca="false">'[2]$ лето'!j947-'[2]$ лето'!au947-'[2]$ лето'!at947-'[2]$ лето'!as947-'[2]$ лето'!ar947-'[2]$ лето'!aq947-'[2]$ лето'!ap947-'[2]$ лето'!an947-'[2]$ лето'!am947-'[2]$ лето'!al947-'[2]$ лето'!ak947-'[2]$ лето'!aj947-'[2]$ лето'!ah947-'[2]$ лето'!ag947-'[2]$ лето'!af947-'[2]$ лето'!ae947-'[2]$ лето'!ad947-'[2]$ лето'!ab947-'[2]$ лето'!aa947-'[2]$ лето'!z947-'[2]$ лето'!y947-'[2]$ лето'!x947-'[2]$ лето'!v947-'[2]$ лето'!u947-'[2]$ лето'!t947-'[2]$ лето'!s947-'[2]$ лето'!r947-'[2]$ лето'!p947-'[2]$ лето'!o947-'[2]$ лето'!n947-'[2]$ лето'!m947-'[2]$ лето'!l947+'[2]$ лето'!k947+'[2]$ лето'!q947+'[2]$ лето'!w947+'[2]$ лето'!ac947+'[2]$ лето'!ai947+'[2]$ лето'!ao947</f>
        <v>4</v>
      </c>
      <c r="I947" s="109" t="n">
        <f aca="false">'[2]$ лето'!ay947*1.1</f>
        <v>3696</v>
      </c>
      <c r="J947" s="85" t="n">
        <v>2018</v>
      </c>
    </row>
    <row r="948" customFormat="false" ht="15" hidden="false" customHeight="false" outlineLevel="0" collapsed="false">
      <c r="A948" s="115" t="s">
        <v>1526</v>
      </c>
      <c r="B948" s="115" t="s">
        <v>821</v>
      </c>
      <c r="C948" s="107" t="s">
        <v>1536</v>
      </c>
      <c r="D948" s="107"/>
      <c r="E948" s="116"/>
      <c r="F948" s="116"/>
      <c r="G948" s="108" t="s">
        <v>933</v>
      </c>
      <c r="H948" s="105" t="n">
        <f aca="false">'[2]$ лето'!j948-'[2]$ лето'!au948-'[2]$ лето'!at948-'[2]$ лето'!as948-'[2]$ лето'!ar948-'[2]$ лето'!aq948-'[2]$ лето'!ap948-'[2]$ лето'!an948-'[2]$ лето'!am948-'[2]$ лето'!al948-'[2]$ лето'!ak948-'[2]$ лето'!aj948-'[2]$ лето'!ah948-'[2]$ лето'!ag948-'[2]$ лето'!af948-'[2]$ лето'!ae948-'[2]$ лето'!ad948-'[2]$ лето'!ab948-'[2]$ лето'!aa948-'[2]$ лето'!z948-'[2]$ лето'!y948-'[2]$ лето'!x948-'[2]$ лето'!v948-'[2]$ лето'!u948-'[2]$ лето'!t948-'[2]$ лето'!s948-'[2]$ лето'!r948-'[2]$ лето'!p948-'[2]$ лето'!o948-'[2]$ лето'!n948-'[2]$ лето'!m948-'[2]$ лето'!l948+'[2]$ лето'!k948+'[2]$ лето'!q948+'[2]$ лето'!w948+'[2]$ лето'!ac948+'[2]$ лето'!ai948+'[2]$ лето'!ao948</f>
        <v>2</v>
      </c>
      <c r="I948" s="109" t="n">
        <f aca="false">'[2]$ лето'!ay948*1.1</f>
        <v>1540</v>
      </c>
      <c r="J948" s="85" t="n">
        <v>2016</v>
      </c>
    </row>
    <row r="949" customFormat="false" ht="15" hidden="true" customHeight="false" outlineLevel="0" collapsed="false">
      <c r="A949" s="115" t="s">
        <v>1526</v>
      </c>
      <c r="B949" s="115" t="s">
        <v>1537</v>
      </c>
      <c r="C949" s="107" t="s">
        <v>1538</v>
      </c>
      <c r="D949" s="107"/>
      <c r="E949" s="107"/>
      <c r="F949" s="107"/>
      <c r="G949" s="108"/>
      <c r="H949" s="105" t="n">
        <f aca="false">'[2]$ лето'!j949-'[2]$ лето'!au949-'[2]$ лето'!at949-'[2]$ лето'!as949-'[2]$ лето'!ar949-'[2]$ лето'!aq949-'[2]$ лето'!ap949-'[2]$ лето'!an949-'[2]$ лето'!am949-'[2]$ лето'!al949-'[2]$ лето'!ak949-'[2]$ лето'!aj949-'[2]$ лето'!ah949-'[2]$ лето'!ag949-'[2]$ лето'!af949-'[2]$ лето'!ae949-'[2]$ лето'!ad949-'[2]$ лето'!ab949-'[2]$ лето'!aa949-'[2]$ лето'!z949-'[2]$ лето'!y949-'[2]$ лето'!x949-'[2]$ лето'!v949-'[2]$ лето'!u949-'[2]$ лето'!t949-'[2]$ лето'!s949-'[2]$ лето'!r949-'[2]$ лето'!p949-'[2]$ лето'!o949-'[2]$ лето'!n949-'[2]$ лето'!m949-'[2]$ лето'!l949+'[2]$ лето'!k949+'[2]$ лето'!q949+'[2]$ лето'!w949+'[2]$ лето'!ac949+'[2]$ лето'!ai949+'[2]$ лето'!ao949</f>
        <v>0</v>
      </c>
      <c r="I949" s="109" t="n">
        <f aca="false">'[2]$ лето'!ay949*1.1</f>
        <v>1386</v>
      </c>
    </row>
    <row r="950" customFormat="false" ht="15" hidden="false" customHeight="false" outlineLevel="0" collapsed="false">
      <c r="A950" s="115" t="s">
        <v>1526</v>
      </c>
      <c r="B950" s="115" t="s">
        <v>553</v>
      </c>
      <c r="C950" s="107" t="s">
        <v>1539</v>
      </c>
      <c r="D950" s="107"/>
      <c r="E950" s="116"/>
      <c r="F950" s="116"/>
      <c r="G950" s="108" t="s">
        <v>847</v>
      </c>
      <c r="H950" s="105" t="n">
        <f aca="false">'[2]$ лето'!j950-'[2]$ лето'!au950-'[2]$ лето'!at950-'[2]$ лето'!as950-'[2]$ лето'!ar950-'[2]$ лето'!aq950-'[2]$ лето'!ap950-'[2]$ лето'!an950-'[2]$ лето'!am950-'[2]$ лето'!al950-'[2]$ лето'!ak950-'[2]$ лето'!aj950-'[2]$ лето'!ah950-'[2]$ лето'!ag950-'[2]$ лето'!af950-'[2]$ лето'!ae950-'[2]$ лето'!ad950-'[2]$ лето'!ab950-'[2]$ лето'!aa950-'[2]$ лето'!z950-'[2]$ лето'!y950-'[2]$ лето'!x950-'[2]$ лето'!v950-'[2]$ лето'!u950-'[2]$ лето'!t950-'[2]$ лето'!s950-'[2]$ лето'!r950-'[2]$ лето'!p950-'[2]$ лето'!o950-'[2]$ лето'!n950-'[2]$ лето'!m950-'[2]$ лето'!l950+'[2]$ лето'!k950+'[2]$ лето'!q950+'[2]$ лето'!w950+'[2]$ лето'!ac950+'[2]$ лето'!ai950+'[2]$ лето'!ao950</f>
        <v>2</v>
      </c>
      <c r="I950" s="109" t="n">
        <f aca="false">'[2]$ лето'!ay950*1.1</f>
        <v>1386</v>
      </c>
      <c r="J950" s="85" t="n">
        <v>2012</v>
      </c>
    </row>
    <row r="951" customFormat="false" ht="15" hidden="false" customHeight="false" outlineLevel="0" collapsed="false">
      <c r="A951" s="115" t="s">
        <v>1526</v>
      </c>
      <c r="B951" s="115" t="s">
        <v>604</v>
      </c>
      <c r="C951" s="107" t="s">
        <v>1540</v>
      </c>
      <c r="D951" s="107"/>
      <c r="E951" s="116"/>
      <c r="F951" s="116"/>
      <c r="G951" s="108"/>
      <c r="H951" s="105" t="n">
        <f aca="false">'[2]$ лето'!j951-'[2]$ лето'!au951-'[2]$ лето'!at951-'[2]$ лето'!as951-'[2]$ лето'!ar951-'[2]$ лето'!aq951-'[2]$ лето'!ap951-'[2]$ лето'!an951-'[2]$ лето'!am951-'[2]$ лето'!al951-'[2]$ лето'!ak951-'[2]$ лето'!aj951-'[2]$ лето'!ah951-'[2]$ лето'!ag951-'[2]$ лето'!af951-'[2]$ лето'!ae951-'[2]$ лето'!ad951-'[2]$ лето'!ab951-'[2]$ лето'!aa951-'[2]$ лето'!z951-'[2]$ лето'!y951-'[2]$ лето'!x951-'[2]$ лето'!v951-'[2]$ лето'!u951-'[2]$ лето'!t951-'[2]$ лето'!s951-'[2]$ лето'!r951-'[2]$ лето'!p951-'[2]$ лето'!o951-'[2]$ лето'!n951-'[2]$ лето'!m951-'[2]$ лето'!l951+'[2]$ лето'!k951+'[2]$ лето'!q951+'[2]$ лето'!w951+'[2]$ лето'!ac951+'[2]$ лето'!ai951+'[2]$ лето'!ao951</f>
        <v>4</v>
      </c>
      <c r="I951" s="109" t="n">
        <f aca="false">'[2]$ лето'!ay951*1.1</f>
        <v>2772</v>
      </c>
    </row>
    <row r="952" customFormat="false" ht="15" hidden="true" customHeight="false" outlineLevel="0" collapsed="false">
      <c r="A952" s="115" t="s">
        <v>1526</v>
      </c>
      <c r="B952" s="115" t="s">
        <v>948</v>
      </c>
      <c r="C952" s="107" t="s">
        <v>1541</v>
      </c>
      <c r="D952" s="107"/>
      <c r="E952" s="107"/>
      <c r="F952" s="107"/>
      <c r="G952" s="108"/>
      <c r="H952" s="105" t="n">
        <f aca="false">'[2]$ лето'!j952-'[2]$ лето'!au952-'[2]$ лето'!at952-'[2]$ лето'!as952-'[2]$ лето'!ar952-'[2]$ лето'!aq952-'[2]$ лето'!ap952-'[2]$ лето'!an952-'[2]$ лето'!am952-'[2]$ лето'!al952-'[2]$ лето'!ak952-'[2]$ лето'!aj952-'[2]$ лето'!ah952-'[2]$ лето'!ag952-'[2]$ лето'!af952-'[2]$ лето'!ae952-'[2]$ лето'!ad952-'[2]$ лето'!ab952-'[2]$ лето'!aa952-'[2]$ лето'!z952-'[2]$ лето'!y952-'[2]$ лето'!x952-'[2]$ лето'!v952-'[2]$ лето'!u952-'[2]$ лето'!t952-'[2]$ лето'!s952-'[2]$ лето'!r952-'[2]$ лето'!p952-'[2]$ лето'!o952-'[2]$ лето'!n952-'[2]$ лето'!m952-'[2]$ лето'!l952+'[2]$ лето'!k952+'[2]$ лето'!q952+'[2]$ лето'!w952+'[2]$ лето'!ac952+'[2]$ лето'!ai952+'[2]$ лето'!ao952</f>
        <v>0</v>
      </c>
      <c r="I952" s="109" t="n">
        <f aca="false">'[2]$ лето'!ay952*1.1</f>
        <v>2772</v>
      </c>
      <c r="J952" s="85" t="n">
        <v>2017</v>
      </c>
    </row>
    <row r="953" customFormat="false" ht="15" hidden="true" customHeight="false" outlineLevel="0" collapsed="false">
      <c r="A953" s="115" t="s">
        <v>1526</v>
      </c>
      <c r="B953" s="115" t="s">
        <v>606</v>
      </c>
      <c r="C953" s="107" t="s">
        <v>1542</v>
      </c>
      <c r="D953" s="107"/>
      <c r="E953" s="107"/>
      <c r="F953" s="107"/>
      <c r="G953" s="108"/>
      <c r="H953" s="105" t="n">
        <f aca="false">'[2]$ лето'!j953-'[2]$ лето'!au953-'[2]$ лето'!at953-'[2]$ лето'!as953-'[2]$ лето'!ar953-'[2]$ лето'!aq953-'[2]$ лето'!ap953-'[2]$ лето'!an953-'[2]$ лето'!am953-'[2]$ лето'!al953-'[2]$ лето'!ak953-'[2]$ лето'!aj953-'[2]$ лето'!ah953-'[2]$ лето'!ag953-'[2]$ лето'!af953-'[2]$ лето'!ae953-'[2]$ лето'!ad953-'[2]$ лето'!ab953-'[2]$ лето'!aa953-'[2]$ лето'!z953-'[2]$ лето'!y953-'[2]$ лето'!x953-'[2]$ лето'!v953-'[2]$ лето'!u953-'[2]$ лето'!t953-'[2]$ лето'!s953-'[2]$ лето'!r953-'[2]$ лето'!p953-'[2]$ лето'!o953-'[2]$ лето'!n953-'[2]$ лето'!m953-'[2]$ лето'!l953+'[2]$ лето'!k953+'[2]$ лето'!q953+'[2]$ лето'!w953+'[2]$ лето'!ac953+'[2]$ лето'!ai953+'[2]$ лето'!ao953</f>
        <v>0</v>
      </c>
      <c r="I953" s="109" t="n">
        <f aca="false">'[2]$ лето'!ay953*1.1</f>
        <v>2926</v>
      </c>
      <c r="J953" s="85" t="n">
        <v>2018</v>
      </c>
    </row>
    <row r="954" customFormat="false" ht="15" hidden="true" customHeight="false" outlineLevel="0" collapsed="false">
      <c r="A954" s="115" t="s">
        <v>1526</v>
      </c>
      <c r="B954" s="115" t="s">
        <v>1130</v>
      </c>
      <c r="C954" s="107" t="s">
        <v>1543</v>
      </c>
      <c r="D954" s="107"/>
      <c r="E954" s="107"/>
      <c r="F954" s="107"/>
      <c r="G954" s="108"/>
      <c r="H954" s="105" t="n">
        <f aca="false">'[2]$ лето'!j954-'[2]$ лето'!au954-'[2]$ лето'!at954-'[2]$ лето'!as954-'[2]$ лето'!ar954-'[2]$ лето'!aq954-'[2]$ лето'!ap954-'[2]$ лето'!an954-'[2]$ лето'!am954-'[2]$ лето'!al954-'[2]$ лето'!ak954-'[2]$ лето'!aj954-'[2]$ лето'!ah954-'[2]$ лето'!ag954-'[2]$ лето'!af954-'[2]$ лето'!ae954-'[2]$ лето'!ad954-'[2]$ лето'!ab954-'[2]$ лето'!aa954-'[2]$ лето'!z954-'[2]$ лето'!y954-'[2]$ лето'!x954-'[2]$ лето'!v954-'[2]$ лето'!u954-'[2]$ лето'!t954-'[2]$ лето'!s954-'[2]$ лето'!r954-'[2]$ лето'!p954-'[2]$ лето'!o954-'[2]$ лето'!n954-'[2]$ лето'!m954-'[2]$ лето'!l954+'[2]$ лето'!k954+'[2]$ лето'!q954+'[2]$ лето'!w954+'[2]$ лето'!ac954+'[2]$ лето'!ai954+'[2]$ лето'!ao954</f>
        <v>0</v>
      </c>
      <c r="I954" s="109" t="n">
        <f aca="false">'[2]$ лето'!ay954*1.1</f>
        <v>1324.4</v>
      </c>
    </row>
    <row r="955" customFormat="false" ht="15" hidden="false" customHeight="false" outlineLevel="0" collapsed="false">
      <c r="A955" s="115" t="s">
        <v>1526</v>
      </c>
      <c r="B955" s="115" t="s">
        <v>668</v>
      </c>
      <c r="C955" s="107" t="s">
        <v>1009</v>
      </c>
      <c r="D955" s="107"/>
      <c r="E955" s="116"/>
      <c r="F955" s="116"/>
      <c r="G955" s="108" t="s">
        <v>609</v>
      </c>
      <c r="H955" s="105" t="n">
        <f aca="false">'[2]$ лето'!j955-'[2]$ лето'!au955-'[2]$ лето'!at955-'[2]$ лето'!as955-'[2]$ лето'!ar955-'[2]$ лето'!aq955-'[2]$ лето'!ap955-'[2]$ лето'!an955-'[2]$ лето'!am955-'[2]$ лето'!al955-'[2]$ лето'!ak955-'[2]$ лето'!aj955-'[2]$ лето'!ah955-'[2]$ лето'!ag955-'[2]$ лето'!af955-'[2]$ лето'!ae955-'[2]$ лето'!ad955-'[2]$ лето'!ab955-'[2]$ лето'!aa955-'[2]$ лето'!z955-'[2]$ лето'!y955-'[2]$ лето'!x955-'[2]$ лето'!v955-'[2]$ лето'!u955-'[2]$ лето'!t955-'[2]$ лето'!s955-'[2]$ лето'!r955-'[2]$ лето'!p955-'[2]$ лето'!o955-'[2]$ лето'!n955-'[2]$ лето'!m955-'[2]$ лето'!l955+'[2]$ лето'!k955+'[2]$ лето'!q955+'[2]$ лето'!w955+'[2]$ лето'!ac955+'[2]$ лето'!ai955+'[2]$ лето'!ao955</f>
        <v>4</v>
      </c>
      <c r="I955" s="109" t="n">
        <f aca="false">'[2]$ лето'!ay955*1.1</f>
        <v>2453</v>
      </c>
      <c r="J955" s="85" t="n">
        <v>2017</v>
      </c>
    </row>
    <row r="956" customFormat="false" ht="15" hidden="false" customHeight="false" outlineLevel="0" collapsed="false">
      <c r="A956" s="115" t="s">
        <v>1526</v>
      </c>
      <c r="B956" s="115" t="s">
        <v>574</v>
      </c>
      <c r="C956" s="116" t="s">
        <v>1544</v>
      </c>
      <c r="D956" s="116"/>
      <c r="E956" s="116"/>
      <c r="F956" s="116"/>
      <c r="G956" s="108" t="s">
        <v>576</v>
      </c>
      <c r="H956" s="105" t="n">
        <f aca="false">'[2]$ лето'!j956-'[2]$ лето'!au956-'[2]$ лето'!at956-'[2]$ лето'!as956-'[2]$ лето'!ar956-'[2]$ лето'!aq956-'[2]$ лето'!ap956-'[2]$ лето'!an956-'[2]$ лето'!am956-'[2]$ лето'!al956-'[2]$ лето'!ak956-'[2]$ лето'!aj956-'[2]$ лето'!ah956-'[2]$ лето'!ag956-'[2]$ лето'!af956-'[2]$ лето'!ae956-'[2]$ лето'!ad956-'[2]$ лето'!ab956-'[2]$ лето'!aa956-'[2]$ лето'!z956-'[2]$ лето'!y956-'[2]$ лето'!x956-'[2]$ лето'!v956-'[2]$ лето'!u956-'[2]$ лето'!t956-'[2]$ лето'!s956-'[2]$ лето'!r956-'[2]$ лето'!p956-'[2]$ лето'!o956-'[2]$ лето'!n956-'[2]$ лето'!m956-'[2]$ лето'!l956+'[2]$ лето'!k956+'[2]$ лето'!q956+'[2]$ лето'!w956+'[2]$ лето'!ac956+'[2]$ лето'!ai956+'[2]$ лето'!ao956</f>
        <v>2</v>
      </c>
      <c r="I956" s="109" t="n">
        <f aca="false">'[2]$ лето'!ay956*1.1</f>
        <v>2249.28</v>
      </c>
      <c r="J956" s="85" t="n">
        <v>2018</v>
      </c>
    </row>
    <row r="957" customFormat="false" ht="15" hidden="false" customHeight="false" outlineLevel="0" collapsed="false">
      <c r="A957" s="115" t="s">
        <v>1526</v>
      </c>
      <c r="B957" s="115" t="s">
        <v>574</v>
      </c>
      <c r="C957" s="116" t="s">
        <v>1545</v>
      </c>
      <c r="D957" s="116"/>
      <c r="E957" s="116"/>
      <c r="F957" s="116"/>
      <c r="G957" s="108" t="s">
        <v>576</v>
      </c>
      <c r="H957" s="105" t="n">
        <f aca="false">'[2]$ лето'!j957-'[2]$ лето'!au957-'[2]$ лето'!at957-'[2]$ лето'!as957-'[2]$ лето'!ar957-'[2]$ лето'!aq957-'[2]$ лето'!ap957-'[2]$ лето'!an957-'[2]$ лето'!am957-'[2]$ лето'!al957-'[2]$ лето'!ak957-'[2]$ лето'!aj957-'[2]$ лето'!ah957-'[2]$ лето'!ag957-'[2]$ лето'!af957-'[2]$ лето'!ae957-'[2]$ лето'!ad957-'[2]$ лето'!ab957-'[2]$ лето'!aa957-'[2]$ лето'!z957-'[2]$ лето'!y957-'[2]$ лето'!x957-'[2]$ лето'!v957-'[2]$ лето'!u957-'[2]$ лето'!t957-'[2]$ лето'!s957-'[2]$ лето'!r957-'[2]$ лето'!p957-'[2]$ лето'!o957-'[2]$ лето'!n957-'[2]$ лето'!m957-'[2]$ лето'!l957+'[2]$ лето'!k957+'[2]$ лето'!q957+'[2]$ лето'!w957+'[2]$ лето'!ac957+'[2]$ лето'!ai957+'[2]$ лето'!ao957</f>
        <v>2</v>
      </c>
      <c r="I957" s="109" t="n">
        <f aca="false">'[2]$ лето'!ay957*1.1</f>
        <v>2093.08</v>
      </c>
      <c r="J957" s="85" t="n">
        <v>2018</v>
      </c>
    </row>
    <row r="958" customFormat="false" ht="15" hidden="true" customHeight="false" outlineLevel="0" collapsed="false">
      <c r="A958" s="123" t="s">
        <v>1526</v>
      </c>
      <c r="B958" s="115" t="s">
        <v>883</v>
      </c>
      <c r="C958" s="116" t="s">
        <v>1546</v>
      </c>
      <c r="D958" s="116"/>
      <c r="E958" s="116"/>
      <c r="F958" s="116"/>
      <c r="G958" s="108"/>
      <c r="H958" s="105" t="n">
        <f aca="false">'[2]$ лето'!j958-'[2]$ лето'!au958-'[2]$ лето'!at958-'[2]$ лето'!as958-'[2]$ лето'!ar958-'[2]$ лето'!aq958-'[2]$ лето'!ap958-'[2]$ лето'!an958-'[2]$ лето'!am958-'[2]$ лето'!al958-'[2]$ лето'!ak958-'[2]$ лето'!aj958-'[2]$ лето'!ah958-'[2]$ лето'!ag958-'[2]$ лето'!af958-'[2]$ лето'!ae958-'[2]$ лето'!ad958-'[2]$ лето'!ab958-'[2]$ лето'!aa958-'[2]$ лето'!z958-'[2]$ лето'!y958-'[2]$ лето'!x958-'[2]$ лето'!v958-'[2]$ лето'!u958-'[2]$ лето'!t958-'[2]$ лето'!s958-'[2]$ лето'!r958-'[2]$ лето'!p958-'[2]$ лето'!o958-'[2]$ лето'!n958-'[2]$ лето'!m958-'[2]$ лето'!l958+'[2]$ лето'!k958+'[2]$ лето'!q958+'[2]$ лето'!w958+'[2]$ лето'!ac958+'[2]$ лето'!ai958+'[2]$ лето'!ao958</f>
        <v>0</v>
      </c>
      <c r="I958" s="109" t="n">
        <f aca="false">'[2]$ лето'!ay958*1.1</f>
        <v>1848</v>
      </c>
    </row>
    <row r="959" customFormat="false" ht="15" hidden="true" customHeight="false" outlineLevel="0" collapsed="false">
      <c r="A959" s="123" t="s">
        <v>1526</v>
      </c>
      <c r="B959" s="115" t="s">
        <v>583</v>
      </c>
      <c r="C959" s="116" t="s">
        <v>1547</v>
      </c>
      <c r="D959" s="116"/>
      <c r="E959" s="116"/>
      <c r="F959" s="116"/>
      <c r="G959" s="108"/>
      <c r="H959" s="105" t="n">
        <f aca="false">'[2]$ лето'!j959-'[2]$ лето'!au959-'[2]$ лето'!at959-'[2]$ лето'!as959-'[2]$ лето'!ar959-'[2]$ лето'!aq959-'[2]$ лето'!ap959-'[2]$ лето'!an959-'[2]$ лето'!am959-'[2]$ лето'!al959-'[2]$ лето'!ak959-'[2]$ лето'!aj959-'[2]$ лето'!ah959-'[2]$ лето'!ag959-'[2]$ лето'!af959-'[2]$ лето'!ae959-'[2]$ лето'!ad959-'[2]$ лето'!ab959-'[2]$ лето'!aa959-'[2]$ лето'!z959-'[2]$ лето'!y959-'[2]$ лето'!x959-'[2]$ лето'!v959-'[2]$ лето'!u959-'[2]$ лето'!t959-'[2]$ лето'!s959-'[2]$ лето'!r959-'[2]$ лето'!p959-'[2]$ лето'!o959-'[2]$ лето'!n959-'[2]$ лето'!m959-'[2]$ лето'!l959+'[2]$ лето'!k959+'[2]$ лето'!q959+'[2]$ лето'!w959+'[2]$ лето'!ac959+'[2]$ лето'!ai959+'[2]$ лето'!ao959</f>
        <v>0</v>
      </c>
      <c r="I959" s="109" t="n">
        <f aca="false">'[2]$ лето'!ay959*1.1</f>
        <v>1755.6</v>
      </c>
      <c r="J959" s="85" t="n">
        <v>2018</v>
      </c>
    </row>
    <row r="960" customFormat="false" ht="15" hidden="true" customHeight="false" outlineLevel="0" collapsed="false">
      <c r="A960" s="123" t="s">
        <v>1526</v>
      </c>
      <c r="B960" s="123" t="s">
        <v>593</v>
      </c>
      <c r="C960" s="116" t="s">
        <v>1548</v>
      </c>
      <c r="D960" s="116"/>
      <c r="E960" s="116"/>
      <c r="F960" s="116"/>
      <c r="G960" s="108" t="s">
        <v>935</v>
      </c>
      <c r="H960" s="105" t="n">
        <f aca="false">'[2]$ лето'!j960-'[2]$ лето'!au960-'[2]$ лето'!at960-'[2]$ лето'!as960-'[2]$ лето'!ar960-'[2]$ лето'!aq960-'[2]$ лето'!ap960-'[2]$ лето'!an960-'[2]$ лето'!am960-'[2]$ лето'!al960-'[2]$ лето'!ak960-'[2]$ лето'!aj960-'[2]$ лето'!ah960-'[2]$ лето'!ag960-'[2]$ лето'!af960-'[2]$ лето'!ae960-'[2]$ лето'!ad960-'[2]$ лето'!ab960-'[2]$ лето'!aa960-'[2]$ лето'!z960-'[2]$ лето'!y960-'[2]$ лето'!x960-'[2]$ лето'!v960-'[2]$ лето'!u960-'[2]$ лето'!t960-'[2]$ лето'!s960-'[2]$ лето'!r960-'[2]$ лето'!p960-'[2]$ лето'!o960-'[2]$ лето'!n960-'[2]$ лето'!m960-'[2]$ лето'!l960+'[2]$ лето'!k960+'[2]$ лето'!q960+'[2]$ лето'!w960+'[2]$ лето'!ac960+'[2]$ лето'!ai960+'[2]$ лето'!ao960</f>
        <v>0</v>
      </c>
      <c r="I960" s="109" t="n">
        <f aca="false">'[2]$ лето'!ay960*1.1</f>
        <v>3973.2</v>
      </c>
      <c r="J960" s="85" t="n">
        <v>2018</v>
      </c>
    </row>
    <row r="961" customFormat="false" ht="15" hidden="true" customHeight="false" outlineLevel="0" collapsed="false">
      <c r="A961" s="123" t="s">
        <v>1526</v>
      </c>
      <c r="B961" s="123" t="s">
        <v>593</v>
      </c>
      <c r="C961" s="116" t="s">
        <v>1549</v>
      </c>
      <c r="D961" s="116"/>
      <c r="E961" s="116"/>
      <c r="F961" s="116"/>
      <c r="G961" s="108" t="s">
        <v>1142</v>
      </c>
      <c r="H961" s="105" t="n">
        <f aca="false">'[2]$ лето'!j961-'[2]$ лето'!au961-'[2]$ лето'!at961-'[2]$ лето'!as961-'[2]$ лето'!ar961-'[2]$ лето'!aq961-'[2]$ лето'!ap961-'[2]$ лето'!an961-'[2]$ лето'!am961-'[2]$ лето'!al961-'[2]$ лето'!ak961-'[2]$ лето'!aj961-'[2]$ лето'!ah961-'[2]$ лето'!ag961-'[2]$ лето'!af961-'[2]$ лето'!ae961-'[2]$ лето'!ad961-'[2]$ лето'!ab961-'[2]$ лето'!aa961-'[2]$ лето'!z961-'[2]$ лето'!y961-'[2]$ лето'!x961-'[2]$ лето'!v961-'[2]$ лето'!u961-'[2]$ лето'!t961-'[2]$ лето'!s961-'[2]$ лето'!r961-'[2]$ лето'!p961-'[2]$ лето'!o961-'[2]$ лето'!n961-'[2]$ лето'!m961-'[2]$ лето'!l961+'[2]$ лето'!k961+'[2]$ лето'!q961+'[2]$ лето'!w961+'[2]$ лето'!ac961+'[2]$ лето'!ai961+'[2]$ лето'!ao961</f>
        <v>0</v>
      </c>
      <c r="I961" s="109" t="n">
        <f aca="false">'[2]$ лето'!ay961*1.1</f>
        <v>4466</v>
      </c>
      <c r="J961" s="85" t="n">
        <v>2017</v>
      </c>
    </row>
    <row r="962" customFormat="false" ht="15" hidden="false" customHeight="false" outlineLevel="0" collapsed="false">
      <c r="A962" s="123" t="s">
        <v>1526</v>
      </c>
      <c r="B962" s="123" t="s">
        <v>613</v>
      </c>
      <c r="C962" s="116" t="s">
        <v>1550</v>
      </c>
      <c r="D962" s="116"/>
      <c r="E962" s="116"/>
      <c r="F962" s="116"/>
      <c r="G962" s="108" t="s">
        <v>520</v>
      </c>
      <c r="H962" s="105" t="n">
        <f aca="false">'[2]$ лето'!j962-'[2]$ лето'!au962-'[2]$ лето'!at962-'[2]$ лето'!as962-'[2]$ лето'!ar962-'[2]$ лето'!aq962-'[2]$ лето'!ap962-'[2]$ лето'!an962-'[2]$ лето'!am962-'[2]$ лето'!al962-'[2]$ лето'!ak962-'[2]$ лето'!aj962-'[2]$ лето'!ah962-'[2]$ лето'!ag962-'[2]$ лето'!af962-'[2]$ лето'!ae962-'[2]$ лето'!ad962-'[2]$ лето'!ab962-'[2]$ лето'!aa962-'[2]$ лето'!z962-'[2]$ лето'!y962-'[2]$ лето'!x962-'[2]$ лето'!v962-'[2]$ лето'!u962-'[2]$ лето'!t962-'[2]$ лето'!s962-'[2]$ лето'!r962-'[2]$ лето'!p962-'[2]$ лето'!o962-'[2]$ лето'!n962-'[2]$ лето'!m962-'[2]$ лето'!l962+'[2]$ лето'!k962+'[2]$ лето'!q962+'[2]$ лето'!w962+'[2]$ лето'!ac962+'[2]$ лето'!ai962+'[2]$ лето'!ao962</f>
        <v>4</v>
      </c>
      <c r="I962" s="109" t="n">
        <f aca="false">'[2]$ лето'!ay962*1.1</f>
        <v>1540</v>
      </c>
    </row>
    <row r="963" customFormat="false" ht="15" hidden="true" customHeight="false" outlineLevel="0" collapsed="false">
      <c r="A963" s="123" t="s">
        <v>1526</v>
      </c>
      <c r="B963" s="123" t="s">
        <v>586</v>
      </c>
      <c r="C963" s="119" t="s">
        <v>1551</v>
      </c>
      <c r="D963" s="119"/>
      <c r="E963" s="119"/>
      <c r="F963" s="119"/>
      <c r="G963" s="108" t="s">
        <v>520</v>
      </c>
      <c r="H963" s="105" t="n">
        <f aca="false">'[2]$ лето'!j963-'[2]$ лето'!au963-'[2]$ лето'!at963-'[2]$ лето'!as963-'[2]$ лето'!ar963-'[2]$ лето'!aq963-'[2]$ лето'!ap963-'[2]$ лето'!an963-'[2]$ лето'!am963-'[2]$ лето'!al963-'[2]$ лето'!ak963-'[2]$ лето'!aj963-'[2]$ лето'!ah963-'[2]$ лето'!ag963-'[2]$ лето'!af963-'[2]$ лето'!ae963-'[2]$ лето'!ad963-'[2]$ лето'!ab963-'[2]$ лето'!aa963-'[2]$ лето'!z963-'[2]$ лето'!y963-'[2]$ лето'!x963-'[2]$ лето'!v963-'[2]$ лето'!u963-'[2]$ лето'!t963-'[2]$ лето'!s963-'[2]$ лето'!r963-'[2]$ лето'!p963-'[2]$ лето'!o963-'[2]$ лето'!n963-'[2]$ лето'!m963-'[2]$ лето'!l963+'[2]$ лето'!k963+'[2]$ лето'!q963+'[2]$ лето'!w963+'[2]$ лето'!ac963+'[2]$ лето'!ai963+'[2]$ лето'!ao963</f>
        <v>0</v>
      </c>
      <c r="I963" s="109" t="n">
        <f aca="false">'[2]$ лето'!ay963*1.1</f>
        <v>1447.6</v>
      </c>
    </row>
    <row r="964" customFormat="false" ht="15" hidden="false" customHeight="false" outlineLevel="0" collapsed="false">
      <c r="A964" s="123" t="s">
        <v>1526</v>
      </c>
      <c r="B964" s="123" t="s">
        <v>762</v>
      </c>
      <c r="C964" s="116" t="s">
        <v>1552</v>
      </c>
      <c r="D964" s="119"/>
      <c r="E964" s="119" t="n">
        <v>98</v>
      </c>
      <c r="F964" s="119" t="s">
        <v>1553</v>
      </c>
      <c r="G964" s="108" t="s">
        <v>631</v>
      </c>
      <c r="H964" s="105" t="n">
        <f aca="false">'[2]$ лето'!j964-'[2]$ лето'!au964-'[2]$ лето'!at964-'[2]$ лето'!as964-'[2]$ лето'!ar964-'[2]$ лето'!aq964-'[2]$ лето'!ap964-'[2]$ лето'!an964-'[2]$ лето'!am964-'[2]$ лето'!al964-'[2]$ лето'!ak964-'[2]$ лето'!aj964-'[2]$ лето'!ah964-'[2]$ лето'!ag964-'[2]$ лето'!af964-'[2]$ лето'!ae964-'[2]$ лето'!ad964-'[2]$ лето'!ab964-'[2]$ лето'!aa964-'[2]$ лето'!z964-'[2]$ лето'!y964-'[2]$ лето'!x964-'[2]$ лето'!v964-'[2]$ лето'!u964-'[2]$ лето'!t964-'[2]$ лето'!s964-'[2]$ лето'!r964-'[2]$ лето'!p964-'[2]$ лето'!o964-'[2]$ лето'!n964-'[2]$ лето'!m964-'[2]$ лето'!l964+'[2]$ лето'!k964+'[2]$ лето'!q964+'[2]$ лето'!w964+'[2]$ лето'!ac964+'[2]$ лето'!ai964+'[2]$ лето'!ao964</f>
        <v>7</v>
      </c>
      <c r="I964" s="109" t="n">
        <f aca="false">'[2]$ лето'!ay964*1.1</f>
        <v>1601.6</v>
      </c>
      <c r="J964" s="85" t="n">
        <v>2018</v>
      </c>
    </row>
    <row r="965" customFormat="false" ht="15" hidden="true" customHeight="false" outlineLevel="0" collapsed="false">
      <c r="A965" s="123" t="s">
        <v>1526</v>
      </c>
      <c r="B965" s="123" t="s">
        <v>617</v>
      </c>
      <c r="C965" s="119" t="s">
        <v>1554</v>
      </c>
      <c r="D965" s="119"/>
      <c r="E965" s="119"/>
      <c r="F965" s="119"/>
      <c r="G965" s="108"/>
      <c r="H965" s="105" t="n">
        <f aca="false">'[2]$ лето'!j965-'[2]$ лето'!au965-'[2]$ лето'!at965-'[2]$ лето'!as965-'[2]$ лето'!ar965-'[2]$ лето'!aq965-'[2]$ лето'!ap965-'[2]$ лето'!an965-'[2]$ лето'!am965-'[2]$ лето'!al965-'[2]$ лето'!ak965-'[2]$ лето'!aj965-'[2]$ лето'!ah965-'[2]$ лето'!ag965-'[2]$ лето'!af965-'[2]$ лето'!ae965-'[2]$ лето'!ad965-'[2]$ лето'!ab965-'[2]$ лето'!aa965-'[2]$ лето'!z965-'[2]$ лето'!y965-'[2]$ лето'!x965-'[2]$ лето'!v965-'[2]$ лето'!u965-'[2]$ лето'!t965-'[2]$ лето'!s965-'[2]$ лето'!r965-'[2]$ лето'!p965-'[2]$ лето'!o965-'[2]$ лето'!n965-'[2]$ лето'!m965-'[2]$ лето'!l965+'[2]$ лето'!k965+'[2]$ лето'!q965+'[2]$ лето'!w965+'[2]$ лето'!ac965+'[2]$ лето'!ai965+'[2]$ лето'!ao965</f>
        <v>0</v>
      </c>
      <c r="I965" s="109" t="n">
        <f aca="false">'[2]$ лето'!ay965*1.1</f>
        <v>1386</v>
      </c>
      <c r="J965" s="85" t="n">
        <v>2016</v>
      </c>
    </row>
    <row r="966" customFormat="false" ht="15" hidden="false" customHeight="false" outlineLevel="0" collapsed="false">
      <c r="A966" s="123" t="s">
        <v>1526</v>
      </c>
      <c r="B966" s="123" t="s">
        <v>1371</v>
      </c>
      <c r="C966" s="119" t="s">
        <v>1555</v>
      </c>
      <c r="D966" s="119"/>
      <c r="E966" s="119"/>
      <c r="F966" s="119"/>
      <c r="G966" s="108" t="s">
        <v>1385</v>
      </c>
      <c r="H966" s="105" t="n">
        <f aca="false">'[2]$ лето'!j966-'[2]$ лето'!au966-'[2]$ лето'!at966-'[2]$ лето'!as966-'[2]$ лето'!ar966-'[2]$ лето'!aq966-'[2]$ лето'!ap966-'[2]$ лето'!an966-'[2]$ лето'!am966-'[2]$ лето'!al966-'[2]$ лето'!ak966-'[2]$ лето'!aj966-'[2]$ лето'!ah966-'[2]$ лето'!ag966-'[2]$ лето'!af966-'[2]$ лето'!ae966-'[2]$ лето'!ad966-'[2]$ лето'!ab966-'[2]$ лето'!aa966-'[2]$ лето'!z966-'[2]$ лето'!y966-'[2]$ лето'!x966-'[2]$ лето'!v966-'[2]$ лето'!u966-'[2]$ лето'!t966-'[2]$ лето'!s966-'[2]$ лето'!r966-'[2]$ лето'!p966-'[2]$ лето'!o966-'[2]$ лето'!n966-'[2]$ лето'!m966-'[2]$ лето'!l966+'[2]$ лето'!k966+'[2]$ лето'!q966+'[2]$ лето'!w966+'[2]$ лето'!ac966+'[2]$ лето'!ai966+'[2]$ лето'!ao966</f>
        <v>4</v>
      </c>
      <c r="I966" s="109" t="n">
        <f aca="false">'[2]$ лето'!ay966*1.1</f>
        <v>1320</v>
      </c>
    </row>
    <row r="967" customFormat="false" ht="15" hidden="true" customHeight="false" outlineLevel="0" collapsed="false">
      <c r="A967" s="115" t="s">
        <v>1526</v>
      </c>
      <c r="B967" s="115" t="s">
        <v>617</v>
      </c>
      <c r="C967" s="116" t="s">
        <v>1556</v>
      </c>
      <c r="D967" s="116"/>
      <c r="E967" s="116"/>
      <c r="F967" s="116"/>
      <c r="G967" s="108"/>
      <c r="H967" s="105" t="n">
        <f aca="false">'[2]$ лето'!j967-'[2]$ лето'!au967-'[2]$ лето'!at967-'[2]$ лето'!as967-'[2]$ лето'!ar967-'[2]$ лето'!aq967-'[2]$ лето'!ap967-'[2]$ лето'!an967-'[2]$ лето'!am967-'[2]$ лето'!al967-'[2]$ лето'!ak967-'[2]$ лето'!aj967-'[2]$ лето'!ah967-'[2]$ лето'!ag967-'[2]$ лето'!af967-'[2]$ лето'!ae967-'[2]$ лето'!ad967-'[2]$ лето'!ab967-'[2]$ лето'!aa967-'[2]$ лето'!z967-'[2]$ лето'!y967-'[2]$ лето'!x967-'[2]$ лето'!v967-'[2]$ лето'!u967-'[2]$ лето'!t967-'[2]$ лето'!s967-'[2]$ лето'!r967-'[2]$ лето'!p967-'[2]$ лето'!o967-'[2]$ лето'!n967-'[2]$ лето'!m967-'[2]$ лето'!l967+'[2]$ лето'!k967+'[2]$ лето'!q967+'[2]$ лето'!w967+'[2]$ лето'!ac967+'[2]$ лето'!ai967+'[2]$ лето'!ao967</f>
        <v>0</v>
      </c>
      <c r="I967" s="109" t="n">
        <f aca="false">'[2]$ лето'!ay967*1.1</f>
        <v>1632.4</v>
      </c>
      <c r="J967" s="85" t="n">
        <v>2018</v>
      </c>
    </row>
    <row r="968" customFormat="false" ht="15" hidden="false" customHeight="false" outlineLevel="0" collapsed="false">
      <c r="A968" s="115" t="s">
        <v>1526</v>
      </c>
      <c r="B968" s="115" t="s">
        <v>621</v>
      </c>
      <c r="C968" s="116" t="s">
        <v>1557</v>
      </c>
      <c r="D968" s="116"/>
      <c r="E968" s="116"/>
      <c r="F968" s="116"/>
      <c r="G968" s="108" t="s">
        <v>520</v>
      </c>
      <c r="H968" s="105" t="n">
        <f aca="false">'[2]$ лето'!j968-'[2]$ лето'!au968-'[2]$ лето'!at968-'[2]$ лето'!as968-'[2]$ лето'!ar968-'[2]$ лето'!aq968-'[2]$ лето'!ap968-'[2]$ лето'!an968-'[2]$ лето'!am968-'[2]$ лето'!al968-'[2]$ лето'!ak968-'[2]$ лето'!aj968-'[2]$ лето'!ah968-'[2]$ лето'!ag968-'[2]$ лето'!af968-'[2]$ лето'!ae968-'[2]$ лето'!ad968-'[2]$ лето'!ab968-'[2]$ лето'!aa968-'[2]$ лето'!z968-'[2]$ лето'!y968-'[2]$ лето'!x968-'[2]$ лето'!v968-'[2]$ лето'!u968-'[2]$ лето'!t968-'[2]$ лето'!s968-'[2]$ лето'!r968-'[2]$ лето'!p968-'[2]$ лето'!o968-'[2]$ лето'!n968-'[2]$ лето'!m968-'[2]$ лето'!l968+'[2]$ лето'!k968+'[2]$ лето'!q968+'[2]$ лето'!w968+'[2]$ лето'!ac968+'[2]$ лето'!ai968+'[2]$ лето'!ao968</f>
        <v>22</v>
      </c>
      <c r="I968" s="109" t="n">
        <f aca="false">'[2]$ лето'!ay968*1.1</f>
        <v>1416.8</v>
      </c>
    </row>
    <row r="969" customFormat="false" ht="15" hidden="false" customHeight="false" outlineLevel="0" collapsed="false">
      <c r="A969" s="115" t="s">
        <v>1526</v>
      </c>
      <c r="B969" s="115" t="s">
        <v>589</v>
      </c>
      <c r="C969" s="116" t="s">
        <v>1558</v>
      </c>
      <c r="D969" s="116"/>
      <c r="E969" s="116"/>
      <c r="F969" s="116"/>
      <c r="G969" s="108" t="s">
        <v>626</v>
      </c>
      <c r="H969" s="105" t="n">
        <f aca="false">'[2]$ лето'!j969-'[2]$ лето'!au969-'[2]$ лето'!at969-'[2]$ лето'!as969-'[2]$ лето'!ar969-'[2]$ лето'!aq969-'[2]$ лето'!ap969-'[2]$ лето'!an969-'[2]$ лето'!am969-'[2]$ лето'!al969-'[2]$ лето'!ak969-'[2]$ лето'!aj969-'[2]$ лето'!ah969-'[2]$ лето'!ag969-'[2]$ лето'!af969-'[2]$ лето'!ae969-'[2]$ лето'!ad969-'[2]$ лето'!ab969-'[2]$ лето'!aa969-'[2]$ лето'!z969-'[2]$ лето'!y969-'[2]$ лето'!x969-'[2]$ лето'!v969-'[2]$ лето'!u969-'[2]$ лето'!t969-'[2]$ лето'!s969-'[2]$ лето'!r969-'[2]$ лето'!p969-'[2]$ лето'!o969-'[2]$ лето'!n969-'[2]$ лето'!m969-'[2]$ лето'!l969+'[2]$ лето'!k969+'[2]$ лето'!q969+'[2]$ лето'!w969+'[2]$ лето'!ac969+'[2]$ лето'!ai969+'[2]$ лето'!ao969</f>
        <v>4</v>
      </c>
      <c r="I969" s="109" t="n">
        <f aca="false">'[2]$ лето'!ay969*1.1</f>
        <v>2780.36</v>
      </c>
      <c r="J969" s="85" t="n">
        <v>2017</v>
      </c>
    </row>
    <row r="970" customFormat="false" ht="15" hidden="true" customHeight="false" outlineLevel="0" collapsed="false">
      <c r="A970" s="115" t="s">
        <v>1526</v>
      </c>
      <c r="B970" s="115" t="s">
        <v>589</v>
      </c>
      <c r="C970" s="116" t="s">
        <v>1559</v>
      </c>
      <c r="D970" s="116"/>
      <c r="E970" s="116"/>
      <c r="F970" s="116"/>
      <c r="G970" s="108"/>
      <c r="H970" s="105" t="n">
        <f aca="false">'[2]$ лето'!j970-'[2]$ лето'!au970-'[2]$ лето'!at970-'[2]$ лето'!as970-'[2]$ лето'!ar970-'[2]$ лето'!aq970-'[2]$ лето'!ap970-'[2]$ лето'!an970-'[2]$ лето'!am970-'[2]$ лето'!al970-'[2]$ лето'!ak970-'[2]$ лето'!aj970-'[2]$ лето'!ah970-'[2]$ лето'!ag970-'[2]$ лето'!af970-'[2]$ лето'!ae970-'[2]$ лето'!ad970-'[2]$ лето'!ab970-'[2]$ лето'!aa970-'[2]$ лето'!z970-'[2]$ лето'!y970-'[2]$ лето'!x970-'[2]$ лето'!v970-'[2]$ лето'!u970-'[2]$ лето'!t970-'[2]$ лето'!s970-'[2]$ лето'!r970-'[2]$ лето'!p970-'[2]$ лето'!o970-'[2]$ лето'!n970-'[2]$ лето'!m970-'[2]$ лето'!l970+'[2]$ лето'!k970+'[2]$ лето'!q970+'[2]$ лето'!w970+'[2]$ лето'!ac970+'[2]$ лето'!ai970+'[2]$ лето'!ao970</f>
        <v>0</v>
      </c>
      <c r="I970" s="109" t="n">
        <f aca="false">'[2]$ лето'!ay970*1.1</f>
        <v>2310</v>
      </c>
    </row>
    <row r="971" customFormat="false" ht="15" hidden="true" customHeight="false" outlineLevel="0" collapsed="false">
      <c r="A971" s="115" t="s">
        <v>1526</v>
      </c>
      <c r="B971" s="115" t="s">
        <v>589</v>
      </c>
      <c r="C971" s="116" t="s">
        <v>1560</v>
      </c>
      <c r="D971" s="116"/>
      <c r="E971" s="116"/>
      <c r="F971" s="116"/>
      <c r="G971" s="108"/>
      <c r="H971" s="105" t="n">
        <f aca="false">'[2]$ лето'!j971-'[2]$ лето'!au971-'[2]$ лето'!at971-'[2]$ лето'!as971-'[2]$ лето'!ar971-'[2]$ лето'!aq971-'[2]$ лето'!ap971-'[2]$ лето'!an971-'[2]$ лето'!am971-'[2]$ лето'!al971-'[2]$ лето'!ak971-'[2]$ лето'!aj971-'[2]$ лето'!ah971-'[2]$ лето'!ag971-'[2]$ лето'!af971-'[2]$ лето'!ae971-'[2]$ лето'!ad971-'[2]$ лето'!ab971-'[2]$ лето'!aa971-'[2]$ лето'!z971-'[2]$ лето'!y971-'[2]$ лето'!x971-'[2]$ лето'!v971-'[2]$ лето'!u971-'[2]$ лето'!t971-'[2]$ лето'!s971-'[2]$ лето'!r971-'[2]$ лето'!p971-'[2]$ лето'!o971-'[2]$ лето'!n971-'[2]$ лето'!m971-'[2]$ лето'!l971+'[2]$ лето'!k971+'[2]$ лето'!q971+'[2]$ лето'!w971+'[2]$ лето'!ac971+'[2]$ лето'!ai971+'[2]$ лето'!ao971</f>
        <v>0</v>
      </c>
      <c r="I971" s="109" t="n">
        <f aca="false">'[2]$ лето'!ay971*1.1</f>
        <v>3942.4</v>
      </c>
    </row>
    <row r="972" customFormat="false" ht="15" hidden="false" customHeight="false" outlineLevel="0" collapsed="false">
      <c r="A972" s="115" t="s">
        <v>1526</v>
      </c>
      <c r="B972" s="115" t="s">
        <v>564</v>
      </c>
      <c r="C972" s="116" t="s">
        <v>1561</v>
      </c>
      <c r="D972" s="116"/>
      <c r="E972" s="116"/>
      <c r="F972" s="116"/>
      <c r="G972" s="108" t="s">
        <v>520</v>
      </c>
      <c r="H972" s="105" t="n">
        <f aca="false">'[2]$ лето'!j972-'[2]$ лето'!au972-'[2]$ лето'!at972-'[2]$ лето'!as972-'[2]$ лето'!ar972-'[2]$ лето'!aq972-'[2]$ лето'!ap972-'[2]$ лето'!an972-'[2]$ лето'!am972-'[2]$ лето'!al972-'[2]$ лето'!ak972-'[2]$ лето'!aj972-'[2]$ лето'!ah972-'[2]$ лето'!ag972-'[2]$ лето'!af972-'[2]$ лето'!ae972-'[2]$ лето'!ad972-'[2]$ лето'!ab972-'[2]$ лето'!aa972-'[2]$ лето'!z972-'[2]$ лето'!y972-'[2]$ лето'!x972-'[2]$ лето'!v972-'[2]$ лето'!u972-'[2]$ лето'!t972-'[2]$ лето'!s972-'[2]$ лето'!r972-'[2]$ лето'!p972-'[2]$ лето'!o972-'[2]$ лето'!n972-'[2]$ лето'!m972-'[2]$ лето'!l972+'[2]$ лето'!k972+'[2]$ лето'!q972+'[2]$ лето'!w972+'[2]$ лето'!ac972+'[2]$ лето'!ai972+'[2]$ лето'!ao972</f>
        <v>2</v>
      </c>
      <c r="I972" s="109" t="n">
        <f aca="false">'[2]$ лето'!ay972*1.1</f>
        <v>1447.6</v>
      </c>
    </row>
    <row r="973" customFormat="false" ht="15" hidden="true" customHeight="false" outlineLevel="0" collapsed="false">
      <c r="A973" s="115" t="s">
        <v>1526</v>
      </c>
      <c r="B973" s="115" t="s">
        <v>1524</v>
      </c>
      <c r="C973" s="116" t="s">
        <v>1525</v>
      </c>
      <c r="D973" s="116"/>
      <c r="E973" s="116"/>
      <c r="F973" s="116"/>
      <c r="G973" s="108"/>
      <c r="H973" s="105" t="n">
        <f aca="false">'[2]$ лето'!j973-'[2]$ лето'!au973-'[2]$ лето'!at973-'[2]$ лето'!as973-'[2]$ лето'!ar973-'[2]$ лето'!aq973-'[2]$ лето'!ap973-'[2]$ лето'!an973-'[2]$ лето'!am973-'[2]$ лето'!al973-'[2]$ лето'!ak973-'[2]$ лето'!aj973-'[2]$ лето'!ah973-'[2]$ лето'!ag973-'[2]$ лето'!af973-'[2]$ лето'!ae973-'[2]$ лето'!ad973-'[2]$ лето'!ab973-'[2]$ лето'!aa973-'[2]$ лето'!z973-'[2]$ лето'!y973-'[2]$ лето'!x973-'[2]$ лето'!v973-'[2]$ лето'!u973-'[2]$ лето'!t973-'[2]$ лето'!s973-'[2]$ лето'!r973-'[2]$ лето'!p973-'[2]$ лето'!o973-'[2]$ лето'!n973-'[2]$ лето'!m973-'[2]$ лето'!l973+'[2]$ лето'!k973+'[2]$ лето'!q973+'[2]$ лето'!w973+'[2]$ лето'!ac973+'[2]$ лето'!ai973+'[2]$ лето'!ao973</f>
        <v>0</v>
      </c>
      <c r="I973" s="109" t="n">
        <f aca="false">'[2]$ лето'!ay973*1.1</f>
        <v>1324.4</v>
      </c>
      <c r="J973" s="85" t="n">
        <v>2017</v>
      </c>
    </row>
    <row r="974" customFormat="false" ht="15" hidden="true" customHeight="false" outlineLevel="0" collapsed="false">
      <c r="A974" s="115" t="s">
        <v>1526</v>
      </c>
      <c r="B974" s="115" t="s">
        <v>981</v>
      </c>
      <c r="C974" s="116" t="s">
        <v>1562</v>
      </c>
      <c r="D974" s="116"/>
      <c r="E974" s="116"/>
      <c r="F974" s="116"/>
      <c r="G974" s="108"/>
      <c r="H974" s="105" t="n">
        <f aca="false">'[2]$ лето'!j974-'[2]$ лето'!au974-'[2]$ лето'!at974-'[2]$ лето'!as974-'[2]$ лето'!ar974-'[2]$ лето'!aq974-'[2]$ лето'!ap974-'[2]$ лето'!an974-'[2]$ лето'!am974-'[2]$ лето'!al974-'[2]$ лето'!ak974-'[2]$ лето'!aj974-'[2]$ лето'!ah974-'[2]$ лето'!ag974-'[2]$ лето'!af974-'[2]$ лето'!ae974-'[2]$ лето'!ad974-'[2]$ лето'!ab974-'[2]$ лето'!aa974-'[2]$ лето'!z974-'[2]$ лето'!y974-'[2]$ лето'!x974-'[2]$ лето'!v974-'[2]$ лето'!u974-'[2]$ лето'!t974-'[2]$ лето'!s974-'[2]$ лето'!r974-'[2]$ лето'!p974-'[2]$ лето'!o974-'[2]$ лето'!n974-'[2]$ лето'!m974-'[2]$ лето'!l974+'[2]$ лето'!k974+'[2]$ лето'!q974+'[2]$ лето'!w974+'[2]$ лето'!ac974+'[2]$ лето'!ai974+'[2]$ лето'!ao974</f>
        <v>0</v>
      </c>
      <c r="I974" s="109" t="n">
        <f aca="false">'[2]$ лето'!ay974*1.1</f>
        <v>2926</v>
      </c>
    </row>
    <row r="975" customFormat="false" ht="15" hidden="true" customHeight="false" outlineLevel="0" collapsed="false">
      <c r="A975" s="115" t="s">
        <v>267</v>
      </c>
      <c r="B975" s="115" t="s">
        <v>568</v>
      </c>
      <c r="C975" s="107" t="s">
        <v>1388</v>
      </c>
      <c r="D975" s="107"/>
      <c r="E975" s="107"/>
      <c r="F975" s="107"/>
      <c r="G975" s="108"/>
      <c r="H975" s="105" t="n">
        <f aca="false">'[2]$ лето'!j975-'[2]$ лето'!au975-'[2]$ лето'!at975-'[2]$ лето'!as975-'[2]$ лето'!ar975-'[2]$ лето'!aq975-'[2]$ лето'!ap975-'[2]$ лето'!an975-'[2]$ лето'!am975-'[2]$ лето'!al975-'[2]$ лето'!ak975-'[2]$ лето'!aj975-'[2]$ лето'!ah975-'[2]$ лето'!ag975-'[2]$ лето'!af975-'[2]$ лето'!ae975-'[2]$ лето'!ad975-'[2]$ лето'!ab975-'[2]$ лето'!aa975-'[2]$ лето'!z975-'[2]$ лето'!y975-'[2]$ лето'!x975-'[2]$ лето'!v975-'[2]$ лето'!u975-'[2]$ лето'!t975-'[2]$ лето'!s975-'[2]$ лето'!r975-'[2]$ лето'!p975-'[2]$ лето'!o975-'[2]$ лето'!n975-'[2]$ лето'!m975-'[2]$ лето'!l975+'[2]$ лето'!k975+'[2]$ лето'!q975+'[2]$ лето'!w975+'[2]$ лето'!ac975+'[2]$ лето'!ai975+'[2]$ лето'!ao975</f>
        <v>0</v>
      </c>
      <c r="I975" s="109" t="n">
        <f aca="false">'[2]$ лето'!ay975*1.1</f>
        <v>3141.6</v>
      </c>
    </row>
    <row r="976" customFormat="false" ht="15" hidden="false" customHeight="false" outlineLevel="0" collapsed="false">
      <c r="A976" s="115" t="s">
        <v>267</v>
      </c>
      <c r="B976" s="115" t="s">
        <v>601</v>
      </c>
      <c r="C976" s="107" t="s">
        <v>1563</v>
      </c>
      <c r="D976" s="107"/>
      <c r="E976" s="116"/>
      <c r="F976" s="116"/>
      <c r="G976" s="108" t="s">
        <v>935</v>
      </c>
      <c r="H976" s="105" t="n">
        <f aca="false">'[2]$ лето'!j976-'[2]$ лето'!au976-'[2]$ лето'!at976-'[2]$ лето'!as976-'[2]$ лето'!ar976-'[2]$ лето'!aq976-'[2]$ лето'!ap976-'[2]$ лето'!an976-'[2]$ лето'!am976-'[2]$ лето'!al976-'[2]$ лето'!ak976-'[2]$ лето'!aj976-'[2]$ лето'!ah976-'[2]$ лето'!ag976-'[2]$ лето'!af976-'[2]$ лето'!ae976-'[2]$ лето'!ad976-'[2]$ лето'!ab976-'[2]$ лето'!aa976-'[2]$ лето'!z976-'[2]$ лето'!y976-'[2]$ лето'!x976-'[2]$ лето'!v976-'[2]$ лето'!u976-'[2]$ лето'!t976-'[2]$ лето'!s976-'[2]$ лето'!r976-'[2]$ лето'!p976-'[2]$ лето'!o976-'[2]$ лето'!n976-'[2]$ лето'!m976-'[2]$ лето'!l976+'[2]$ лето'!k976+'[2]$ лето'!q976+'[2]$ лето'!w976+'[2]$ лето'!ac976+'[2]$ лето'!ai976+'[2]$ лето'!ao976</f>
        <v>2</v>
      </c>
      <c r="I976" s="109" t="n">
        <f aca="false">'[2]$ лето'!ay976*1.1</f>
        <v>2310</v>
      </c>
      <c r="J976" s="85" t="n">
        <v>2016</v>
      </c>
    </row>
    <row r="977" customFormat="false" ht="15" hidden="false" customHeight="false" outlineLevel="0" collapsed="false">
      <c r="A977" s="115" t="s">
        <v>267</v>
      </c>
      <c r="B977" s="123" t="s">
        <v>658</v>
      </c>
      <c r="C977" s="116" t="s">
        <v>1564</v>
      </c>
      <c r="D977" s="116"/>
      <c r="E977" s="116"/>
      <c r="F977" s="116"/>
      <c r="G977" s="108" t="s">
        <v>585</v>
      </c>
      <c r="H977" s="105" t="n">
        <f aca="false">'[2]$ лето'!j977-'[2]$ лето'!au977-'[2]$ лето'!at977-'[2]$ лето'!as977-'[2]$ лето'!ar977-'[2]$ лето'!aq977-'[2]$ лето'!ap977-'[2]$ лето'!an977-'[2]$ лето'!am977-'[2]$ лето'!al977-'[2]$ лето'!ak977-'[2]$ лето'!aj977-'[2]$ лето'!ah977-'[2]$ лето'!ag977-'[2]$ лето'!af977-'[2]$ лето'!ae977-'[2]$ лето'!ad977-'[2]$ лето'!ab977-'[2]$ лето'!aa977-'[2]$ лето'!z977-'[2]$ лето'!y977-'[2]$ лето'!x977-'[2]$ лето'!v977-'[2]$ лето'!u977-'[2]$ лето'!t977-'[2]$ лето'!s977-'[2]$ лето'!r977-'[2]$ лето'!p977-'[2]$ лето'!o977-'[2]$ лето'!n977-'[2]$ лето'!m977-'[2]$ лето'!l977+'[2]$ лето'!k977+'[2]$ лето'!q977+'[2]$ лето'!w977+'[2]$ лето'!ac977+'[2]$ лето'!ai977+'[2]$ лето'!ao977</f>
        <v>8</v>
      </c>
      <c r="I977" s="109" t="n">
        <f aca="false">'[2]$ лето'!ay977*1.1</f>
        <v>2926</v>
      </c>
      <c r="J977" s="85" t="n">
        <v>2017</v>
      </c>
    </row>
    <row r="978" customFormat="false" ht="15" hidden="false" customHeight="false" outlineLevel="0" collapsed="false">
      <c r="A978" s="115" t="s">
        <v>267</v>
      </c>
      <c r="B978" s="123" t="s">
        <v>606</v>
      </c>
      <c r="C978" s="116" t="s">
        <v>1565</v>
      </c>
      <c r="D978" s="116"/>
      <c r="E978" s="116"/>
      <c r="F978" s="116"/>
      <c r="G978" s="108" t="s">
        <v>849</v>
      </c>
      <c r="H978" s="105" t="n">
        <f aca="false">'[2]$ лето'!j978-'[2]$ лето'!au978-'[2]$ лето'!at978-'[2]$ лето'!as978-'[2]$ лето'!ar978-'[2]$ лето'!aq978-'[2]$ лето'!ap978-'[2]$ лето'!an978-'[2]$ лето'!am978-'[2]$ лето'!al978-'[2]$ лето'!ak978-'[2]$ лето'!aj978-'[2]$ лето'!ah978-'[2]$ лето'!ag978-'[2]$ лето'!af978-'[2]$ лето'!ae978-'[2]$ лето'!ad978-'[2]$ лето'!ab978-'[2]$ лето'!aa978-'[2]$ лето'!z978-'[2]$ лето'!y978-'[2]$ лето'!x978-'[2]$ лето'!v978-'[2]$ лето'!u978-'[2]$ лето'!t978-'[2]$ лето'!s978-'[2]$ лето'!r978-'[2]$ лето'!p978-'[2]$ лето'!o978-'[2]$ лето'!n978-'[2]$ лето'!m978-'[2]$ лето'!l978+'[2]$ лето'!k978+'[2]$ лето'!q978+'[2]$ лето'!w978+'[2]$ лето'!ac978+'[2]$ лето'!ai978+'[2]$ лето'!ao978</f>
        <v>4</v>
      </c>
      <c r="I978" s="109" t="n">
        <f aca="false">'[2]$ лето'!ay978*1.1</f>
        <v>2618</v>
      </c>
      <c r="J978" s="85" t="n">
        <v>2017</v>
      </c>
    </row>
    <row r="979" customFormat="false" ht="15" hidden="true" customHeight="false" outlineLevel="0" collapsed="false">
      <c r="A979" s="115" t="s">
        <v>267</v>
      </c>
      <c r="B979" s="123" t="s">
        <v>668</v>
      </c>
      <c r="C979" s="116" t="s">
        <v>1566</v>
      </c>
      <c r="D979" s="116"/>
      <c r="E979" s="116"/>
      <c r="F979" s="116"/>
      <c r="G979" s="108" t="s">
        <v>609</v>
      </c>
      <c r="H979" s="105" t="n">
        <f aca="false">'[2]$ лето'!j979-'[2]$ лето'!au979-'[2]$ лето'!at979-'[2]$ лето'!as979-'[2]$ лето'!ar979-'[2]$ лето'!aq979-'[2]$ лето'!ap979-'[2]$ лето'!an979-'[2]$ лето'!am979-'[2]$ лето'!al979-'[2]$ лето'!ak979-'[2]$ лето'!aj979-'[2]$ лето'!ah979-'[2]$ лето'!ag979-'[2]$ лето'!af979-'[2]$ лето'!ae979-'[2]$ лето'!ad979-'[2]$ лето'!ab979-'[2]$ лето'!aa979-'[2]$ лето'!z979-'[2]$ лето'!y979-'[2]$ лето'!x979-'[2]$ лето'!v979-'[2]$ лето'!u979-'[2]$ лето'!t979-'[2]$ лето'!s979-'[2]$ лето'!r979-'[2]$ лето'!p979-'[2]$ лето'!o979-'[2]$ лето'!n979-'[2]$ лето'!m979-'[2]$ лето'!l979+'[2]$ лето'!k979+'[2]$ лето'!q979+'[2]$ лето'!w979+'[2]$ лето'!ac979+'[2]$ лето'!ai979+'[2]$ лето'!ao979</f>
        <v>0</v>
      </c>
      <c r="I979" s="109" t="n">
        <f aca="false">'[2]$ лето'!ay979*1.1</f>
        <v>2310</v>
      </c>
      <c r="J979" s="85" t="n">
        <v>2016</v>
      </c>
    </row>
    <row r="980" customFormat="false" ht="15" hidden="false" customHeight="false" outlineLevel="0" collapsed="false">
      <c r="A980" s="115" t="s">
        <v>267</v>
      </c>
      <c r="B980" s="123" t="s">
        <v>574</v>
      </c>
      <c r="C980" s="116" t="s">
        <v>1567</v>
      </c>
      <c r="D980" s="116"/>
      <c r="E980" s="116"/>
      <c r="F980" s="116"/>
      <c r="G980" s="108" t="s">
        <v>576</v>
      </c>
      <c r="H980" s="105" t="n">
        <f aca="false">'[2]$ лето'!j980-'[2]$ лето'!au980-'[2]$ лето'!at980-'[2]$ лето'!as980-'[2]$ лето'!ar980-'[2]$ лето'!aq980-'[2]$ лето'!ap980-'[2]$ лето'!an980-'[2]$ лето'!am980-'[2]$ лето'!al980-'[2]$ лето'!ak980-'[2]$ лето'!aj980-'[2]$ лето'!ah980-'[2]$ лето'!ag980-'[2]$ лето'!af980-'[2]$ лето'!ae980-'[2]$ лето'!ad980-'[2]$ лето'!ab980-'[2]$ лето'!aa980-'[2]$ лето'!z980-'[2]$ лето'!y980-'[2]$ лето'!x980-'[2]$ лето'!v980-'[2]$ лето'!u980-'[2]$ лето'!t980-'[2]$ лето'!s980-'[2]$ лето'!r980-'[2]$ лето'!p980-'[2]$ лето'!o980-'[2]$ лето'!n980-'[2]$ лето'!m980-'[2]$ лето'!l980+'[2]$ лето'!k980+'[2]$ лето'!q980+'[2]$ лето'!w980+'[2]$ лето'!ac980+'[2]$ лето'!ai980+'[2]$ лето'!ao980</f>
        <v>4</v>
      </c>
      <c r="I980" s="109" t="n">
        <f aca="false">'[2]$ лето'!ay980*1.1</f>
        <v>2311.76</v>
      </c>
      <c r="J980" s="85" t="n">
        <v>2018</v>
      </c>
    </row>
    <row r="981" customFormat="false" ht="15" hidden="true" customHeight="false" outlineLevel="0" collapsed="false">
      <c r="A981" s="115" t="s">
        <v>267</v>
      </c>
      <c r="B981" s="123" t="s">
        <v>583</v>
      </c>
      <c r="C981" s="116" t="s">
        <v>1091</v>
      </c>
      <c r="D981" s="116"/>
      <c r="E981" s="116"/>
      <c r="F981" s="116"/>
      <c r="G981" s="108"/>
      <c r="H981" s="105" t="n">
        <f aca="false">'[2]$ лето'!j981-'[2]$ лето'!au981-'[2]$ лето'!at981-'[2]$ лето'!as981-'[2]$ лето'!ar981-'[2]$ лето'!aq981-'[2]$ лето'!ap981-'[2]$ лето'!an981-'[2]$ лето'!am981-'[2]$ лето'!al981-'[2]$ лето'!ak981-'[2]$ лето'!aj981-'[2]$ лето'!ah981-'[2]$ лето'!ag981-'[2]$ лето'!af981-'[2]$ лето'!ae981-'[2]$ лето'!ad981-'[2]$ лето'!ab981-'[2]$ лето'!aa981-'[2]$ лето'!z981-'[2]$ лето'!y981-'[2]$ лето'!x981-'[2]$ лето'!v981-'[2]$ лето'!u981-'[2]$ лето'!t981-'[2]$ лето'!s981-'[2]$ лето'!r981-'[2]$ лето'!p981-'[2]$ лето'!o981-'[2]$ лето'!n981-'[2]$ лето'!m981-'[2]$ лето'!l981+'[2]$ лето'!k981+'[2]$ лето'!q981+'[2]$ лето'!w981+'[2]$ лето'!ac981+'[2]$ лето'!ai981+'[2]$ лето'!ao981</f>
        <v>0</v>
      </c>
      <c r="I981" s="109" t="n">
        <f aca="false">'[2]$ лето'!ay981*1.1</f>
        <v>2156</v>
      </c>
    </row>
    <row r="982" customFormat="false" ht="15" hidden="false" customHeight="false" outlineLevel="0" collapsed="false">
      <c r="A982" s="115" t="s">
        <v>267</v>
      </c>
      <c r="B982" s="123" t="s">
        <v>613</v>
      </c>
      <c r="C982" s="116" t="s">
        <v>1568</v>
      </c>
      <c r="D982" s="116"/>
      <c r="E982" s="116"/>
      <c r="F982" s="116"/>
      <c r="G982" s="108"/>
      <c r="H982" s="105" t="n">
        <f aca="false">'[2]$ лето'!j982-'[2]$ лето'!au982-'[2]$ лето'!at982-'[2]$ лето'!as982-'[2]$ лето'!ar982-'[2]$ лето'!aq982-'[2]$ лето'!ap982-'[2]$ лето'!an982-'[2]$ лето'!am982-'[2]$ лето'!al982-'[2]$ лето'!ak982-'[2]$ лето'!aj982-'[2]$ лето'!ah982-'[2]$ лето'!ag982-'[2]$ лето'!af982-'[2]$ лето'!ae982-'[2]$ лето'!ad982-'[2]$ лето'!ab982-'[2]$ лето'!aa982-'[2]$ лето'!z982-'[2]$ лето'!y982-'[2]$ лето'!x982-'[2]$ лето'!v982-'[2]$ лето'!u982-'[2]$ лето'!t982-'[2]$ лето'!s982-'[2]$ лето'!r982-'[2]$ лето'!p982-'[2]$ лето'!o982-'[2]$ лето'!n982-'[2]$ лето'!m982-'[2]$ лето'!l982+'[2]$ лето'!k982+'[2]$ лето'!q982+'[2]$ лето'!w982+'[2]$ лето'!ac982+'[2]$ лето'!ai982+'[2]$ лето'!ao982</f>
        <v>4</v>
      </c>
      <c r="I982" s="109" t="n">
        <f aca="false">'[2]$ лето'!ay982*1.1</f>
        <v>1909.6</v>
      </c>
    </row>
    <row r="983" customFormat="false" ht="15" hidden="false" customHeight="false" outlineLevel="0" collapsed="false">
      <c r="A983" s="115" t="s">
        <v>267</v>
      </c>
      <c r="B983" s="123" t="s">
        <v>593</v>
      </c>
      <c r="C983" s="116" t="s">
        <v>1569</v>
      </c>
      <c r="D983" s="116"/>
      <c r="E983" s="116"/>
      <c r="F983" s="116"/>
      <c r="G983" s="108" t="s">
        <v>843</v>
      </c>
      <c r="H983" s="105" t="n">
        <f aca="false">'[2]$ лето'!j983-'[2]$ лето'!au983-'[2]$ лето'!at983-'[2]$ лето'!as983-'[2]$ лето'!ar983-'[2]$ лето'!aq983-'[2]$ лето'!ap983-'[2]$ лето'!an983-'[2]$ лето'!am983-'[2]$ лето'!al983-'[2]$ лето'!ak983-'[2]$ лето'!aj983-'[2]$ лето'!ah983-'[2]$ лето'!ag983-'[2]$ лето'!af983-'[2]$ лето'!ae983-'[2]$ лето'!ad983-'[2]$ лето'!ab983-'[2]$ лето'!aa983-'[2]$ лето'!z983-'[2]$ лето'!y983-'[2]$ лето'!x983-'[2]$ лето'!v983-'[2]$ лето'!u983-'[2]$ лето'!t983-'[2]$ лето'!s983-'[2]$ лето'!r983-'[2]$ лето'!p983-'[2]$ лето'!o983-'[2]$ лето'!n983-'[2]$ лето'!m983-'[2]$ лето'!l983+'[2]$ лето'!k983+'[2]$ лето'!q983+'[2]$ лето'!w983+'[2]$ лето'!ac983+'[2]$ лето'!ai983+'[2]$ лето'!ao983</f>
        <v>4</v>
      </c>
      <c r="I983" s="109" t="n">
        <f aca="false">'[2]$ лето'!ay983*1.1</f>
        <v>3542</v>
      </c>
      <c r="J983" s="85" t="n">
        <v>2017</v>
      </c>
    </row>
    <row r="984" customFormat="false" ht="15" hidden="false" customHeight="false" outlineLevel="0" collapsed="false">
      <c r="A984" s="115" t="s">
        <v>267</v>
      </c>
      <c r="B984" s="123" t="s">
        <v>593</v>
      </c>
      <c r="C984" s="116" t="s">
        <v>1570</v>
      </c>
      <c r="D984" s="116"/>
      <c r="E984" s="116"/>
      <c r="F984" s="116"/>
      <c r="G984" s="108" t="s">
        <v>843</v>
      </c>
      <c r="H984" s="105" t="n">
        <f aca="false">'[2]$ лето'!j984-'[2]$ лето'!au984-'[2]$ лето'!at984-'[2]$ лето'!as984-'[2]$ лето'!ar984-'[2]$ лето'!aq984-'[2]$ лето'!ap984-'[2]$ лето'!an984-'[2]$ лето'!am984-'[2]$ лето'!al984-'[2]$ лето'!ak984-'[2]$ лето'!aj984-'[2]$ лето'!ah984-'[2]$ лето'!ag984-'[2]$ лето'!af984-'[2]$ лето'!ae984-'[2]$ лето'!ad984-'[2]$ лето'!ab984-'[2]$ лето'!aa984-'[2]$ лето'!z984-'[2]$ лето'!y984-'[2]$ лето'!x984-'[2]$ лето'!v984-'[2]$ лето'!u984-'[2]$ лето'!t984-'[2]$ лето'!s984-'[2]$ лето'!r984-'[2]$ лето'!p984-'[2]$ лето'!o984-'[2]$ лето'!n984-'[2]$ лето'!m984-'[2]$ лето'!l984+'[2]$ лето'!k984+'[2]$ лето'!q984+'[2]$ лето'!w984+'[2]$ лето'!ac984+'[2]$ лето'!ai984+'[2]$ лето'!ao984</f>
        <v>2</v>
      </c>
      <c r="I984" s="109" t="n">
        <f aca="false">'[2]$ лето'!ay984*1.1</f>
        <v>3080</v>
      </c>
      <c r="J984" s="85" t="n">
        <v>2016</v>
      </c>
    </row>
    <row r="985" customFormat="false" ht="15" hidden="true" customHeight="false" outlineLevel="0" collapsed="false">
      <c r="A985" s="115" t="s">
        <v>267</v>
      </c>
      <c r="B985" s="115" t="s">
        <v>617</v>
      </c>
      <c r="C985" s="107" t="s">
        <v>1571</v>
      </c>
      <c r="D985" s="107"/>
      <c r="E985" s="107"/>
      <c r="F985" s="107"/>
      <c r="G985" s="108"/>
      <c r="H985" s="105" t="n">
        <f aca="false">'[2]$ лето'!j985-'[2]$ лето'!au985-'[2]$ лето'!at985-'[2]$ лето'!as985-'[2]$ лето'!ar985-'[2]$ лето'!aq985-'[2]$ лето'!ap985-'[2]$ лето'!an985-'[2]$ лето'!am985-'[2]$ лето'!al985-'[2]$ лето'!ak985-'[2]$ лето'!aj985-'[2]$ лето'!ah985-'[2]$ лето'!ag985-'[2]$ лето'!af985-'[2]$ лето'!ae985-'[2]$ лето'!ad985-'[2]$ лето'!ab985-'[2]$ лето'!aa985-'[2]$ лето'!z985-'[2]$ лето'!y985-'[2]$ лето'!x985-'[2]$ лето'!v985-'[2]$ лето'!u985-'[2]$ лето'!t985-'[2]$ лето'!s985-'[2]$ лето'!r985-'[2]$ лето'!p985-'[2]$ лето'!o985-'[2]$ лето'!n985-'[2]$ лето'!m985-'[2]$ лето'!l985+'[2]$ лето'!k985+'[2]$ лето'!q985+'[2]$ лето'!w985+'[2]$ лето'!ac985+'[2]$ лето'!ai985+'[2]$ лето'!ao985</f>
        <v>0</v>
      </c>
      <c r="I985" s="109" t="n">
        <f aca="false">'[2]$ лето'!ay985*1.1</f>
        <v>1786.4</v>
      </c>
    </row>
    <row r="986" customFormat="false" ht="15" hidden="true" customHeight="false" outlineLevel="0" collapsed="false">
      <c r="A986" s="115" t="s">
        <v>267</v>
      </c>
      <c r="B986" s="115" t="s">
        <v>589</v>
      </c>
      <c r="C986" s="107" t="s">
        <v>1572</v>
      </c>
      <c r="D986" s="107"/>
      <c r="E986" s="107"/>
      <c r="F986" s="107"/>
      <c r="G986" s="108"/>
      <c r="H986" s="105" t="n">
        <f aca="false">'[2]$ лето'!j986-'[2]$ лето'!au986-'[2]$ лето'!at986-'[2]$ лето'!as986-'[2]$ лето'!ar986-'[2]$ лето'!aq986-'[2]$ лето'!ap986-'[2]$ лето'!an986-'[2]$ лето'!am986-'[2]$ лето'!al986-'[2]$ лето'!ak986-'[2]$ лето'!aj986-'[2]$ лето'!ah986-'[2]$ лето'!ag986-'[2]$ лето'!af986-'[2]$ лето'!ae986-'[2]$ лето'!ad986-'[2]$ лето'!ab986-'[2]$ лето'!aa986-'[2]$ лето'!z986-'[2]$ лето'!y986-'[2]$ лето'!x986-'[2]$ лето'!v986-'[2]$ лето'!u986-'[2]$ лето'!t986-'[2]$ лето'!s986-'[2]$ лето'!r986-'[2]$ лето'!p986-'[2]$ лето'!o986-'[2]$ лето'!n986-'[2]$ лето'!m986-'[2]$ лето'!l986+'[2]$ лето'!k986+'[2]$ лето'!q986+'[2]$ лето'!w986+'[2]$ лето'!ac986+'[2]$ лето'!ai986+'[2]$ лето'!ao986</f>
        <v>0</v>
      </c>
      <c r="I986" s="109" t="n">
        <f aca="false">'[2]$ лето'!ay986*1.1</f>
        <v>3264.8</v>
      </c>
    </row>
    <row r="987" customFormat="false" ht="15" hidden="true" customHeight="false" outlineLevel="0" collapsed="false">
      <c r="A987" s="115" t="s">
        <v>267</v>
      </c>
      <c r="B987" s="115" t="s">
        <v>589</v>
      </c>
      <c r="C987" s="107" t="s">
        <v>1573</v>
      </c>
      <c r="D987" s="107"/>
      <c r="E987" s="107"/>
      <c r="F987" s="107"/>
      <c r="G987" s="108"/>
      <c r="H987" s="105" t="n">
        <f aca="false">'[2]$ лето'!j987-'[2]$ лето'!au987-'[2]$ лето'!at987-'[2]$ лето'!as987-'[2]$ лето'!ar987-'[2]$ лето'!aq987-'[2]$ лето'!ap987-'[2]$ лето'!an987-'[2]$ лето'!am987-'[2]$ лето'!al987-'[2]$ лето'!ak987-'[2]$ лето'!aj987-'[2]$ лето'!ah987-'[2]$ лето'!ag987-'[2]$ лето'!af987-'[2]$ лето'!ae987-'[2]$ лето'!ad987-'[2]$ лето'!ab987-'[2]$ лето'!aa987-'[2]$ лето'!z987-'[2]$ лето'!y987-'[2]$ лето'!x987-'[2]$ лето'!v987-'[2]$ лето'!u987-'[2]$ лето'!t987-'[2]$ лето'!s987-'[2]$ лето'!r987-'[2]$ лето'!p987-'[2]$ лето'!o987-'[2]$ лето'!n987-'[2]$ лето'!m987-'[2]$ лето'!l987+'[2]$ лето'!k987+'[2]$ лето'!q987+'[2]$ лето'!w987+'[2]$ лето'!ac987+'[2]$ лето'!ai987+'[2]$ лето'!ao987</f>
        <v>0</v>
      </c>
      <c r="I987" s="109" t="n">
        <f aca="false">'[2]$ лето'!ay987*1.1</f>
        <v>2926</v>
      </c>
    </row>
    <row r="988" customFormat="false" ht="15" hidden="true" customHeight="false" outlineLevel="0" collapsed="false">
      <c r="A988" s="115" t="s">
        <v>267</v>
      </c>
      <c r="B988" s="115" t="s">
        <v>564</v>
      </c>
      <c r="C988" s="107" t="s">
        <v>1574</v>
      </c>
      <c r="D988" s="107"/>
      <c r="E988" s="107"/>
      <c r="F988" s="107"/>
      <c r="G988" s="108" t="s">
        <v>520</v>
      </c>
      <c r="H988" s="105" t="n">
        <f aca="false">'[2]$ лето'!j988-'[2]$ лето'!au988-'[2]$ лето'!at988-'[2]$ лето'!as988-'[2]$ лето'!ar988-'[2]$ лето'!aq988-'[2]$ лето'!ap988-'[2]$ лето'!an988-'[2]$ лето'!am988-'[2]$ лето'!al988-'[2]$ лето'!ak988-'[2]$ лето'!aj988-'[2]$ лето'!ah988-'[2]$ лето'!ag988-'[2]$ лето'!af988-'[2]$ лето'!ae988-'[2]$ лето'!ad988-'[2]$ лето'!ab988-'[2]$ лето'!aa988-'[2]$ лето'!z988-'[2]$ лето'!y988-'[2]$ лето'!x988-'[2]$ лето'!v988-'[2]$ лето'!u988-'[2]$ лето'!t988-'[2]$ лето'!s988-'[2]$ лето'!r988-'[2]$ лето'!p988-'[2]$ лето'!o988-'[2]$ лето'!n988-'[2]$ лето'!m988-'[2]$ лето'!l988+'[2]$ лето'!k988+'[2]$ лето'!q988+'[2]$ лето'!w988+'[2]$ лето'!ac988+'[2]$ лето'!ai988+'[2]$ лето'!ao988</f>
        <v>0</v>
      </c>
      <c r="I988" s="109" t="n">
        <f aca="false">'[2]$ лето'!ay988*1.1</f>
        <v>1694</v>
      </c>
      <c r="J988" s="85" t="n">
        <v>2017</v>
      </c>
    </row>
    <row r="989" customFormat="false" ht="15" hidden="false" customHeight="false" outlineLevel="0" collapsed="false">
      <c r="A989" s="115" t="s">
        <v>1575</v>
      </c>
      <c r="B989" s="115" t="s">
        <v>606</v>
      </c>
      <c r="C989" s="107" t="s">
        <v>1576</v>
      </c>
      <c r="D989" s="107"/>
      <c r="E989" s="116"/>
      <c r="F989" s="116"/>
      <c r="G989" s="108"/>
      <c r="H989" s="105" t="n">
        <f aca="false">'[2]$ лето'!j989-'[2]$ лето'!au989-'[2]$ лето'!at989-'[2]$ лето'!as989-'[2]$ лето'!ar989-'[2]$ лето'!aq989-'[2]$ лето'!ap989-'[2]$ лето'!an989-'[2]$ лето'!am989-'[2]$ лето'!al989-'[2]$ лето'!ak989-'[2]$ лето'!aj989-'[2]$ лето'!ah989-'[2]$ лето'!ag989-'[2]$ лето'!af989-'[2]$ лето'!ae989-'[2]$ лето'!ad989-'[2]$ лето'!ab989-'[2]$ лето'!aa989-'[2]$ лето'!z989-'[2]$ лето'!y989-'[2]$ лето'!x989-'[2]$ лето'!v989-'[2]$ лето'!u989-'[2]$ лето'!t989-'[2]$ лето'!s989-'[2]$ лето'!r989-'[2]$ лето'!p989-'[2]$ лето'!o989-'[2]$ лето'!n989-'[2]$ лето'!m989-'[2]$ лето'!l989+'[2]$ лето'!k989+'[2]$ лето'!q989+'[2]$ лето'!w989+'[2]$ лето'!ac989+'[2]$ лето'!ai989+'[2]$ лето'!ao989</f>
        <v>4</v>
      </c>
      <c r="I989" s="109" t="n">
        <f aca="false">'[2]$ лето'!ay989*1.1</f>
        <v>3172.4</v>
      </c>
      <c r="J989" s="85" t="n">
        <v>2018</v>
      </c>
    </row>
    <row r="990" customFormat="false" ht="15" hidden="false" customHeight="false" outlineLevel="0" collapsed="false">
      <c r="A990" s="115" t="s">
        <v>1575</v>
      </c>
      <c r="B990" s="115" t="s">
        <v>589</v>
      </c>
      <c r="C990" s="116" t="s">
        <v>1577</v>
      </c>
      <c r="D990" s="116"/>
      <c r="E990" s="116"/>
      <c r="F990" s="116"/>
      <c r="G990" s="108"/>
      <c r="H990" s="105" t="n">
        <f aca="false">'[2]$ лето'!j990-'[2]$ лето'!au990-'[2]$ лето'!at990-'[2]$ лето'!as990-'[2]$ лето'!ar990-'[2]$ лето'!aq990-'[2]$ лето'!ap990-'[2]$ лето'!an990-'[2]$ лето'!am990-'[2]$ лето'!al990-'[2]$ лето'!ak990-'[2]$ лето'!aj990-'[2]$ лето'!ah990-'[2]$ лето'!ag990-'[2]$ лето'!af990-'[2]$ лето'!ae990-'[2]$ лето'!ad990-'[2]$ лето'!ab990-'[2]$ лето'!aa990-'[2]$ лето'!z990-'[2]$ лето'!y990-'[2]$ лето'!x990-'[2]$ лето'!v990-'[2]$ лето'!u990-'[2]$ лето'!t990-'[2]$ лето'!s990-'[2]$ лето'!r990-'[2]$ лето'!p990-'[2]$ лето'!o990-'[2]$ лето'!n990-'[2]$ лето'!m990-'[2]$ лето'!l990+'[2]$ лето'!k990+'[2]$ лето'!q990+'[2]$ лето'!w990+'[2]$ лето'!ac990+'[2]$ лето'!ai990+'[2]$ лето'!ao990</f>
        <v>2</v>
      </c>
      <c r="I990" s="109" t="n">
        <f aca="false">'[2]$ лето'!ay990*1.1</f>
        <v>2186.8</v>
      </c>
    </row>
    <row r="991" customFormat="false" ht="15" hidden="true" customHeight="false" outlineLevel="0" collapsed="false">
      <c r="A991" s="115" t="s">
        <v>1578</v>
      </c>
      <c r="B991" s="115" t="s">
        <v>991</v>
      </c>
      <c r="C991" s="116" t="s">
        <v>1266</v>
      </c>
      <c r="D991" s="116"/>
      <c r="E991" s="116"/>
      <c r="F991" s="116"/>
      <c r="G991" s="108" t="s">
        <v>520</v>
      </c>
      <c r="H991" s="105" t="n">
        <f aca="false">'[2]$ лето'!j991-'[2]$ лето'!au991-'[2]$ лето'!at991-'[2]$ лето'!as991-'[2]$ лето'!ar991-'[2]$ лето'!aq991-'[2]$ лето'!ap991-'[2]$ лето'!an991-'[2]$ лето'!am991-'[2]$ лето'!al991-'[2]$ лето'!ak991-'[2]$ лето'!aj991-'[2]$ лето'!ah991-'[2]$ лето'!ag991-'[2]$ лето'!af991-'[2]$ лето'!ae991-'[2]$ лето'!ad991-'[2]$ лето'!ab991-'[2]$ лето'!aa991-'[2]$ лето'!z991-'[2]$ лето'!y991-'[2]$ лето'!x991-'[2]$ лето'!v991-'[2]$ лето'!u991-'[2]$ лето'!t991-'[2]$ лето'!s991-'[2]$ лето'!r991-'[2]$ лето'!p991-'[2]$ лето'!o991-'[2]$ лето'!n991-'[2]$ лето'!m991-'[2]$ лето'!l991+'[2]$ лето'!k991+'[2]$ лето'!q991+'[2]$ лето'!w991+'[2]$ лето'!ac991+'[2]$ лето'!ai991+'[2]$ лето'!ao991</f>
        <v>0</v>
      </c>
      <c r="I991" s="109" t="n">
        <f aca="false">'[2]$ лето'!ay991*1.1</f>
        <v>1355.2</v>
      </c>
    </row>
    <row r="992" customFormat="false" ht="15" hidden="true" customHeight="false" outlineLevel="0" collapsed="false">
      <c r="A992" s="115" t="s">
        <v>1578</v>
      </c>
      <c r="B992" s="115" t="s">
        <v>568</v>
      </c>
      <c r="C992" s="116" t="s">
        <v>1579</v>
      </c>
      <c r="D992" s="116"/>
      <c r="E992" s="116"/>
      <c r="F992" s="116"/>
      <c r="G992" s="108"/>
      <c r="H992" s="105" t="n">
        <f aca="false">'[2]$ лето'!j992-'[2]$ лето'!au992-'[2]$ лето'!at992-'[2]$ лето'!as992-'[2]$ лето'!ar992-'[2]$ лето'!aq992-'[2]$ лето'!ap992-'[2]$ лето'!an992-'[2]$ лето'!am992-'[2]$ лето'!al992-'[2]$ лето'!ak992-'[2]$ лето'!aj992-'[2]$ лето'!ah992-'[2]$ лето'!ag992-'[2]$ лето'!af992-'[2]$ лето'!ae992-'[2]$ лето'!ad992-'[2]$ лето'!ab992-'[2]$ лето'!aa992-'[2]$ лето'!z992-'[2]$ лето'!y992-'[2]$ лето'!x992-'[2]$ лето'!v992-'[2]$ лето'!u992-'[2]$ лето'!t992-'[2]$ лето'!s992-'[2]$ лето'!r992-'[2]$ лето'!p992-'[2]$ лето'!o992-'[2]$ лето'!n992-'[2]$ лето'!m992-'[2]$ лето'!l992+'[2]$ лето'!k992+'[2]$ лето'!q992+'[2]$ лето'!w992+'[2]$ лето'!ac992+'[2]$ лето'!ai992+'[2]$ лето'!ao992</f>
        <v>0</v>
      </c>
      <c r="I992" s="109" t="n">
        <f aca="false">'[2]$ лето'!ay992*1.1</f>
        <v>1663.2</v>
      </c>
    </row>
    <row r="993" customFormat="false" ht="15" hidden="false" customHeight="false" outlineLevel="0" collapsed="false">
      <c r="A993" s="115" t="s">
        <v>1578</v>
      </c>
      <c r="B993" s="115" t="s">
        <v>1580</v>
      </c>
      <c r="C993" s="116" t="s">
        <v>1581</v>
      </c>
      <c r="D993" s="116"/>
      <c r="E993" s="116"/>
      <c r="F993" s="116"/>
      <c r="G993" s="108"/>
      <c r="H993" s="105" t="n">
        <f aca="false">'[2]$ лето'!j993-'[2]$ лето'!au993-'[2]$ лето'!at993-'[2]$ лето'!as993-'[2]$ лето'!ar993-'[2]$ лето'!aq993-'[2]$ лето'!ap993-'[2]$ лето'!an993-'[2]$ лето'!am993-'[2]$ лето'!al993-'[2]$ лето'!ak993-'[2]$ лето'!aj993-'[2]$ лето'!ah993-'[2]$ лето'!ag993-'[2]$ лето'!af993-'[2]$ лето'!ae993-'[2]$ лето'!ad993-'[2]$ лето'!ab993-'[2]$ лето'!aa993-'[2]$ лето'!z993-'[2]$ лето'!y993-'[2]$ лето'!x993-'[2]$ лето'!v993-'[2]$ лето'!u993-'[2]$ лето'!t993-'[2]$ лето'!s993-'[2]$ лето'!r993-'[2]$ лето'!p993-'[2]$ лето'!o993-'[2]$ лето'!n993-'[2]$ лето'!m993-'[2]$ лето'!l993+'[2]$ лето'!k993+'[2]$ лето'!q993+'[2]$ лето'!w993+'[2]$ лето'!ac993+'[2]$ лето'!ai993+'[2]$ лето'!ao993</f>
        <v>2</v>
      </c>
      <c r="I993" s="109" t="n">
        <f aca="false">'[2]$ лето'!ay993*1.1</f>
        <v>1100</v>
      </c>
    </row>
    <row r="994" customFormat="false" ht="15" hidden="true" customHeight="false" outlineLevel="0" collapsed="false">
      <c r="A994" s="115" t="s">
        <v>1578</v>
      </c>
      <c r="B994" s="115" t="s">
        <v>844</v>
      </c>
      <c r="C994" s="116" t="s">
        <v>845</v>
      </c>
      <c r="D994" s="116"/>
      <c r="E994" s="116"/>
      <c r="F994" s="116"/>
      <c r="G994" s="108"/>
      <c r="H994" s="105" t="n">
        <f aca="false">'[2]$ лето'!j994-'[2]$ лето'!au994-'[2]$ лето'!at994-'[2]$ лето'!as994-'[2]$ лето'!ar994-'[2]$ лето'!aq994-'[2]$ лето'!ap994-'[2]$ лето'!an994-'[2]$ лето'!am994-'[2]$ лето'!al994-'[2]$ лето'!ak994-'[2]$ лето'!aj994-'[2]$ лето'!ah994-'[2]$ лето'!ag994-'[2]$ лето'!af994-'[2]$ лето'!ae994-'[2]$ лето'!ad994-'[2]$ лето'!ab994-'[2]$ лето'!aa994-'[2]$ лето'!z994-'[2]$ лето'!y994-'[2]$ лето'!x994-'[2]$ лето'!v994-'[2]$ лето'!u994-'[2]$ лето'!t994-'[2]$ лето'!s994-'[2]$ лето'!r994-'[2]$ лето'!p994-'[2]$ лето'!o994-'[2]$ лето'!n994-'[2]$ лето'!m994-'[2]$ лето'!l994+'[2]$ лето'!k994+'[2]$ лето'!q994+'[2]$ лето'!w994+'[2]$ лето'!ac994+'[2]$ лето'!ai994+'[2]$ лето'!ao994</f>
        <v>0</v>
      </c>
      <c r="I994" s="109" t="n">
        <f aca="false">'[2]$ лето'!ay994*1.1</f>
        <v>3388</v>
      </c>
    </row>
    <row r="995" customFormat="false" ht="15" hidden="false" customHeight="false" outlineLevel="0" collapsed="false">
      <c r="A995" s="129" t="s">
        <v>1578</v>
      </c>
      <c r="B995" s="129" t="s">
        <v>601</v>
      </c>
      <c r="C995" s="131" t="s">
        <v>1582</v>
      </c>
      <c r="D995" s="131"/>
      <c r="E995" s="131"/>
      <c r="F995" s="131"/>
      <c r="G995" s="132"/>
      <c r="H995" s="105" t="n">
        <f aca="false">'[2]$ лето'!j995-'[2]$ лето'!au995-'[2]$ лето'!at995-'[2]$ лето'!as995-'[2]$ лето'!ar995-'[2]$ лето'!aq995-'[2]$ лето'!ap995-'[2]$ лето'!an995-'[2]$ лето'!am995-'[2]$ лето'!al995-'[2]$ лето'!ak995-'[2]$ лето'!aj995-'[2]$ лето'!ah995-'[2]$ лето'!ag995-'[2]$ лето'!af995-'[2]$ лето'!ae995-'[2]$ лето'!ad995-'[2]$ лето'!ab995-'[2]$ лето'!aa995-'[2]$ лето'!z995-'[2]$ лето'!y995-'[2]$ лето'!x995-'[2]$ лето'!v995-'[2]$ лето'!u995-'[2]$ лето'!t995-'[2]$ лето'!s995-'[2]$ лето'!r995-'[2]$ лето'!p995-'[2]$ лето'!o995-'[2]$ лето'!n995-'[2]$ лето'!m995-'[2]$ лето'!l995+'[2]$ лето'!k995+'[2]$ лето'!q995+'[2]$ лето'!w995+'[2]$ лето'!ac995+'[2]$ лето'!ai995+'[2]$ лето'!ao995</f>
        <v>2</v>
      </c>
      <c r="I995" s="133" t="n">
        <f aca="false">'[2]$ лето'!ay995*1.1</f>
        <v>330</v>
      </c>
    </row>
    <row r="996" customFormat="false" ht="15" hidden="true" customHeight="false" outlineLevel="0" collapsed="false">
      <c r="A996" s="115" t="s">
        <v>1578</v>
      </c>
      <c r="B996" s="115" t="s">
        <v>658</v>
      </c>
      <c r="C996" s="116" t="s">
        <v>1499</v>
      </c>
      <c r="D996" s="116"/>
      <c r="E996" s="116"/>
      <c r="F996" s="116"/>
      <c r="G996" s="108"/>
      <c r="H996" s="105" t="n">
        <f aca="false">'[2]$ лето'!j996-'[2]$ лето'!au996-'[2]$ лето'!at996-'[2]$ лето'!as996-'[2]$ лето'!ar996-'[2]$ лето'!aq996-'[2]$ лето'!ap996-'[2]$ лето'!an996-'[2]$ лето'!am996-'[2]$ лето'!al996-'[2]$ лето'!ak996-'[2]$ лето'!aj996-'[2]$ лето'!ah996-'[2]$ лето'!ag996-'[2]$ лето'!af996-'[2]$ лето'!ae996-'[2]$ лето'!ad996-'[2]$ лето'!ab996-'[2]$ лето'!aa996-'[2]$ лето'!z996-'[2]$ лето'!y996-'[2]$ лето'!x996-'[2]$ лето'!v996-'[2]$ лето'!u996-'[2]$ лето'!t996-'[2]$ лето'!s996-'[2]$ лето'!r996-'[2]$ лето'!p996-'[2]$ лето'!o996-'[2]$ лето'!n996-'[2]$ лето'!m996-'[2]$ лето'!l996+'[2]$ лето'!k996+'[2]$ лето'!q996+'[2]$ лето'!w996+'[2]$ лето'!ac996+'[2]$ лето'!ai996+'[2]$ лето'!ao996</f>
        <v>0</v>
      </c>
      <c r="I996" s="109" t="n">
        <f aca="false">'[2]$ лето'!ay996*1.1</f>
        <v>2464</v>
      </c>
    </row>
    <row r="997" customFormat="false" ht="15" hidden="false" customHeight="false" outlineLevel="0" collapsed="false">
      <c r="A997" s="115" t="s">
        <v>1578</v>
      </c>
      <c r="B997" s="115" t="s">
        <v>658</v>
      </c>
      <c r="C997" s="116" t="s">
        <v>1583</v>
      </c>
      <c r="D997" s="116"/>
      <c r="E997" s="116"/>
      <c r="F997" s="116"/>
      <c r="G997" s="108" t="s">
        <v>933</v>
      </c>
      <c r="H997" s="105" t="n">
        <f aca="false">'[2]$ лето'!j997-'[2]$ лето'!au997-'[2]$ лето'!at997-'[2]$ лето'!as997-'[2]$ лето'!ar997-'[2]$ лето'!aq997-'[2]$ лето'!ap997-'[2]$ лето'!an997-'[2]$ лето'!am997-'[2]$ лето'!al997-'[2]$ лето'!ak997-'[2]$ лето'!aj997-'[2]$ лето'!ah997-'[2]$ лето'!ag997-'[2]$ лето'!af997-'[2]$ лето'!ae997-'[2]$ лето'!ad997-'[2]$ лето'!ab997-'[2]$ лето'!aa997-'[2]$ лето'!z997-'[2]$ лето'!y997-'[2]$ лето'!x997-'[2]$ лето'!v997-'[2]$ лето'!u997-'[2]$ лето'!t997-'[2]$ лето'!s997-'[2]$ лето'!r997-'[2]$ лето'!p997-'[2]$ лето'!o997-'[2]$ лето'!n997-'[2]$ лето'!m997-'[2]$ лето'!l997+'[2]$ лето'!k997+'[2]$ лето'!q997+'[2]$ лето'!w997+'[2]$ лето'!ac997+'[2]$ лето'!ai997+'[2]$ лето'!ao997</f>
        <v>2</v>
      </c>
      <c r="I997" s="109" t="n">
        <f aca="false">'[2]$ лето'!ay997*1.1</f>
        <v>2556.4</v>
      </c>
    </row>
    <row r="998" customFormat="false" ht="15" hidden="true" customHeight="false" outlineLevel="0" collapsed="false">
      <c r="A998" s="115" t="s">
        <v>1578</v>
      </c>
      <c r="B998" s="115" t="s">
        <v>604</v>
      </c>
      <c r="C998" s="107" t="s">
        <v>1584</v>
      </c>
      <c r="D998" s="107"/>
      <c r="E998" s="107"/>
      <c r="F998" s="107"/>
      <c r="G998" s="108"/>
      <c r="H998" s="105" t="n">
        <f aca="false">'[2]$ лето'!j998-'[2]$ лето'!au998-'[2]$ лето'!at998-'[2]$ лето'!as998-'[2]$ лето'!ar998-'[2]$ лето'!aq998-'[2]$ лето'!ap998-'[2]$ лето'!an998-'[2]$ лето'!am998-'[2]$ лето'!al998-'[2]$ лето'!ak998-'[2]$ лето'!aj998-'[2]$ лето'!ah998-'[2]$ лето'!ag998-'[2]$ лето'!af998-'[2]$ лето'!ae998-'[2]$ лето'!ad998-'[2]$ лето'!ab998-'[2]$ лето'!aa998-'[2]$ лето'!z998-'[2]$ лето'!y998-'[2]$ лето'!x998-'[2]$ лето'!v998-'[2]$ лето'!u998-'[2]$ лето'!t998-'[2]$ лето'!s998-'[2]$ лето'!r998-'[2]$ лето'!p998-'[2]$ лето'!o998-'[2]$ лето'!n998-'[2]$ лето'!m998-'[2]$ лето'!l998+'[2]$ лето'!k998+'[2]$ лето'!q998+'[2]$ лето'!w998+'[2]$ лето'!ac998+'[2]$ лето'!ai998+'[2]$ лето'!ao998</f>
        <v>0</v>
      </c>
      <c r="I998" s="109" t="n">
        <f aca="false">'[2]$ лето'!ay998*1.1</f>
        <v>1848</v>
      </c>
    </row>
    <row r="999" customFormat="false" ht="15" hidden="false" customHeight="false" outlineLevel="0" collapsed="false">
      <c r="A999" s="115" t="s">
        <v>1578</v>
      </c>
      <c r="B999" s="115" t="s">
        <v>604</v>
      </c>
      <c r="C999" s="107" t="s">
        <v>1585</v>
      </c>
      <c r="D999" s="107"/>
      <c r="E999" s="116"/>
      <c r="F999" s="116"/>
      <c r="G999" s="108" t="s">
        <v>663</v>
      </c>
      <c r="H999" s="105" t="n">
        <f aca="false">'[2]$ лето'!j999-'[2]$ лето'!au999-'[2]$ лето'!at999-'[2]$ лето'!as999-'[2]$ лето'!ar999-'[2]$ лето'!aq999-'[2]$ лето'!ap999-'[2]$ лето'!an999-'[2]$ лето'!am999-'[2]$ лето'!al999-'[2]$ лето'!ak999-'[2]$ лето'!aj999-'[2]$ лето'!ah999-'[2]$ лето'!ag999-'[2]$ лето'!af999-'[2]$ лето'!ae999-'[2]$ лето'!ad999-'[2]$ лето'!ab999-'[2]$ лето'!aa999-'[2]$ лето'!z999-'[2]$ лето'!y999-'[2]$ лето'!x999-'[2]$ лето'!v999-'[2]$ лето'!u999-'[2]$ лето'!t999-'[2]$ лето'!s999-'[2]$ лето'!r999-'[2]$ лето'!p999-'[2]$ лето'!o999-'[2]$ лето'!n999-'[2]$ лето'!m999-'[2]$ лето'!l999+'[2]$ лето'!k999+'[2]$ лето'!q999+'[2]$ лето'!w999+'[2]$ лето'!ac999+'[2]$ лето'!ai999+'[2]$ лето'!ao999</f>
        <v>4</v>
      </c>
      <c r="I999" s="109" t="n">
        <f aca="false">'[2]$ лето'!ay999*1.1</f>
        <v>2156</v>
      </c>
      <c r="J999" s="85" t="n">
        <v>2018</v>
      </c>
    </row>
    <row r="1000" customFormat="false" ht="15" hidden="true" customHeight="false" outlineLevel="0" collapsed="false">
      <c r="A1000" s="115" t="s">
        <v>1578</v>
      </c>
      <c r="B1000" s="115" t="s">
        <v>606</v>
      </c>
      <c r="C1000" s="107" t="s">
        <v>1586</v>
      </c>
      <c r="D1000" s="107"/>
      <c r="E1000" s="107"/>
      <c r="F1000" s="107"/>
      <c r="G1000" s="108"/>
      <c r="H1000" s="105" t="n">
        <f aca="false">'[2]$ лето'!j1000-'[2]$ лето'!au1000-'[2]$ лето'!at1000-'[2]$ лето'!as1000-'[2]$ лето'!ar1000-'[2]$ лето'!aq1000-'[2]$ лето'!ap1000-'[2]$ лето'!an1000-'[2]$ лето'!am1000-'[2]$ лето'!al1000-'[2]$ лето'!ak1000-'[2]$ лето'!aj1000-'[2]$ лето'!ah1000-'[2]$ лето'!ag1000-'[2]$ лето'!af1000-'[2]$ лето'!ae1000-'[2]$ лето'!ad1000-'[2]$ лето'!ab1000-'[2]$ лето'!aa1000-'[2]$ лето'!z1000-'[2]$ лето'!y1000-'[2]$ лето'!x1000-'[2]$ лето'!v1000-'[2]$ лето'!u1000-'[2]$ лето'!t1000-'[2]$ лето'!s1000-'[2]$ лето'!r1000-'[2]$ лето'!p1000-'[2]$ лето'!o1000-'[2]$ лето'!n1000-'[2]$ лето'!m1000-'[2]$ лето'!l1000+'[2]$ лето'!k1000+'[2]$ лето'!q1000+'[2]$ лето'!w1000+'[2]$ лето'!ac1000+'[2]$ лето'!ai1000+'[2]$ лето'!ao1000</f>
        <v>0</v>
      </c>
      <c r="I1000" s="109" t="n">
        <f aca="false">'[2]$ лето'!ay1000*1.1</f>
        <v>2371.6</v>
      </c>
    </row>
    <row r="1001" customFormat="false" ht="15" hidden="true" customHeight="false" outlineLevel="0" collapsed="false">
      <c r="A1001" s="115" t="s">
        <v>1578</v>
      </c>
      <c r="B1001" s="123" t="s">
        <v>583</v>
      </c>
      <c r="C1001" s="107" t="s">
        <v>1587</v>
      </c>
      <c r="D1001" s="107"/>
      <c r="E1001" s="107"/>
      <c r="F1001" s="107"/>
      <c r="G1001" s="108" t="s">
        <v>933</v>
      </c>
      <c r="H1001" s="105" t="n">
        <f aca="false">'[2]$ лето'!j1001-'[2]$ лето'!au1001-'[2]$ лето'!at1001-'[2]$ лето'!as1001-'[2]$ лето'!ar1001-'[2]$ лето'!aq1001-'[2]$ лето'!ap1001-'[2]$ лето'!an1001-'[2]$ лето'!am1001-'[2]$ лето'!al1001-'[2]$ лето'!ak1001-'[2]$ лето'!aj1001-'[2]$ лето'!ah1001-'[2]$ лето'!ag1001-'[2]$ лето'!af1001-'[2]$ лето'!ae1001-'[2]$ лето'!ad1001-'[2]$ лето'!ab1001-'[2]$ лето'!aa1001-'[2]$ лето'!z1001-'[2]$ лето'!y1001-'[2]$ лето'!x1001-'[2]$ лето'!v1001-'[2]$ лето'!u1001-'[2]$ лето'!t1001-'[2]$ лето'!s1001-'[2]$ лето'!r1001-'[2]$ лето'!p1001-'[2]$ лето'!o1001-'[2]$ лето'!n1001-'[2]$ лето'!m1001-'[2]$ лето'!l1001+'[2]$ лето'!k1001+'[2]$ лето'!q1001+'[2]$ лето'!w1001+'[2]$ лето'!ac1001+'[2]$ лето'!ai1001+'[2]$ лето'!ao1001</f>
        <v>0</v>
      </c>
      <c r="I1001" s="109" t="n">
        <f aca="false">'[2]$ лето'!ay1001*1.1</f>
        <v>1694</v>
      </c>
      <c r="J1001" s="85" t="n">
        <v>2018</v>
      </c>
    </row>
    <row r="1002" customFormat="false" ht="15" hidden="false" customHeight="false" outlineLevel="0" collapsed="false">
      <c r="A1002" s="115" t="str">
        <f aca="false">A1001</f>
        <v>225.45/R17</v>
      </c>
      <c r="B1002" s="123" t="str">
        <f aca="false">B1001</f>
        <v>MATADOR</v>
      </c>
      <c r="C1002" s="107" t="s">
        <v>1588</v>
      </c>
      <c r="D1002" s="107"/>
      <c r="E1002" s="116"/>
      <c r="F1002" s="116"/>
      <c r="G1002" s="108" t="s">
        <v>933</v>
      </c>
      <c r="H1002" s="105" t="n">
        <f aca="false">'[2]$ лето'!j1002-'[2]$ лето'!au1002-'[2]$ лето'!at1002-'[2]$ лето'!as1002-'[2]$ лето'!ar1002-'[2]$ лето'!aq1002-'[2]$ лето'!ap1002-'[2]$ лето'!an1002-'[2]$ лето'!am1002-'[2]$ лето'!al1002-'[2]$ лето'!ak1002-'[2]$ лето'!aj1002-'[2]$ лето'!ah1002-'[2]$ лето'!ag1002-'[2]$ лето'!af1002-'[2]$ лето'!ae1002-'[2]$ лето'!ad1002-'[2]$ лето'!ab1002-'[2]$ лето'!aa1002-'[2]$ лето'!z1002-'[2]$ лето'!y1002-'[2]$ лето'!x1002-'[2]$ лето'!v1002-'[2]$ лето'!u1002-'[2]$ лето'!t1002-'[2]$ лето'!s1002-'[2]$ лето'!r1002-'[2]$ лето'!p1002-'[2]$ лето'!o1002-'[2]$ лето'!n1002-'[2]$ лето'!m1002-'[2]$ лето'!l1002+'[2]$ лето'!k1002+'[2]$ лето'!q1002+'[2]$ лето'!w1002+'[2]$ лето'!ac1002+'[2]$ лето'!ai1002+'[2]$ лето'!ao1002</f>
        <v>4</v>
      </c>
      <c r="I1002" s="109" t="n">
        <f aca="false">'[2]$ лето'!ay1002*1.1</f>
        <v>1632.4</v>
      </c>
      <c r="J1002" s="85" t="n">
        <v>2017</v>
      </c>
    </row>
    <row r="1003" customFormat="false" ht="15" hidden="false" customHeight="false" outlineLevel="0" collapsed="false">
      <c r="A1003" s="115" t="s">
        <v>1578</v>
      </c>
      <c r="B1003" s="115" t="s">
        <v>586</v>
      </c>
      <c r="C1003" s="107" t="s">
        <v>1589</v>
      </c>
      <c r="D1003" s="107"/>
      <c r="E1003" s="116"/>
      <c r="F1003" s="116"/>
      <c r="G1003" s="108" t="s">
        <v>520</v>
      </c>
      <c r="H1003" s="105" t="n">
        <f aca="false">'[2]$ лето'!j1003-'[2]$ лето'!au1003-'[2]$ лето'!at1003-'[2]$ лето'!as1003-'[2]$ лето'!ar1003-'[2]$ лето'!aq1003-'[2]$ лето'!ap1003-'[2]$ лето'!an1003-'[2]$ лето'!am1003-'[2]$ лето'!al1003-'[2]$ лето'!ak1003-'[2]$ лето'!aj1003-'[2]$ лето'!ah1003-'[2]$ лето'!ag1003-'[2]$ лето'!af1003-'[2]$ лето'!ae1003-'[2]$ лето'!ad1003-'[2]$ лето'!ab1003-'[2]$ лето'!aa1003-'[2]$ лето'!z1003-'[2]$ лето'!y1003-'[2]$ лето'!x1003-'[2]$ лето'!v1003-'[2]$ лето'!u1003-'[2]$ лето'!t1003-'[2]$ лето'!s1003-'[2]$ лето'!r1003-'[2]$ лето'!p1003-'[2]$ лето'!o1003-'[2]$ лето'!n1003-'[2]$ лето'!m1003-'[2]$ лето'!l1003+'[2]$ лето'!k1003+'[2]$ лето'!q1003+'[2]$ лето'!w1003+'[2]$ лето'!ac1003+'[2]$ лето'!ai1003+'[2]$ лето'!ao1003</f>
        <v>8</v>
      </c>
      <c r="I1003" s="109" t="n">
        <f aca="false">'[2]$ лето'!ay1003*1.1</f>
        <v>1324.4</v>
      </c>
      <c r="J1003" s="85" t="n">
        <v>2018</v>
      </c>
    </row>
    <row r="1004" customFormat="false" ht="15" hidden="false" customHeight="false" outlineLevel="0" collapsed="false">
      <c r="A1004" s="115" t="s">
        <v>1578</v>
      </c>
      <c r="B1004" s="115" t="s">
        <v>1371</v>
      </c>
      <c r="C1004" s="107" t="s">
        <v>1590</v>
      </c>
      <c r="D1004" s="107"/>
      <c r="E1004" s="116"/>
      <c r="F1004" s="116"/>
      <c r="G1004" s="108"/>
      <c r="H1004" s="105" t="n">
        <f aca="false">'[2]$ лето'!j1004-'[2]$ лето'!au1004-'[2]$ лето'!at1004-'[2]$ лето'!as1004-'[2]$ лето'!ar1004-'[2]$ лето'!aq1004-'[2]$ лето'!ap1004-'[2]$ лето'!an1004-'[2]$ лето'!am1004-'[2]$ лето'!al1004-'[2]$ лето'!ak1004-'[2]$ лето'!aj1004-'[2]$ лето'!ah1004-'[2]$ лето'!ag1004-'[2]$ лето'!af1004-'[2]$ лето'!ae1004-'[2]$ лето'!ad1004-'[2]$ лето'!ab1004-'[2]$ лето'!aa1004-'[2]$ лето'!z1004-'[2]$ лето'!y1004-'[2]$ лето'!x1004-'[2]$ лето'!v1004-'[2]$ лето'!u1004-'[2]$ лето'!t1004-'[2]$ лето'!s1004-'[2]$ лето'!r1004-'[2]$ лето'!p1004-'[2]$ лето'!o1004-'[2]$ лето'!n1004-'[2]$ лето'!m1004-'[2]$ лето'!l1004+'[2]$ лето'!k1004+'[2]$ лето'!q1004+'[2]$ лето'!w1004+'[2]$ лето'!ac1004+'[2]$ лето'!ai1004+'[2]$ лето'!ao1004</f>
        <v>4</v>
      </c>
      <c r="I1004" s="109" t="n">
        <f aca="false">'[2]$ лето'!ay1004*1.1</f>
        <v>1210</v>
      </c>
    </row>
    <row r="1005" customFormat="false" ht="15" hidden="false" customHeight="false" outlineLevel="0" collapsed="false">
      <c r="A1005" s="115" t="s">
        <v>1578</v>
      </c>
      <c r="B1005" s="115" t="s">
        <v>621</v>
      </c>
      <c r="C1005" s="107" t="s">
        <v>1591</v>
      </c>
      <c r="D1005" s="107"/>
      <c r="E1005" s="116"/>
      <c r="F1005" s="116"/>
      <c r="G1005" s="108" t="s">
        <v>520</v>
      </c>
      <c r="H1005" s="105" t="n">
        <f aca="false">'[2]$ лето'!j1005-'[2]$ лето'!au1005-'[2]$ лето'!at1005-'[2]$ лето'!as1005-'[2]$ лето'!ar1005-'[2]$ лето'!aq1005-'[2]$ лето'!ap1005-'[2]$ лето'!an1005-'[2]$ лето'!am1005-'[2]$ лето'!al1005-'[2]$ лето'!ak1005-'[2]$ лето'!aj1005-'[2]$ лето'!ah1005-'[2]$ лето'!ag1005-'[2]$ лето'!af1005-'[2]$ лето'!ae1005-'[2]$ лето'!ad1005-'[2]$ лето'!ab1005-'[2]$ лето'!aa1005-'[2]$ лето'!z1005-'[2]$ лето'!y1005-'[2]$ лето'!x1005-'[2]$ лето'!v1005-'[2]$ лето'!u1005-'[2]$ лето'!t1005-'[2]$ лето'!s1005-'[2]$ лето'!r1005-'[2]$ лето'!p1005-'[2]$ лето'!o1005-'[2]$ лето'!n1005-'[2]$ лето'!m1005-'[2]$ лето'!l1005+'[2]$ лето'!k1005+'[2]$ лето'!q1005+'[2]$ лето'!w1005+'[2]$ лето'!ac1005+'[2]$ лето'!ai1005+'[2]$ лето'!ao1005</f>
        <v>2</v>
      </c>
      <c r="I1005" s="109" t="n">
        <f aca="false">'[2]$ лето'!ay1005*1.1</f>
        <v>1386</v>
      </c>
    </row>
    <row r="1006" customFormat="false" ht="15" hidden="true" customHeight="false" outlineLevel="0" collapsed="false">
      <c r="A1006" s="115" t="s">
        <v>1578</v>
      </c>
      <c r="B1006" s="115" t="s">
        <v>589</v>
      </c>
      <c r="C1006" s="116" t="s">
        <v>1592</v>
      </c>
      <c r="D1006" s="116"/>
      <c r="E1006" s="116"/>
      <c r="F1006" s="116"/>
      <c r="G1006" s="108"/>
      <c r="H1006" s="105" t="n">
        <f aca="false">'[2]$ лето'!j1006-'[2]$ лето'!au1006-'[2]$ лето'!at1006-'[2]$ лето'!as1006-'[2]$ лето'!ar1006-'[2]$ лето'!aq1006-'[2]$ лето'!ap1006-'[2]$ лето'!an1006-'[2]$ лето'!am1006-'[2]$ лето'!al1006-'[2]$ лето'!ak1006-'[2]$ лето'!aj1006-'[2]$ лето'!ah1006-'[2]$ лето'!ag1006-'[2]$ лето'!af1006-'[2]$ лето'!ae1006-'[2]$ лето'!ad1006-'[2]$ лето'!ab1006-'[2]$ лето'!aa1006-'[2]$ лето'!z1006-'[2]$ лето'!y1006-'[2]$ лето'!x1006-'[2]$ лето'!v1006-'[2]$ лето'!u1006-'[2]$ лето'!t1006-'[2]$ лето'!s1006-'[2]$ лето'!r1006-'[2]$ лето'!p1006-'[2]$ лето'!o1006-'[2]$ лето'!n1006-'[2]$ лето'!m1006-'[2]$ лето'!l1006+'[2]$ лето'!k1006+'[2]$ лето'!q1006+'[2]$ лето'!w1006+'[2]$ лето'!ac1006+'[2]$ лето'!ai1006+'[2]$ лето'!ao1006</f>
        <v>0</v>
      </c>
      <c r="I1006" s="109" t="n">
        <f aca="false">'[2]$ лето'!ay1006*1.1</f>
        <v>2156</v>
      </c>
    </row>
    <row r="1007" customFormat="false" ht="15" hidden="true" customHeight="false" outlineLevel="0" collapsed="false">
      <c r="A1007" s="115" t="s">
        <v>1578</v>
      </c>
      <c r="B1007" s="115" t="s">
        <v>589</v>
      </c>
      <c r="C1007" s="116" t="s">
        <v>1593</v>
      </c>
      <c r="D1007" s="116"/>
      <c r="E1007" s="116"/>
      <c r="F1007" s="116"/>
      <c r="G1007" s="108"/>
      <c r="H1007" s="105" t="n">
        <f aca="false">'[2]$ лето'!j1007-'[2]$ лето'!au1007-'[2]$ лето'!at1007-'[2]$ лето'!as1007-'[2]$ лето'!ar1007-'[2]$ лето'!aq1007-'[2]$ лето'!ap1007-'[2]$ лето'!an1007-'[2]$ лето'!am1007-'[2]$ лето'!al1007-'[2]$ лето'!ak1007-'[2]$ лето'!aj1007-'[2]$ лето'!ah1007-'[2]$ лето'!ag1007-'[2]$ лето'!af1007-'[2]$ лето'!ae1007-'[2]$ лето'!ad1007-'[2]$ лето'!ab1007-'[2]$ лето'!aa1007-'[2]$ лето'!z1007-'[2]$ лето'!y1007-'[2]$ лето'!x1007-'[2]$ лето'!v1007-'[2]$ лето'!u1007-'[2]$ лето'!t1007-'[2]$ лето'!s1007-'[2]$ лето'!r1007-'[2]$ лето'!p1007-'[2]$ лето'!o1007-'[2]$ лето'!n1007-'[2]$ лето'!m1007-'[2]$ лето'!l1007+'[2]$ лето'!k1007+'[2]$ лето'!q1007+'[2]$ лето'!w1007+'[2]$ лето'!ac1007+'[2]$ лето'!ai1007+'[2]$ лето'!ao1007</f>
        <v>0</v>
      </c>
      <c r="I1007" s="109" t="n">
        <f aca="false">'[2]$ лето'!ay1007*1.1</f>
        <v>2772</v>
      </c>
    </row>
    <row r="1008" customFormat="false" ht="15" hidden="false" customHeight="false" outlineLevel="0" collapsed="false">
      <c r="A1008" s="115" t="s">
        <v>1578</v>
      </c>
      <c r="B1008" s="115" t="s">
        <v>564</v>
      </c>
      <c r="C1008" s="116" t="s">
        <v>1561</v>
      </c>
      <c r="D1008" s="116"/>
      <c r="E1008" s="116"/>
      <c r="F1008" s="116"/>
      <c r="G1008" s="108" t="s">
        <v>520</v>
      </c>
      <c r="H1008" s="105" t="n">
        <f aca="false">'[2]$ лето'!j1008-'[2]$ лето'!au1008-'[2]$ лето'!at1008-'[2]$ лето'!as1008-'[2]$ лето'!ar1008-'[2]$ лето'!aq1008-'[2]$ лето'!ap1008-'[2]$ лето'!an1008-'[2]$ лето'!am1008-'[2]$ лето'!al1008-'[2]$ лето'!ak1008-'[2]$ лето'!aj1008-'[2]$ лето'!ah1008-'[2]$ лето'!ag1008-'[2]$ лето'!af1008-'[2]$ лето'!ae1008-'[2]$ лето'!ad1008-'[2]$ лето'!ab1008-'[2]$ лето'!aa1008-'[2]$ лето'!z1008-'[2]$ лето'!y1008-'[2]$ лето'!x1008-'[2]$ лето'!v1008-'[2]$ лето'!u1008-'[2]$ лето'!t1008-'[2]$ лето'!s1008-'[2]$ лето'!r1008-'[2]$ лето'!p1008-'[2]$ лето'!o1008-'[2]$ лето'!n1008-'[2]$ лето'!m1008-'[2]$ лето'!l1008+'[2]$ лето'!k1008+'[2]$ лето'!q1008+'[2]$ лето'!w1008+'[2]$ лето'!ac1008+'[2]$ лето'!ai1008+'[2]$ лето'!ao1008</f>
        <v>4</v>
      </c>
      <c r="I1008" s="109" t="n">
        <f aca="false">'[2]$ лето'!ay1008*1.1</f>
        <v>1262.8</v>
      </c>
    </row>
    <row r="1009" customFormat="false" ht="15" hidden="true" customHeight="false" outlineLevel="0" collapsed="false">
      <c r="A1009" s="115" t="s">
        <v>1594</v>
      </c>
      <c r="B1009" s="115" t="s">
        <v>566</v>
      </c>
      <c r="C1009" s="116" t="s">
        <v>1595</v>
      </c>
      <c r="D1009" s="116" t="s">
        <v>1596</v>
      </c>
      <c r="E1009" s="116" t="n">
        <v>98</v>
      </c>
      <c r="F1009" s="116" t="s">
        <v>1553</v>
      </c>
      <c r="G1009" s="108" t="s">
        <v>563</v>
      </c>
      <c r="H1009" s="105" t="n">
        <f aca="false">'[2]$ лето'!j1009-'[2]$ лето'!au1009-'[2]$ лето'!at1009-'[2]$ лето'!as1009-'[2]$ лето'!ar1009-'[2]$ лето'!aq1009-'[2]$ лето'!ap1009-'[2]$ лето'!an1009-'[2]$ лето'!am1009-'[2]$ лето'!al1009-'[2]$ лето'!ak1009-'[2]$ лето'!aj1009-'[2]$ лето'!ah1009-'[2]$ лето'!ag1009-'[2]$ лето'!af1009-'[2]$ лето'!ae1009-'[2]$ лето'!ad1009-'[2]$ лето'!ab1009-'[2]$ лето'!aa1009-'[2]$ лето'!z1009-'[2]$ лето'!y1009-'[2]$ лето'!x1009-'[2]$ лето'!v1009-'[2]$ лето'!u1009-'[2]$ лето'!t1009-'[2]$ лето'!s1009-'[2]$ лето'!r1009-'[2]$ лето'!p1009-'[2]$ лето'!o1009-'[2]$ лето'!n1009-'[2]$ лето'!m1009-'[2]$ лето'!l1009+'[2]$ лето'!k1009+'[2]$ лето'!q1009+'[2]$ лето'!w1009+'[2]$ лето'!ac1009+'[2]$ лето'!ai1009+'[2]$ лето'!ao1009</f>
        <v>0</v>
      </c>
      <c r="I1009" s="109" t="n">
        <f aca="false">'[2]$ лето'!ay1009*1.1</f>
        <v>1632.4</v>
      </c>
      <c r="J1009" s="85" t="n">
        <v>2018</v>
      </c>
    </row>
    <row r="1010" customFormat="false" ht="15" hidden="false" customHeight="false" outlineLevel="0" collapsed="false">
      <c r="A1010" s="115" t="s">
        <v>1594</v>
      </c>
      <c r="B1010" s="115" t="s">
        <v>1300</v>
      </c>
      <c r="C1010" s="116" t="s">
        <v>1597</v>
      </c>
      <c r="D1010" s="116"/>
      <c r="E1010" s="116"/>
      <c r="F1010" s="116"/>
      <c r="G1010" s="108"/>
      <c r="H1010" s="105" t="n">
        <f aca="false">'[2]$ лето'!j1010-'[2]$ лето'!au1010-'[2]$ лето'!at1010-'[2]$ лето'!as1010-'[2]$ лето'!ar1010-'[2]$ лето'!aq1010-'[2]$ лето'!ap1010-'[2]$ лето'!an1010-'[2]$ лето'!am1010-'[2]$ лето'!al1010-'[2]$ лето'!ak1010-'[2]$ лето'!aj1010-'[2]$ лето'!ah1010-'[2]$ лето'!ag1010-'[2]$ лето'!af1010-'[2]$ лето'!ae1010-'[2]$ лето'!ad1010-'[2]$ лето'!ab1010-'[2]$ лето'!aa1010-'[2]$ лето'!z1010-'[2]$ лето'!y1010-'[2]$ лето'!x1010-'[2]$ лето'!v1010-'[2]$ лето'!u1010-'[2]$ лето'!t1010-'[2]$ лето'!s1010-'[2]$ лето'!r1010-'[2]$ лето'!p1010-'[2]$ лето'!o1010-'[2]$ лето'!n1010-'[2]$ лето'!m1010-'[2]$ лето'!l1010+'[2]$ лето'!k1010+'[2]$ лето'!q1010+'[2]$ лето'!w1010+'[2]$ лето'!ac1010+'[2]$ лето'!ai1010+'[2]$ лето'!ao1010</f>
        <v>2</v>
      </c>
      <c r="I1010" s="109" t="n">
        <f aca="false">'[2]$ лето'!ay1010*1.1</f>
        <v>1324.4</v>
      </c>
      <c r="J1010" s="85" t="n">
        <v>2016</v>
      </c>
    </row>
    <row r="1011" customFormat="false" ht="15" hidden="false" customHeight="false" outlineLevel="0" collapsed="false">
      <c r="A1011" s="115" t="s">
        <v>1594</v>
      </c>
      <c r="B1011" s="115" t="s">
        <v>568</v>
      </c>
      <c r="C1011" s="116" t="s">
        <v>1598</v>
      </c>
      <c r="D1011" s="116"/>
      <c r="E1011" s="116"/>
      <c r="F1011" s="116"/>
      <c r="G1011" s="108" t="s">
        <v>631</v>
      </c>
      <c r="H1011" s="105" t="n">
        <f aca="false">'[2]$ лето'!j1011-'[2]$ лето'!au1011-'[2]$ лето'!at1011-'[2]$ лето'!as1011-'[2]$ лето'!ar1011-'[2]$ лето'!aq1011-'[2]$ лето'!ap1011-'[2]$ лето'!an1011-'[2]$ лето'!am1011-'[2]$ лето'!al1011-'[2]$ лето'!ak1011-'[2]$ лето'!aj1011-'[2]$ лето'!ah1011-'[2]$ лето'!ag1011-'[2]$ лето'!af1011-'[2]$ лето'!ae1011-'[2]$ лето'!ad1011-'[2]$ лето'!ab1011-'[2]$ лето'!aa1011-'[2]$ лето'!z1011-'[2]$ лето'!y1011-'[2]$ лето'!x1011-'[2]$ лето'!v1011-'[2]$ лето'!u1011-'[2]$ лето'!t1011-'[2]$ лето'!s1011-'[2]$ лето'!r1011-'[2]$ лето'!p1011-'[2]$ лето'!o1011-'[2]$ лето'!n1011-'[2]$ лето'!m1011-'[2]$ лето'!l1011+'[2]$ лето'!k1011+'[2]$ лето'!q1011+'[2]$ лето'!w1011+'[2]$ лето'!ac1011+'[2]$ лето'!ai1011+'[2]$ лето'!ao1011</f>
        <v>4</v>
      </c>
      <c r="I1011" s="109" t="n">
        <f aca="false">'[2]$ лето'!ay1011*1.1</f>
        <v>1848</v>
      </c>
      <c r="J1011" s="85" t="n">
        <v>2016</v>
      </c>
    </row>
    <row r="1012" customFormat="false" ht="15" hidden="true" customHeight="false" outlineLevel="0" collapsed="false">
      <c r="A1012" s="115" t="s">
        <v>1594</v>
      </c>
      <c r="B1012" s="115" t="s">
        <v>844</v>
      </c>
      <c r="C1012" s="116" t="s">
        <v>1599</v>
      </c>
      <c r="D1012" s="116"/>
      <c r="E1012" s="116"/>
      <c r="F1012" s="116"/>
      <c r="G1012" s="108"/>
      <c r="H1012" s="105" t="n">
        <f aca="false">'[2]$ лето'!j1012-'[2]$ лето'!au1012-'[2]$ лето'!at1012-'[2]$ лето'!as1012-'[2]$ лето'!ar1012-'[2]$ лето'!aq1012-'[2]$ лето'!ap1012-'[2]$ лето'!an1012-'[2]$ лето'!am1012-'[2]$ лето'!al1012-'[2]$ лето'!ak1012-'[2]$ лето'!aj1012-'[2]$ лето'!ah1012-'[2]$ лето'!ag1012-'[2]$ лето'!af1012-'[2]$ лето'!ae1012-'[2]$ лето'!ad1012-'[2]$ лето'!ab1012-'[2]$ лето'!aa1012-'[2]$ лето'!z1012-'[2]$ лето'!y1012-'[2]$ лето'!x1012-'[2]$ лето'!v1012-'[2]$ лето'!u1012-'[2]$ лето'!t1012-'[2]$ лето'!s1012-'[2]$ лето'!r1012-'[2]$ лето'!p1012-'[2]$ лето'!o1012-'[2]$ лето'!n1012-'[2]$ лето'!m1012-'[2]$ лето'!l1012+'[2]$ лето'!k1012+'[2]$ лето'!q1012+'[2]$ лето'!w1012+'[2]$ лето'!ac1012+'[2]$ лето'!ai1012+'[2]$ лето'!ao1012</f>
        <v>0</v>
      </c>
      <c r="I1012" s="109" t="n">
        <f aca="false">'[2]$ лето'!ay1012*1.1</f>
        <v>3850</v>
      </c>
    </row>
    <row r="1013" customFormat="false" ht="15" hidden="true" customHeight="false" outlineLevel="0" collapsed="false">
      <c r="A1013" s="115" t="s">
        <v>1594</v>
      </c>
      <c r="B1013" s="115" t="s">
        <v>601</v>
      </c>
      <c r="C1013" s="116" t="s">
        <v>1600</v>
      </c>
      <c r="D1013" s="116"/>
      <c r="E1013" s="116"/>
      <c r="F1013" s="116"/>
      <c r="G1013" s="108"/>
      <c r="H1013" s="105" t="n">
        <f aca="false">'[2]$ лето'!j1013-'[2]$ лето'!au1013-'[2]$ лето'!at1013-'[2]$ лето'!as1013-'[2]$ лето'!ar1013-'[2]$ лето'!aq1013-'[2]$ лето'!ap1013-'[2]$ лето'!an1013-'[2]$ лето'!am1013-'[2]$ лето'!al1013-'[2]$ лето'!ak1013-'[2]$ лето'!aj1013-'[2]$ лето'!ah1013-'[2]$ лето'!ag1013-'[2]$ лето'!af1013-'[2]$ лето'!ae1013-'[2]$ лето'!ad1013-'[2]$ лето'!ab1013-'[2]$ лето'!aa1013-'[2]$ лето'!z1013-'[2]$ лето'!y1013-'[2]$ лето'!x1013-'[2]$ лето'!v1013-'[2]$ лето'!u1013-'[2]$ лето'!t1013-'[2]$ лето'!s1013-'[2]$ лето'!r1013-'[2]$ лето'!p1013-'[2]$ лето'!o1013-'[2]$ лето'!n1013-'[2]$ лето'!m1013-'[2]$ лето'!l1013+'[2]$ лето'!k1013+'[2]$ лето'!q1013+'[2]$ лето'!w1013+'[2]$ лето'!ac1013+'[2]$ лето'!ai1013+'[2]$ лето'!ao1013</f>
        <v>0</v>
      </c>
      <c r="I1013" s="109" t="n">
        <f aca="false">'[2]$ лето'!ay1013*1.1</f>
        <v>3388</v>
      </c>
      <c r="J1013" s="85" t="n">
        <v>2017</v>
      </c>
    </row>
    <row r="1014" customFormat="false" ht="15" hidden="false" customHeight="false" outlineLevel="0" collapsed="false">
      <c r="A1014" s="115" t="s">
        <v>1594</v>
      </c>
      <c r="B1014" s="115" t="s">
        <v>658</v>
      </c>
      <c r="C1014" s="116" t="s">
        <v>1601</v>
      </c>
      <c r="D1014" s="116"/>
      <c r="E1014" s="116"/>
      <c r="F1014" s="116"/>
      <c r="G1014" s="108"/>
      <c r="H1014" s="105" t="n">
        <f aca="false">'[2]$ лето'!j1014-'[2]$ лето'!au1014-'[2]$ лето'!at1014-'[2]$ лето'!as1014-'[2]$ лето'!ar1014-'[2]$ лето'!aq1014-'[2]$ лето'!ap1014-'[2]$ лето'!an1014-'[2]$ лето'!am1014-'[2]$ лето'!al1014-'[2]$ лето'!ak1014-'[2]$ лето'!aj1014-'[2]$ лето'!ah1014-'[2]$ лето'!ag1014-'[2]$ лето'!af1014-'[2]$ лето'!ae1014-'[2]$ лето'!ad1014-'[2]$ лето'!ab1014-'[2]$ лето'!aa1014-'[2]$ лето'!z1014-'[2]$ лето'!y1014-'[2]$ лето'!x1014-'[2]$ лето'!v1014-'[2]$ лето'!u1014-'[2]$ лето'!t1014-'[2]$ лето'!s1014-'[2]$ лето'!r1014-'[2]$ лето'!p1014-'[2]$ лето'!o1014-'[2]$ лето'!n1014-'[2]$ лето'!m1014-'[2]$ лето'!l1014+'[2]$ лето'!k1014+'[2]$ лето'!q1014+'[2]$ лето'!w1014+'[2]$ лето'!ac1014+'[2]$ лето'!ai1014+'[2]$ лето'!ao1014</f>
        <v>2</v>
      </c>
      <c r="I1014" s="109" t="n">
        <f aca="false">'[2]$ лето'!ay1014*1.1</f>
        <v>2464</v>
      </c>
    </row>
    <row r="1015" customFormat="false" ht="15" hidden="true" customHeight="false" outlineLevel="0" collapsed="false">
      <c r="A1015" s="115" t="s">
        <v>1594</v>
      </c>
      <c r="B1015" s="115" t="s">
        <v>658</v>
      </c>
      <c r="C1015" s="116" t="s">
        <v>1602</v>
      </c>
      <c r="D1015" s="116"/>
      <c r="E1015" s="116"/>
      <c r="F1015" s="116"/>
      <c r="G1015" s="108"/>
      <c r="H1015" s="105" t="n">
        <f aca="false">'[2]$ лето'!j1015-'[2]$ лето'!au1015-'[2]$ лето'!at1015-'[2]$ лето'!as1015-'[2]$ лето'!ar1015-'[2]$ лето'!aq1015-'[2]$ лето'!ap1015-'[2]$ лето'!an1015-'[2]$ лето'!am1015-'[2]$ лето'!al1015-'[2]$ лето'!ak1015-'[2]$ лето'!aj1015-'[2]$ лето'!ah1015-'[2]$ лето'!ag1015-'[2]$ лето'!af1015-'[2]$ лето'!ae1015-'[2]$ лето'!ad1015-'[2]$ лето'!ab1015-'[2]$ лето'!aa1015-'[2]$ лето'!z1015-'[2]$ лето'!y1015-'[2]$ лето'!x1015-'[2]$ лето'!v1015-'[2]$ лето'!u1015-'[2]$ лето'!t1015-'[2]$ лето'!s1015-'[2]$ лето'!r1015-'[2]$ лето'!p1015-'[2]$ лето'!o1015-'[2]$ лето'!n1015-'[2]$ лето'!m1015-'[2]$ лето'!l1015+'[2]$ лето'!k1015+'[2]$ лето'!q1015+'[2]$ лето'!w1015+'[2]$ лето'!ac1015+'[2]$ лето'!ai1015+'[2]$ лето'!ao1015</f>
        <v>0</v>
      </c>
      <c r="I1015" s="109" t="n">
        <f aca="false">'[2]$ лето'!ay1015*1.1</f>
        <v>3696</v>
      </c>
      <c r="J1015" s="85" t="n">
        <v>2018</v>
      </c>
    </row>
    <row r="1016" customFormat="false" ht="15" hidden="true" customHeight="false" outlineLevel="0" collapsed="false">
      <c r="A1016" s="115" t="s">
        <v>1594</v>
      </c>
      <c r="B1016" s="115" t="s">
        <v>707</v>
      </c>
      <c r="C1016" s="107" t="s">
        <v>1603</v>
      </c>
      <c r="D1016" s="107"/>
      <c r="E1016" s="107"/>
      <c r="F1016" s="107"/>
      <c r="G1016" s="108"/>
      <c r="H1016" s="105" t="n">
        <f aca="false">'[2]$ лето'!j1016-'[2]$ лето'!au1016-'[2]$ лето'!at1016-'[2]$ лето'!as1016-'[2]$ лето'!ar1016-'[2]$ лето'!aq1016-'[2]$ лето'!ap1016-'[2]$ лето'!an1016-'[2]$ лето'!am1016-'[2]$ лето'!al1016-'[2]$ лето'!ak1016-'[2]$ лето'!aj1016-'[2]$ лето'!ah1016-'[2]$ лето'!ag1016-'[2]$ лето'!af1016-'[2]$ лето'!ae1016-'[2]$ лето'!ad1016-'[2]$ лето'!ab1016-'[2]$ лето'!aa1016-'[2]$ лето'!z1016-'[2]$ лето'!y1016-'[2]$ лето'!x1016-'[2]$ лето'!v1016-'[2]$ лето'!u1016-'[2]$ лето'!t1016-'[2]$ лето'!s1016-'[2]$ лето'!r1016-'[2]$ лето'!p1016-'[2]$ лето'!o1016-'[2]$ лето'!n1016-'[2]$ лето'!m1016-'[2]$ лето'!l1016+'[2]$ лето'!k1016+'[2]$ лето'!q1016+'[2]$ лето'!w1016+'[2]$ лето'!ac1016+'[2]$ лето'!ai1016+'[2]$ лето'!ao1016</f>
        <v>0</v>
      </c>
      <c r="I1016" s="109" t="n">
        <f aca="false">'[2]$ лето'!ay1016*1.1</f>
        <v>3757.6</v>
      </c>
    </row>
    <row r="1017" customFormat="false" ht="15" hidden="true" customHeight="false" outlineLevel="0" collapsed="false">
      <c r="A1017" s="115" t="s">
        <v>1594</v>
      </c>
      <c r="B1017" s="115" t="s">
        <v>707</v>
      </c>
      <c r="C1017" s="116" t="s">
        <v>1604</v>
      </c>
      <c r="D1017" s="116"/>
      <c r="E1017" s="116"/>
      <c r="F1017" s="116"/>
      <c r="G1017" s="108"/>
      <c r="H1017" s="105" t="n">
        <f aca="false">'[2]$ лето'!j1017-'[2]$ лето'!au1017-'[2]$ лето'!at1017-'[2]$ лето'!as1017-'[2]$ лето'!ar1017-'[2]$ лето'!aq1017-'[2]$ лето'!ap1017-'[2]$ лето'!an1017-'[2]$ лето'!am1017-'[2]$ лето'!al1017-'[2]$ лето'!ak1017-'[2]$ лето'!aj1017-'[2]$ лето'!ah1017-'[2]$ лето'!ag1017-'[2]$ лето'!af1017-'[2]$ лето'!ae1017-'[2]$ лето'!ad1017-'[2]$ лето'!ab1017-'[2]$ лето'!aa1017-'[2]$ лето'!z1017-'[2]$ лето'!y1017-'[2]$ лето'!x1017-'[2]$ лето'!v1017-'[2]$ лето'!u1017-'[2]$ лето'!t1017-'[2]$ лето'!s1017-'[2]$ лето'!r1017-'[2]$ лето'!p1017-'[2]$ лето'!o1017-'[2]$ лето'!n1017-'[2]$ лето'!m1017-'[2]$ лето'!l1017+'[2]$ лето'!k1017+'[2]$ лето'!q1017+'[2]$ лето'!w1017+'[2]$ лето'!ac1017+'[2]$ лето'!ai1017+'[2]$ лето'!ao1017</f>
        <v>0</v>
      </c>
      <c r="I1017" s="109" t="n">
        <f aca="false">'[2]$ лето'!ay1017*1.1</f>
        <v>4281.2</v>
      </c>
    </row>
    <row r="1018" customFormat="false" ht="15" hidden="true" customHeight="false" outlineLevel="0" collapsed="false">
      <c r="A1018" s="115" t="s">
        <v>1594</v>
      </c>
      <c r="B1018" s="115" t="s">
        <v>557</v>
      </c>
      <c r="C1018" s="116" t="s">
        <v>1605</v>
      </c>
      <c r="D1018" s="116"/>
      <c r="E1018" s="116"/>
      <c r="F1018" s="116"/>
      <c r="G1018" s="108"/>
      <c r="H1018" s="105" t="n">
        <f aca="false">'[2]$ лето'!j1018-'[2]$ лето'!au1018-'[2]$ лето'!at1018-'[2]$ лето'!as1018-'[2]$ лето'!ar1018-'[2]$ лето'!aq1018-'[2]$ лето'!ap1018-'[2]$ лето'!an1018-'[2]$ лето'!am1018-'[2]$ лето'!al1018-'[2]$ лето'!ak1018-'[2]$ лето'!aj1018-'[2]$ лето'!ah1018-'[2]$ лето'!ag1018-'[2]$ лето'!af1018-'[2]$ лето'!ae1018-'[2]$ лето'!ad1018-'[2]$ лето'!ab1018-'[2]$ лето'!aa1018-'[2]$ лето'!z1018-'[2]$ лето'!y1018-'[2]$ лето'!x1018-'[2]$ лето'!v1018-'[2]$ лето'!u1018-'[2]$ лето'!t1018-'[2]$ лето'!s1018-'[2]$ лето'!r1018-'[2]$ лето'!p1018-'[2]$ лето'!o1018-'[2]$ лето'!n1018-'[2]$ лето'!m1018-'[2]$ лето'!l1018+'[2]$ лето'!k1018+'[2]$ лето'!q1018+'[2]$ лето'!w1018+'[2]$ лето'!ac1018+'[2]$ лето'!ai1018+'[2]$ лето'!ao1018</f>
        <v>0</v>
      </c>
      <c r="I1018" s="109" t="n">
        <f aca="false">'[2]$ лето'!ay1018*1.1</f>
        <v>2002</v>
      </c>
    </row>
    <row r="1019" customFormat="false" ht="15" hidden="true" customHeight="false" outlineLevel="0" collapsed="false">
      <c r="A1019" s="115" t="s">
        <v>1594</v>
      </c>
      <c r="B1019" s="115" t="s">
        <v>604</v>
      </c>
      <c r="C1019" s="116" t="s">
        <v>1606</v>
      </c>
      <c r="D1019" s="116"/>
      <c r="E1019" s="116"/>
      <c r="F1019" s="116"/>
      <c r="G1019" s="108"/>
      <c r="H1019" s="105" t="n">
        <f aca="false">'[2]$ лето'!j1019-'[2]$ лето'!au1019-'[2]$ лето'!at1019-'[2]$ лето'!as1019-'[2]$ лето'!ar1019-'[2]$ лето'!aq1019-'[2]$ лето'!ap1019-'[2]$ лето'!an1019-'[2]$ лето'!am1019-'[2]$ лето'!al1019-'[2]$ лето'!ak1019-'[2]$ лето'!aj1019-'[2]$ лето'!ah1019-'[2]$ лето'!ag1019-'[2]$ лето'!af1019-'[2]$ лето'!ae1019-'[2]$ лето'!ad1019-'[2]$ лето'!ab1019-'[2]$ лето'!aa1019-'[2]$ лето'!z1019-'[2]$ лето'!y1019-'[2]$ лето'!x1019-'[2]$ лето'!v1019-'[2]$ лето'!u1019-'[2]$ лето'!t1019-'[2]$ лето'!s1019-'[2]$ лето'!r1019-'[2]$ лето'!p1019-'[2]$ лето'!o1019-'[2]$ лето'!n1019-'[2]$ лето'!m1019-'[2]$ лето'!l1019+'[2]$ лето'!k1019+'[2]$ лето'!q1019+'[2]$ лето'!w1019+'[2]$ лето'!ac1019+'[2]$ лето'!ai1019+'[2]$ лето'!ao1019</f>
        <v>0</v>
      </c>
      <c r="I1019" s="109" t="n">
        <f aca="false">'[2]$ лето'!ay1019*1.1</f>
        <v>2310</v>
      </c>
    </row>
    <row r="1020" customFormat="false" ht="15" hidden="true" customHeight="false" outlineLevel="0" collapsed="false">
      <c r="A1020" s="115" t="s">
        <v>1594</v>
      </c>
      <c r="B1020" s="115" t="s">
        <v>604</v>
      </c>
      <c r="C1020" s="116" t="s">
        <v>1607</v>
      </c>
      <c r="D1020" s="116"/>
      <c r="E1020" s="116"/>
      <c r="F1020" s="116"/>
      <c r="G1020" s="108"/>
      <c r="H1020" s="105" t="n">
        <f aca="false">'[2]$ лето'!j1020-'[2]$ лето'!au1020-'[2]$ лето'!at1020-'[2]$ лето'!as1020-'[2]$ лето'!ar1020-'[2]$ лето'!aq1020-'[2]$ лето'!ap1020-'[2]$ лето'!an1020-'[2]$ лето'!am1020-'[2]$ лето'!al1020-'[2]$ лето'!ak1020-'[2]$ лето'!aj1020-'[2]$ лето'!ah1020-'[2]$ лето'!ag1020-'[2]$ лето'!af1020-'[2]$ лето'!ae1020-'[2]$ лето'!ad1020-'[2]$ лето'!ab1020-'[2]$ лето'!aa1020-'[2]$ лето'!z1020-'[2]$ лето'!y1020-'[2]$ лето'!x1020-'[2]$ лето'!v1020-'[2]$ лето'!u1020-'[2]$ лето'!t1020-'[2]$ лето'!s1020-'[2]$ лето'!r1020-'[2]$ лето'!p1020-'[2]$ лето'!o1020-'[2]$ лето'!n1020-'[2]$ лето'!m1020-'[2]$ лето'!l1020+'[2]$ лето'!k1020+'[2]$ лето'!q1020+'[2]$ лето'!w1020+'[2]$ лето'!ac1020+'[2]$ лето'!ai1020+'[2]$ лето'!ao1020</f>
        <v>0</v>
      </c>
      <c r="I1020" s="109" t="n">
        <f aca="false">'[2]$ лето'!ay1020*1.1</f>
        <v>2802.8</v>
      </c>
    </row>
    <row r="1021" customFormat="false" ht="15" hidden="true" customHeight="false" outlineLevel="0" collapsed="false">
      <c r="A1021" s="115" t="s">
        <v>1594</v>
      </c>
      <c r="B1021" s="115" t="s">
        <v>744</v>
      </c>
      <c r="C1021" s="116" t="s">
        <v>1608</v>
      </c>
      <c r="D1021" s="116"/>
      <c r="E1021" s="116"/>
      <c r="F1021" s="116"/>
      <c r="G1021" s="108"/>
      <c r="H1021" s="105" t="n">
        <f aca="false">'[2]$ лето'!j1021-'[2]$ лето'!au1021-'[2]$ лето'!at1021-'[2]$ лето'!as1021-'[2]$ лето'!ar1021-'[2]$ лето'!aq1021-'[2]$ лето'!ap1021-'[2]$ лето'!an1021-'[2]$ лето'!am1021-'[2]$ лето'!al1021-'[2]$ лето'!ak1021-'[2]$ лето'!aj1021-'[2]$ лето'!ah1021-'[2]$ лето'!ag1021-'[2]$ лето'!af1021-'[2]$ лето'!ae1021-'[2]$ лето'!ad1021-'[2]$ лето'!ab1021-'[2]$ лето'!aa1021-'[2]$ лето'!z1021-'[2]$ лето'!y1021-'[2]$ лето'!x1021-'[2]$ лето'!v1021-'[2]$ лето'!u1021-'[2]$ лето'!t1021-'[2]$ лето'!s1021-'[2]$ лето'!r1021-'[2]$ лето'!p1021-'[2]$ лето'!o1021-'[2]$ лето'!n1021-'[2]$ лето'!m1021-'[2]$ лето'!l1021+'[2]$ лето'!k1021+'[2]$ лето'!q1021+'[2]$ лето'!w1021+'[2]$ лето'!ac1021+'[2]$ лето'!ai1021+'[2]$ лето'!ao1021</f>
        <v>0</v>
      </c>
      <c r="I1021" s="109" t="n">
        <f aca="false">'[2]$ лето'!ay1021*1.1</f>
        <v>2186.8</v>
      </c>
      <c r="J1021" s="85" t="n">
        <v>2017</v>
      </c>
    </row>
    <row r="1022" customFormat="false" ht="15" hidden="false" customHeight="false" outlineLevel="0" collapsed="false">
      <c r="A1022" s="115" t="s">
        <v>1594</v>
      </c>
      <c r="B1022" s="115" t="s">
        <v>948</v>
      </c>
      <c r="C1022" s="116" t="s">
        <v>1609</v>
      </c>
      <c r="D1022" s="116"/>
      <c r="E1022" s="116"/>
      <c r="F1022" s="116"/>
      <c r="G1022" s="108" t="s">
        <v>520</v>
      </c>
      <c r="H1022" s="105" t="n">
        <f aca="false">'[2]$ лето'!j1022-'[2]$ лето'!au1022-'[2]$ лето'!at1022-'[2]$ лето'!as1022-'[2]$ лето'!ar1022-'[2]$ лето'!aq1022-'[2]$ лето'!ap1022-'[2]$ лето'!an1022-'[2]$ лето'!am1022-'[2]$ лето'!al1022-'[2]$ лето'!ak1022-'[2]$ лето'!aj1022-'[2]$ лето'!ah1022-'[2]$ лето'!ag1022-'[2]$ лето'!af1022-'[2]$ лето'!ae1022-'[2]$ лето'!ad1022-'[2]$ лето'!ab1022-'[2]$ лето'!aa1022-'[2]$ лето'!z1022-'[2]$ лето'!y1022-'[2]$ лето'!x1022-'[2]$ лето'!v1022-'[2]$ лето'!u1022-'[2]$ лето'!t1022-'[2]$ лето'!s1022-'[2]$ лето'!r1022-'[2]$ лето'!p1022-'[2]$ лето'!o1022-'[2]$ лето'!n1022-'[2]$ лето'!m1022-'[2]$ лето'!l1022+'[2]$ лето'!k1022+'[2]$ лето'!q1022+'[2]$ лето'!w1022+'[2]$ лето'!ac1022+'[2]$ лето'!ai1022+'[2]$ лето'!ao1022</f>
        <v>4</v>
      </c>
      <c r="I1022" s="109" t="n">
        <f aca="false">'[2]$ лето'!ay1022*1.1</f>
        <v>1848</v>
      </c>
      <c r="J1022" s="85" t="n">
        <v>2010</v>
      </c>
    </row>
    <row r="1023" customFormat="false" ht="15" hidden="true" customHeight="false" outlineLevel="0" collapsed="false">
      <c r="A1023" s="115" t="s">
        <v>1594</v>
      </c>
      <c r="B1023" s="115" t="s">
        <v>606</v>
      </c>
      <c r="C1023" s="116" t="s">
        <v>1610</v>
      </c>
      <c r="D1023" s="116"/>
      <c r="E1023" s="116"/>
      <c r="F1023" s="116"/>
      <c r="G1023" s="108"/>
      <c r="H1023" s="105" t="n">
        <f aca="false">'[2]$ лето'!j1023-'[2]$ лето'!au1023-'[2]$ лето'!at1023-'[2]$ лето'!as1023-'[2]$ лето'!ar1023-'[2]$ лето'!aq1023-'[2]$ лето'!ap1023-'[2]$ лето'!an1023-'[2]$ лето'!am1023-'[2]$ лето'!al1023-'[2]$ лето'!ak1023-'[2]$ лето'!aj1023-'[2]$ лето'!ah1023-'[2]$ лето'!ag1023-'[2]$ лето'!af1023-'[2]$ лето'!ae1023-'[2]$ лето'!ad1023-'[2]$ лето'!ab1023-'[2]$ лето'!aa1023-'[2]$ лето'!z1023-'[2]$ лето'!y1023-'[2]$ лето'!x1023-'[2]$ лето'!v1023-'[2]$ лето'!u1023-'[2]$ лето'!t1023-'[2]$ лето'!s1023-'[2]$ лето'!r1023-'[2]$ лето'!p1023-'[2]$ лето'!o1023-'[2]$ лето'!n1023-'[2]$ лето'!m1023-'[2]$ лето'!l1023+'[2]$ лето'!k1023+'[2]$ лето'!q1023+'[2]$ лето'!w1023+'[2]$ лето'!ac1023+'[2]$ лето'!ai1023+'[2]$ лето'!ao1023</f>
        <v>0</v>
      </c>
      <c r="I1023" s="109" t="n">
        <f aca="false">'[2]$ лето'!ay1023*1.1</f>
        <v>2772</v>
      </c>
      <c r="J1023" s="85" t="n">
        <v>2017</v>
      </c>
    </row>
    <row r="1024" customFormat="false" ht="15" hidden="false" customHeight="false" outlineLevel="0" collapsed="false">
      <c r="A1024" s="115" t="s">
        <v>1594</v>
      </c>
      <c r="B1024" s="115" t="s">
        <v>668</v>
      </c>
      <c r="C1024" s="116" t="s">
        <v>1611</v>
      </c>
      <c r="D1024" s="116"/>
      <c r="E1024" s="116"/>
      <c r="F1024" s="116"/>
      <c r="G1024" s="108" t="s">
        <v>609</v>
      </c>
      <c r="H1024" s="105" t="n">
        <f aca="false">'[2]$ лето'!j1024-'[2]$ лето'!au1024-'[2]$ лето'!at1024-'[2]$ лето'!as1024-'[2]$ лето'!ar1024-'[2]$ лето'!aq1024-'[2]$ лето'!ap1024-'[2]$ лето'!an1024-'[2]$ лето'!am1024-'[2]$ лето'!al1024-'[2]$ лето'!ak1024-'[2]$ лето'!aj1024-'[2]$ лето'!ah1024-'[2]$ лето'!ag1024-'[2]$ лето'!af1024-'[2]$ лето'!ae1024-'[2]$ лето'!ad1024-'[2]$ лето'!ab1024-'[2]$ лето'!aa1024-'[2]$ лето'!z1024-'[2]$ лето'!y1024-'[2]$ лето'!x1024-'[2]$ лето'!v1024-'[2]$ лето'!u1024-'[2]$ лето'!t1024-'[2]$ лето'!s1024-'[2]$ лето'!r1024-'[2]$ лето'!p1024-'[2]$ лето'!o1024-'[2]$ лето'!n1024-'[2]$ лето'!m1024-'[2]$ лето'!l1024+'[2]$ лето'!k1024+'[2]$ лето'!q1024+'[2]$ лето'!w1024+'[2]$ лето'!ac1024+'[2]$ лето'!ai1024+'[2]$ лето'!ao1024</f>
        <v>4</v>
      </c>
      <c r="I1024" s="109" t="n">
        <f aca="false">'[2]$ лето'!ay1024*1.1</f>
        <v>2475</v>
      </c>
      <c r="J1024" s="85" t="n">
        <v>2017</v>
      </c>
    </row>
    <row r="1025" customFormat="false" ht="15" hidden="true" customHeight="false" outlineLevel="0" collapsed="false">
      <c r="A1025" s="115" t="s">
        <v>1594</v>
      </c>
      <c r="B1025" s="115" t="s">
        <v>574</v>
      </c>
      <c r="C1025" s="116" t="s">
        <v>1612</v>
      </c>
      <c r="D1025" s="116"/>
      <c r="E1025" s="116"/>
      <c r="F1025" s="116"/>
      <c r="G1025" s="108" t="s">
        <v>576</v>
      </c>
      <c r="H1025" s="105" t="n">
        <f aca="false">'[2]$ лето'!j1025-'[2]$ лето'!au1025-'[2]$ лето'!at1025-'[2]$ лето'!as1025-'[2]$ лето'!ar1025-'[2]$ лето'!aq1025-'[2]$ лето'!ap1025-'[2]$ лето'!an1025-'[2]$ лето'!am1025-'[2]$ лето'!al1025-'[2]$ лето'!ak1025-'[2]$ лето'!aj1025-'[2]$ лето'!ah1025-'[2]$ лето'!ag1025-'[2]$ лето'!af1025-'[2]$ лето'!ae1025-'[2]$ лето'!ad1025-'[2]$ лето'!ab1025-'[2]$ лето'!aa1025-'[2]$ лето'!z1025-'[2]$ лето'!y1025-'[2]$ лето'!x1025-'[2]$ лето'!v1025-'[2]$ лето'!u1025-'[2]$ лето'!t1025-'[2]$ лето'!s1025-'[2]$ лето'!r1025-'[2]$ лето'!p1025-'[2]$ лето'!o1025-'[2]$ лето'!n1025-'[2]$ лето'!m1025-'[2]$ лето'!l1025+'[2]$ лето'!k1025+'[2]$ лето'!q1025+'[2]$ лето'!w1025+'[2]$ лето'!ac1025+'[2]$ лето'!ai1025+'[2]$ лето'!ao1025</f>
        <v>0</v>
      </c>
      <c r="I1025" s="109" t="n">
        <f aca="false">'[2]$ лето'!ay1025*1.1</f>
        <v>2217.6</v>
      </c>
      <c r="J1025" s="85" t="n">
        <v>2018</v>
      </c>
    </row>
    <row r="1026" customFormat="false" ht="15" hidden="true" customHeight="false" outlineLevel="0" collapsed="false">
      <c r="A1026" s="115" t="s">
        <v>1594</v>
      </c>
      <c r="B1026" s="115" t="s">
        <v>883</v>
      </c>
      <c r="C1026" s="116" t="s">
        <v>1546</v>
      </c>
      <c r="D1026" s="116"/>
      <c r="E1026" s="116"/>
      <c r="F1026" s="116"/>
      <c r="G1026" s="108"/>
      <c r="H1026" s="105" t="n">
        <f aca="false">'[2]$ лето'!j1026-'[2]$ лето'!au1026-'[2]$ лето'!at1026-'[2]$ лето'!as1026-'[2]$ лето'!ar1026-'[2]$ лето'!aq1026-'[2]$ лето'!ap1026-'[2]$ лето'!an1026-'[2]$ лето'!am1026-'[2]$ лето'!al1026-'[2]$ лето'!ak1026-'[2]$ лето'!aj1026-'[2]$ лето'!ah1026-'[2]$ лето'!ag1026-'[2]$ лето'!af1026-'[2]$ лето'!ae1026-'[2]$ лето'!ad1026-'[2]$ лето'!ab1026-'[2]$ лето'!aa1026-'[2]$ лето'!z1026-'[2]$ лето'!y1026-'[2]$ лето'!x1026-'[2]$ лето'!v1026-'[2]$ лето'!u1026-'[2]$ лето'!t1026-'[2]$ лето'!s1026-'[2]$ лето'!r1026-'[2]$ лето'!p1026-'[2]$ лето'!o1026-'[2]$ лето'!n1026-'[2]$ лето'!m1026-'[2]$ лето'!l1026+'[2]$ лето'!k1026+'[2]$ лето'!q1026+'[2]$ лето'!w1026+'[2]$ лето'!ac1026+'[2]$ лето'!ai1026+'[2]$ лето'!ao1026</f>
        <v>0</v>
      </c>
      <c r="I1026" s="109" t="n">
        <f aca="false">'[2]$ лето'!ay1026*1.1</f>
        <v>1232</v>
      </c>
    </row>
    <row r="1027" customFormat="false" ht="15" hidden="false" customHeight="false" outlineLevel="0" collapsed="false">
      <c r="A1027" s="115" t="s">
        <v>1594</v>
      </c>
      <c r="B1027" s="115" t="s">
        <v>583</v>
      </c>
      <c r="C1027" s="116" t="s">
        <v>1613</v>
      </c>
      <c r="D1027" s="116"/>
      <c r="E1027" s="116"/>
      <c r="F1027" s="116"/>
      <c r="G1027" s="108" t="s">
        <v>585</v>
      </c>
      <c r="H1027" s="105" t="n">
        <f aca="false">'[2]$ лето'!j1027-'[2]$ лето'!au1027-'[2]$ лето'!at1027-'[2]$ лето'!as1027-'[2]$ лето'!ar1027-'[2]$ лето'!aq1027-'[2]$ лето'!ap1027-'[2]$ лето'!an1027-'[2]$ лето'!am1027-'[2]$ лето'!al1027-'[2]$ лето'!ak1027-'[2]$ лето'!aj1027-'[2]$ лето'!ah1027-'[2]$ лето'!ag1027-'[2]$ лето'!af1027-'[2]$ лето'!ae1027-'[2]$ лето'!ad1027-'[2]$ лето'!ab1027-'[2]$ лето'!aa1027-'[2]$ лето'!z1027-'[2]$ лето'!y1027-'[2]$ лето'!x1027-'[2]$ лето'!v1027-'[2]$ лето'!u1027-'[2]$ лето'!t1027-'[2]$ лето'!s1027-'[2]$ лето'!r1027-'[2]$ лето'!p1027-'[2]$ лето'!o1027-'[2]$ лето'!n1027-'[2]$ лето'!m1027-'[2]$ лето'!l1027+'[2]$ лето'!k1027+'[2]$ лето'!q1027+'[2]$ лето'!w1027+'[2]$ лето'!ac1027+'[2]$ лето'!ai1027+'[2]$ лето'!ao1027</f>
        <v>4</v>
      </c>
      <c r="I1027" s="109" t="n">
        <f aca="false">'[2]$ лето'!ay1027*1.1</f>
        <v>1848</v>
      </c>
      <c r="J1027" s="85" t="n">
        <v>2018</v>
      </c>
    </row>
    <row r="1028" customFormat="false" ht="15" hidden="false" customHeight="false" outlineLevel="0" collapsed="false">
      <c r="A1028" s="115" t="s">
        <v>1594</v>
      </c>
      <c r="B1028" s="115" t="s">
        <v>593</v>
      </c>
      <c r="C1028" s="116" t="s">
        <v>1614</v>
      </c>
      <c r="D1028" s="116"/>
      <c r="E1028" s="116"/>
      <c r="F1028" s="116"/>
      <c r="G1028" s="108" t="s">
        <v>935</v>
      </c>
      <c r="H1028" s="105" t="n">
        <f aca="false">'[2]$ лето'!j1028-'[2]$ лето'!au1028-'[2]$ лето'!at1028-'[2]$ лето'!as1028-'[2]$ лето'!ar1028-'[2]$ лето'!aq1028-'[2]$ лето'!ap1028-'[2]$ лето'!an1028-'[2]$ лето'!am1028-'[2]$ лето'!al1028-'[2]$ лето'!ak1028-'[2]$ лето'!aj1028-'[2]$ лето'!ah1028-'[2]$ лето'!ag1028-'[2]$ лето'!af1028-'[2]$ лето'!ae1028-'[2]$ лето'!ad1028-'[2]$ лето'!ab1028-'[2]$ лето'!aa1028-'[2]$ лето'!z1028-'[2]$ лето'!y1028-'[2]$ лето'!x1028-'[2]$ лето'!v1028-'[2]$ лето'!u1028-'[2]$ лето'!t1028-'[2]$ лето'!s1028-'[2]$ лето'!r1028-'[2]$ лето'!p1028-'[2]$ лето'!o1028-'[2]$ лето'!n1028-'[2]$ лето'!m1028-'[2]$ лето'!l1028+'[2]$ лето'!k1028+'[2]$ лето'!q1028+'[2]$ лето'!w1028+'[2]$ лето'!ac1028+'[2]$ лето'!ai1028+'[2]$ лето'!ao1028</f>
        <v>4</v>
      </c>
      <c r="I1028" s="109" t="n">
        <f aca="false">'[2]$ лето'!ay1028*1.1</f>
        <v>4158</v>
      </c>
      <c r="J1028" s="85" t="n">
        <v>2018</v>
      </c>
    </row>
    <row r="1029" customFormat="false" ht="15" hidden="false" customHeight="false" outlineLevel="0" collapsed="false">
      <c r="A1029" s="115" t="s">
        <v>1594</v>
      </c>
      <c r="B1029" s="115" t="s">
        <v>593</v>
      </c>
      <c r="C1029" s="116" t="s">
        <v>1615</v>
      </c>
      <c r="D1029" s="116"/>
      <c r="E1029" s="116"/>
      <c r="F1029" s="116"/>
      <c r="G1029" s="108" t="s">
        <v>935</v>
      </c>
      <c r="H1029" s="105" t="n">
        <f aca="false">'[2]$ лето'!j1029-'[2]$ лето'!au1029-'[2]$ лето'!at1029-'[2]$ лето'!as1029-'[2]$ лето'!ar1029-'[2]$ лето'!aq1029-'[2]$ лето'!ap1029-'[2]$ лето'!an1029-'[2]$ лето'!am1029-'[2]$ лето'!al1029-'[2]$ лето'!ak1029-'[2]$ лето'!aj1029-'[2]$ лето'!ah1029-'[2]$ лето'!ag1029-'[2]$ лето'!af1029-'[2]$ лето'!ae1029-'[2]$ лето'!ad1029-'[2]$ лето'!ab1029-'[2]$ лето'!aa1029-'[2]$ лето'!z1029-'[2]$ лето'!y1029-'[2]$ лето'!x1029-'[2]$ лето'!v1029-'[2]$ лето'!u1029-'[2]$ лето'!t1029-'[2]$ лето'!s1029-'[2]$ лето'!r1029-'[2]$ лето'!p1029-'[2]$ лето'!o1029-'[2]$ лето'!n1029-'[2]$ лето'!m1029-'[2]$ лето'!l1029+'[2]$ лето'!k1029+'[2]$ лето'!q1029+'[2]$ лето'!w1029+'[2]$ лето'!ac1029+'[2]$ лето'!ai1029+'[2]$ лето'!ao1029</f>
        <v>2</v>
      </c>
      <c r="I1029" s="109" t="n">
        <f aca="false">'[2]$ лето'!ay1029*1.1</f>
        <v>3696</v>
      </c>
      <c r="J1029" s="85" t="n">
        <v>2017</v>
      </c>
    </row>
    <row r="1030" customFormat="false" ht="15" hidden="false" customHeight="false" outlineLevel="0" collapsed="false">
      <c r="A1030" s="115" t="s">
        <v>1594</v>
      </c>
      <c r="B1030" s="115" t="s">
        <v>593</v>
      </c>
      <c r="C1030" s="116" t="s">
        <v>1616</v>
      </c>
      <c r="D1030" s="116"/>
      <c r="E1030" s="116"/>
      <c r="F1030" s="116"/>
      <c r="G1030" s="108" t="s">
        <v>843</v>
      </c>
      <c r="H1030" s="105" t="n">
        <f aca="false">'[2]$ лето'!j1030-'[2]$ лето'!au1030-'[2]$ лето'!at1030-'[2]$ лето'!as1030-'[2]$ лето'!ar1030-'[2]$ лето'!aq1030-'[2]$ лето'!ap1030-'[2]$ лето'!an1030-'[2]$ лето'!am1030-'[2]$ лето'!al1030-'[2]$ лето'!ak1030-'[2]$ лето'!aj1030-'[2]$ лето'!ah1030-'[2]$ лето'!ag1030-'[2]$ лето'!af1030-'[2]$ лето'!ae1030-'[2]$ лето'!ad1030-'[2]$ лето'!ab1030-'[2]$ лето'!aa1030-'[2]$ лето'!z1030-'[2]$ лето'!y1030-'[2]$ лето'!x1030-'[2]$ лето'!v1030-'[2]$ лето'!u1030-'[2]$ лето'!t1030-'[2]$ лето'!s1030-'[2]$ лето'!r1030-'[2]$ лето'!p1030-'[2]$ лето'!o1030-'[2]$ лето'!n1030-'[2]$ лето'!m1030-'[2]$ лето'!l1030+'[2]$ лето'!k1030+'[2]$ лето'!q1030+'[2]$ лето'!w1030+'[2]$ лето'!ac1030+'[2]$ лето'!ai1030+'[2]$ лето'!ao1030</f>
        <v>4</v>
      </c>
      <c r="I1030" s="109" t="n">
        <f aca="false">'[2]$ лето'!ay1030*1.1</f>
        <v>3850</v>
      </c>
      <c r="J1030" s="85" t="n">
        <v>2017</v>
      </c>
    </row>
    <row r="1031" customFormat="false" ht="15" hidden="true" customHeight="false" outlineLevel="0" collapsed="false">
      <c r="A1031" s="115" t="s">
        <v>1594</v>
      </c>
      <c r="B1031" s="115" t="s">
        <v>593</v>
      </c>
      <c r="C1031" s="116" t="s">
        <v>1617</v>
      </c>
      <c r="D1031" s="116"/>
      <c r="E1031" s="116"/>
      <c r="F1031" s="116"/>
      <c r="G1031" s="108" t="s">
        <v>843</v>
      </c>
      <c r="H1031" s="105" t="n">
        <f aca="false">'[2]$ лето'!j1031-'[2]$ лето'!au1031-'[2]$ лето'!at1031-'[2]$ лето'!as1031-'[2]$ лето'!ar1031-'[2]$ лето'!aq1031-'[2]$ лето'!ap1031-'[2]$ лето'!an1031-'[2]$ лето'!am1031-'[2]$ лето'!al1031-'[2]$ лето'!ak1031-'[2]$ лето'!aj1031-'[2]$ лето'!ah1031-'[2]$ лето'!ag1031-'[2]$ лето'!af1031-'[2]$ лето'!ae1031-'[2]$ лето'!ad1031-'[2]$ лето'!ab1031-'[2]$ лето'!aa1031-'[2]$ лето'!z1031-'[2]$ лето'!y1031-'[2]$ лето'!x1031-'[2]$ лето'!v1031-'[2]$ лето'!u1031-'[2]$ лето'!t1031-'[2]$ лето'!s1031-'[2]$ лето'!r1031-'[2]$ лето'!p1031-'[2]$ лето'!o1031-'[2]$ лето'!n1031-'[2]$ лето'!m1031-'[2]$ лето'!l1031+'[2]$ лето'!k1031+'[2]$ лето'!q1031+'[2]$ лето'!w1031+'[2]$ лето'!ac1031+'[2]$ лето'!ai1031+'[2]$ лето'!ao1031</f>
        <v>0</v>
      </c>
      <c r="I1031" s="109" t="n">
        <f aca="false">'[2]$ лето'!ay1031*1.1</f>
        <v>4466</v>
      </c>
      <c r="J1031" s="85" t="n">
        <v>2017</v>
      </c>
    </row>
    <row r="1032" customFormat="false" ht="15" hidden="true" customHeight="false" outlineLevel="0" collapsed="false">
      <c r="A1032" s="115" t="s">
        <v>1594</v>
      </c>
      <c r="B1032" s="115" t="s">
        <v>593</v>
      </c>
      <c r="C1032" s="116" t="s">
        <v>1618</v>
      </c>
      <c r="D1032" s="116"/>
      <c r="E1032" s="116"/>
      <c r="F1032" s="116"/>
      <c r="G1032" s="108" t="s">
        <v>843</v>
      </c>
      <c r="H1032" s="105" t="n">
        <f aca="false">'[2]$ лето'!j1032-'[2]$ лето'!au1032-'[2]$ лето'!at1032-'[2]$ лето'!as1032-'[2]$ лето'!ar1032-'[2]$ лето'!aq1032-'[2]$ лето'!ap1032-'[2]$ лето'!an1032-'[2]$ лето'!am1032-'[2]$ лето'!al1032-'[2]$ лето'!ak1032-'[2]$ лето'!aj1032-'[2]$ лето'!ah1032-'[2]$ лето'!ag1032-'[2]$ лето'!af1032-'[2]$ лето'!ae1032-'[2]$ лето'!ad1032-'[2]$ лето'!ab1032-'[2]$ лето'!aa1032-'[2]$ лето'!z1032-'[2]$ лето'!y1032-'[2]$ лето'!x1032-'[2]$ лето'!v1032-'[2]$ лето'!u1032-'[2]$ лето'!t1032-'[2]$ лето'!s1032-'[2]$ лето'!r1032-'[2]$ лето'!p1032-'[2]$ лето'!o1032-'[2]$ лето'!n1032-'[2]$ лето'!m1032-'[2]$ лето'!l1032+'[2]$ лето'!k1032+'[2]$ лето'!q1032+'[2]$ лето'!w1032+'[2]$ лето'!ac1032+'[2]$ лето'!ai1032+'[2]$ лето'!ao1032</f>
        <v>0</v>
      </c>
      <c r="I1032" s="109" t="n">
        <f aca="false">'[2]$ лето'!ay1032*1.1</f>
        <v>4004</v>
      </c>
      <c r="J1032" s="85" t="n">
        <v>2018</v>
      </c>
    </row>
    <row r="1033" customFormat="false" ht="15" hidden="true" customHeight="false" outlineLevel="0" collapsed="false">
      <c r="A1033" s="115" t="s">
        <v>1594</v>
      </c>
      <c r="B1033" s="115" t="s">
        <v>586</v>
      </c>
      <c r="C1033" s="116" t="s">
        <v>1619</v>
      </c>
      <c r="D1033" s="116"/>
      <c r="E1033" s="116"/>
      <c r="F1033" s="116"/>
      <c r="G1033" s="108" t="s">
        <v>520</v>
      </c>
      <c r="H1033" s="105" t="n">
        <f aca="false">'[2]$ лето'!j1033-'[2]$ лето'!au1033-'[2]$ лето'!at1033-'[2]$ лето'!as1033-'[2]$ лето'!ar1033-'[2]$ лето'!aq1033-'[2]$ лето'!ap1033-'[2]$ лето'!an1033-'[2]$ лето'!am1033-'[2]$ лето'!al1033-'[2]$ лето'!ak1033-'[2]$ лето'!aj1033-'[2]$ лето'!ah1033-'[2]$ лето'!ag1033-'[2]$ лето'!af1033-'[2]$ лето'!ae1033-'[2]$ лето'!ad1033-'[2]$ лето'!ab1033-'[2]$ лето'!aa1033-'[2]$ лето'!z1033-'[2]$ лето'!y1033-'[2]$ лето'!x1033-'[2]$ лето'!v1033-'[2]$ лето'!u1033-'[2]$ лето'!t1033-'[2]$ лето'!s1033-'[2]$ лето'!r1033-'[2]$ лето'!p1033-'[2]$ лето'!o1033-'[2]$ лето'!n1033-'[2]$ лето'!m1033-'[2]$ лето'!l1033+'[2]$ лето'!k1033+'[2]$ лето'!q1033+'[2]$ лето'!w1033+'[2]$ лето'!ac1033+'[2]$ лето'!ai1033+'[2]$ лето'!ao1033</f>
        <v>0</v>
      </c>
      <c r="I1033" s="109" t="n">
        <f aca="false">'[2]$ лето'!ay1033*1.1</f>
        <v>1386</v>
      </c>
    </row>
    <row r="1034" customFormat="false" ht="15" hidden="true" customHeight="false" outlineLevel="0" collapsed="false">
      <c r="A1034" s="115" t="s">
        <v>1594</v>
      </c>
      <c r="B1034" s="115" t="s">
        <v>615</v>
      </c>
      <c r="C1034" s="116" t="s">
        <v>1620</v>
      </c>
      <c r="D1034" s="116"/>
      <c r="E1034" s="116"/>
      <c r="F1034" s="116"/>
      <c r="G1034" s="108"/>
      <c r="H1034" s="105" t="n">
        <f aca="false">'[2]$ лето'!j1034-'[2]$ лето'!au1034-'[2]$ лето'!at1034-'[2]$ лето'!as1034-'[2]$ лето'!ar1034-'[2]$ лето'!aq1034-'[2]$ лето'!ap1034-'[2]$ лето'!an1034-'[2]$ лето'!am1034-'[2]$ лето'!al1034-'[2]$ лето'!ak1034-'[2]$ лето'!aj1034-'[2]$ лето'!ah1034-'[2]$ лето'!ag1034-'[2]$ лето'!af1034-'[2]$ лето'!ae1034-'[2]$ лето'!ad1034-'[2]$ лето'!ab1034-'[2]$ лето'!aa1034-'[2]$ лето'!z1034-'[2]$ лето'!y1034-'[2]$ лето'!x1034-'[2]$ лето'!v1034-'[2]$ лето'!u1034-'[2]$ лето'!t1034-'[2]$ лето'!s1034-'[2]$ лето'!r1034-'[2]$ лето'!p1034-'[2]$ лето'!o1034-'[2]$ лето'!n1034-'[2]$ лето'!m1034-'[2]$ лето'!l1034+'[2]$ лето'!k1034+'[2]$ лето'!q1034+'[2]$ лето'!w1034+'[2]$ лето'!ac1034+'[2]$ лето'!ai1034+'[2]$ лето'!ao1034</f>
        <v>0</v>
      </c>
      <c r="I1034" s="109" t="n">
        <f aca="false">'[2]$ лето'!ay1034*1.1</f>
        <v>1786.4</v>
      </c>
    </row>
    <row r="1035" customFormat="false" ht="15" hidden="false" customHeight="false" outlineLevel="0" collapsed="false">
      <c r="A1035" s="115" t="s">
        <v>1594</v>
      </c>
      <c r="B1035" s="115" t="s">
        <v>617</v>
      </c>
      <c r="C1035" s="107" t="s">
        <v>1621</v>
      </c>
      <c r="D1035" s="107"/>
      <c r="E1035" s="116" t="n">
        <v>98</v>
      </c>
      <c r="F1035" s="116" t="s">
        <v>970</v>
      </c>
      <c r="G1035" s="108"/>
      <c r="H1035" s="105" t="n">
        <f aca="false">'[2]$ лето'!j1035-'[2]$ лето'!au1035-'[2]$ лето'!at1035-'[2]$ лето'!as1035-'[2]$ лето'!ar1035-'[2]$ лето'!aq1035-'[2]$ лето'!ap1035-'[2]$ лето'!an1035-'[2]$ лето'!am1035-'[2]$ лето'!al1035-'[2]$ лето'!ak1035-'[2]$ лето'!aj1035-'[2]$ лето'!ah1035-'[2]$ лето'!ag1035-'[2]$ лето'!af1035-'[2]$ лето'!ae1035-'[2]$ лето'!ad1035-'[2]$ лето'!ab1035-'[2]$ лето'!aa1035-'[2]$ лето'!z1035-'[2]$ лето'!y1035-'[2]$ лето'!x1035-'[2]$ лето'!v1035-'[2]$ лето'!u1035-'[2]$ лето'!t1035-'[2]$ лето'!s1035-'[2]$ лето'!r1035-'[2]$ лето'!p1035-'[2]$ лето'!o1035-'[2]$ лето'!n1035-'[2]$ лето'!m1035-'[2]$ лето'!l1035+'[2]$ лето'!k1035+'[2]$ лето'!q1035+'[2]$ лето'!w1035+'[2]$ лето'!ac1035+'[2]$ лето'!ai1035+'[2]$ лето'!ao1035</f>
        <v>10</v>
      </c>
      <c r="I1035" s="109" t="n">
        <f aca="false">'[2]$ лето'!ay1035*1.1</f>
        <v>1663.2</v>
      </c>
      <c r="J1035" s="85" t="n">
        <v>2018</v>
      </c>
    </row>
    <row r="1036" customFormat="false" ht="15" hidden="true" customHeight="false" outlineLevel="0" collapsed="false">
      <c r="A1036" s="115" t="s">
        <v>1594</v>
      </c>
      <c r="B1036" s="115" t="s">
        <v>617</v>
      </c>
      <c r="C1036" s="116" t="s">
        <v>1554</v>
      </c>
      <c r="D1036" s="116"/>
      <c r="E1036" s="116"/>
      <c r="F1036" s="116"/>
      <c r="G1036" s="108"/>
      <c r="H1036" s="105" t="n">
        <f aca="false">'[2]$ лето'!j1036-'[2]$ лето'!au1036-'[2]$ лето'!at1036-'[2]$ лето'!as1036-'[2]$ лето'!ar1036-'[2]$ лето'!aq1036-'[2]$ лето'!ap1036-'[2]$ лето'!an1036-'[2]$ лето'!am1036-'[2]$ лето'!al1036-'[2]$ лето'!ak1036-'[2]$ лето'!aj1036-'[2]$ лето'!ah1036-'[2]$ лето'!ag1036-'[2]$ лето'!af1036-'[2]$ лето'!ae1036-'[2]$ лето'!ad1036-'[2]$ лето'!ab1036-'[2]$ лето'!aa1036-'[2]$ лето'!z1036-'[2]$ лето'!y1036-'[2]$ лето'!x1036-'[2]$ лето'!v1036-'[2]$ лето'!u1036-'[2]$ лето'!t1036-'[2]$ лето'!s1036-'[2]$ лето'!r1036-'[2]$ лето'!p1036-'[2]$ лето'!o1036-'[2]$ лето'!n1036-'[2]$ лето'!m1036-'[2]$ лето'!l1036+'[2]$ лето'!k1036+'[2]$ лето'!q1036+'[2]$ лето'!w1036+'[2]$ лето'!ac1036+'[2]$ лето'!ai1036+'[2]$ лето'!ao1036</f>
        <v>0</v>
      </c>
      <c r="I1036" s="109" t="n">
        <f aca="false">'[2]$ лето'!ay1036*1.1</f>
        <v>1570.8</v>
      </c>
    </row>
    <row r="1037" customFormat="false" ht="15" hidden="false" customHeight="false" outlineLevel="0" collapsed="false">
      <c r="A1037" s="115" t="s">
        <v>1594</v>
      </c>
      <c r="B1037" s="115" t="s">
        <v>1371</v>
      </c>
      <c r="C1037" s="116" t="s">
        <v>1622</v>
      </c>
      <c r="D1037" s="116"/>
      <c r="E1037" s="116"/>
      <c r="F1037" s="116"/>
      <c r="G1037" s="108"/>
      <c r="H1037" s="105" t="n">
        <f aca="false">'[2]$ лето'!j1037-'[2]$ лето'!au1037-'[2]$ лето'!at1037-'[2]$ лето'!as1037-'[2]$ лето'!ar1037-'[2]$ лето'!aq1037-'[2]$ лето'!ap1037-'[2]$ лето'!an1037-'[2]$ лето'!am1037-'[2]$ лето'!al1037-'[2]$ лето'!ak1037-'[2]$ лето'!aj1037-'[2]$ лето'!ah1037-'[2]$ лето'!ag1037-'[2]$ лето'!af1037-'[2]$ лето'!ae1037-'[2]$ лето'!ad1037-'[2]$ лето'!ab1037-'[2]$ лето'!aa1037-'[2]$ лето'!z1037-'[2]$ лето'!y1037-'[2]$ лето'!x1037-'[2]$ лето'!v1037-'[2]$ лето'!u1037-'[2]$ лето'!t1037-'[2]$ лето'!s1037-'[2]$ лето'!r1037-'[2]$ лето'!p1037-'[2]$ лето'!o1037-'[2]$ лето'!n1037-'[2]$ лето'!m1037-'[2]$ лето'!l1037+'[2]$ лето'!k1037+'[2]$ лето'!q1037+'[2]$ лето'!w1037+'[2]$ лето'!ac1037+'[2]$ лето'!ai1037+'[2]$ лето'!ao1037</f>
        <v>3</v>
      </c>
      <c r="I1037" s="109" t="n">
        <f aca="false">'[2]$ лето'!ay1037*1.1</f>
        <v>1430</v>
      </c>
    </row>
    <row r="1038" customFormat="false" ht="15" hidden="false" customHeight="false" outlineLevel="0" collapsed="false">
      <c r="A1038" s="115" t="s">
        <v>1594</v>
      </c>
      <c r="B1038" s="115" t="s">
        <v>621</v>
      </c>
      <c r="C1038" s="107" t="s">
        <v>1557</v>
      </c>
      <c r="D1038" s="107"/>
      <c r="E1038" s="116"/>
      <c r="F1038" s="116"/>
      <c r="G1038" s="108" t="s">
        <v>520</v>
      </c>
      <c r="H1038" s="105" t="n">
        <f aca="false">'[2]$ лето'!j1038-'[2]$ лето'!au1038-'[2]$ лето'!at1038-'[2]$ лето'!as1038-'[2]$ лето'!ar1038-'[2]$ лето'!aq1038-'[2]$ лето'!ap1038-'[2]$ лето'!an1038-'[2]$ лето'!am1038-'[2]$ лето'!al1038-'[2]$ лето'!ak1038-'[2]$ лето'!aj1038-'[2]$ лето'!ah1038-'[2]$ лето'!ag1038-'[2]$ лето'!af1038-'[2]$ лето'!ae1038-'[2]$ лето'!ad1038-'[2]$ лето'!ab1038-'[2]$ лето'!aa1038-'[2]$ лето'!z1038-'[2]$ лето'!y1038-'[2]$ лето'!x1038-'[2]$ лето'!v1038-'[2]$ лето'!u1038-'[2]$ лето'!t1038-'[2]$ лето'!s1038-'[2]$ лето'!r1038-'[2]$ лето'!p1038-'[2]$ лето'!o1038-'[2]$ лето'!n1038-'[2]$ лето'!m1038-'[2]$ лето'!l1038+'[2]$ лето'!k1038+'[2]$ лето'!q1038+'[2]$ лето'!w1038+'[2]$ лето'!ac1038+'[2]$ лето'!ai1038+'[2]$ лето'!ao1038</f>
        <v>6</v>
      </c>
      <c r="I1038" s="109" t="n">
        <f aca="false">'[2]$ лето'!ay1038*1.1</f>
        <v>1509.2</v>
      </c>
    </row>
    <row r="1039" customFormat="false" ht="15" hidden="false" customHeight="false" outlineLevel="0" collapsed="false">
      <c r="A1039" s="115" t="s">
        <v>1594</v>
      </c>
      <c r="B1039" s="115" t="s">
        <v>623</v>
      </c>
      <c r="C1039" s="107" t="s">
        <v>1623</v>
      </c>
      <c r="D1039" s="107"/>
      <c r="E1039" s="116"/>
      <c r="F1039" s="116"/>
      <c r="G1039" s="108"/>
      <c r="H1039" s="105" t="n">
        <f aca="false">'[2]$ лето'!j1039-'[2]$ лето'!au1039-'[2]$ лето'!at1039-'[2]$ лето'!as1039-'[2]$ лето'!ar1039-'[2]$ лето'!aq1039-'[2]$ лето'!ap1039-'[2]$ лето'!an1039-'[2]$ лето'!am1039-'[2]$ лето'!al1039-'[2]$ лето'!ak1039-'[2]$ лето'!aj1039-'[2]$ лето'!ah1039-'[2]$ лето'!ag1039-'[2]$ лето'!af1039-'[2]$ лето'!ae1039-'[2]$ лето'!ad1039-'[2]$ лето'!ab1039-'[2]$ лето'!aa1039-'[2]$ лето'!z1039-'[2]$ лето'!y1039-'[2]$ лето'!x1039-'[2]$ лето'!v1039-'[2]$ лето'!u1039-'[2]$ лето'!t1039-'[2]$ лето'!s1039-'[2]$ лето'!r1039-'[2]$ лето'!p1039-'[2]$ лето'!o1039-'[2]$ лето'!n1039-'[2]$ лето'!m1039-'[2]$ лето'!l1039+'[2]$ лето'!k1039+'[2]$ лето'!q1039+'[2]$ лето'!w1039+'[2]$ лето'!ac1039+'[2]$ лето'!ai1039+'[2]$ лето'!ao1039</f>
        <v>12</v>
      </c>
      <c r="I1039" s="109" t="n">
        <f aca="false">'[2]$ лето'!ay1039*1.1</f>
        <v>1632.4</v>
      </c>
      <c r="J1039" s="85" t="n">
        <v>2018</v>
      </c>
    </row>
    <row r="1040" customFormat="false" ht="15" hidden="true" customHeight="false" outlineLevel="0" collapsed="false">
      <c r="A1040" s="115" t="s">
        <v>1594</v>
      </c>
      <c r="B1040" s="115" t="s">
        <v>589</v>
      </c>
      <c r="C1040" s="116" t="s">
        <v>1624</v>
      </c>
      <c r="D1040" s="116"/>
      <c r="E1040" s="116"/>
      <c r="F1040" s="116"/>
      <c r="G1040" s="108"/>
      <c r="H1040" s="105" t="n">
        <f aca="false">'[2]$ лето'!j1040-'[2]$ лето'!au1040-'[2]$ лето'!at1040-'[2]$ лето'!as1040-'[2]$ лето'!ar1040-'[2]$ лето'!aq1040-'[2]$ лето'!ap1040-'[2]$ лето'!an1040-'[2]$ лето'!am1040-'[2]$ лето'!al1040-'[2]$ лето'!ak1040-'[2]$ лето'!aj1040-'[2]$ лето'!ah1040-'[2]$ лето'!ag1040-'[2]$ лето'!af1040-'[2]$ лето'!ae1040-'[2]$ лето'!ad1040-'[2]$ лето'!ab1040-'[2]$ лето'!aa1040-'[2]$ лето'!z1040-'[2]$ лето'!y1040-'[2]$ лето'!x1040-'[2]$ лето'!v1040-'[2]$ лето'!u1040-'[2]$ лето'!t1040-'[2]$ лето'!s1040-'[2]$ лето'!r1040-'[2]$ лето'!p1040-'[2]$ лето'!o1040-'[2]$ лето'!n1040-'[2]$ лето'!m1040-'[2]$ лето'!l1040+'[2]$ лето'!k1040+'[2]$ лето'!q1040+'[2]$ лето'!w1040+'[2]$ лето'!ac1040+'[2]$ лето'!ai1040+'[2]$ лето'!ao1040</f>
        <v>0</v>
      </c>
      <c r="I1040" s="109" t="n">
        <f aca="false">'[2]$ лето'!ay1040*1.1</f>
        <v>2864.4</v>
      </c>
    </row>
    <row r="1041" customFormat="false" ht="15" hidden="true" customHeight="false" outlineLevel="0" collapsed="false">
      <c r="A1041" s="115" t="s">
        <v>1594</v>
      </c>
      <c r="B1041" s="115" t="s">
        <v>589</v>
      </c>
      <c r="C1041" s="107" t="s">
        <v>1625</v>
      </c>
      <c r="D1041" s="107"/>
      <c r="E1041" s="107"/>
      <c r="F1041" s="107"/>
      <c r="G1041" s="108"/>
      <c r="H1041" s="105" t="n">
        <f aca="false">'[2]$ лето'!j1041-'[2]$ лето'!au1041-'[2]$ лето'!at1041-'[2]$ лето'!as1041-'[2]$ лето'!ar1041-'[2]$ лето'!aq1041-'[2]$ лето'!ap1041-'[2]$ лето'!an1041-'[2]$ лето'!am1041-'[2]$ лето'!al1041-'[2]$ лето'!ak1041-'[2]$ лето'!aj1041-'[2]$ лето'!ah1041-'[2]$ лето'!ag1041-'[2]$ лето'!af1041-'[2]$ лето'!ae1041-'[2]$ лето'!ad1041-'[2]$ лето'!ab1041-'[2]$ лето'!aa1041-'[2]$ лето'!z1041-'[2]$ лето'!y1041-'[2]$ лето'!x1041-'[2]$ лето'!v1041-'[2]$ лето'!u1041-'[2]$ лето'!t1041-'[2]$ лето'!s1041-'[2]$ лето'!r1041-'[2]$ лето'!p1041-'[2]$ лето'!o1041-'[2]$ лето'!n1041-'[2]$ лето'!m1041-'[2]$ лето'!l1041+'[2]$ лето'!k1041+'[2]$ лето'!q1041+'[2]$ лето'!w1041+'[2]$ лето'!ac1041+'[2]$ лето'!ai1041+'[2]$ лето'!ao1041</f>
        <v>0</v>
      </c>
      <c r="I1041" s="109" t="n">
        <f aca="false">'[2]$ лето'!ay1041*1.1</f>
        <v>3542</v>
      </c>
    </row>
    <row r="1042" customFormat="false" ht="15" hidden="true" customHeight="false" outlineLevel="0" collapsed="false">
      <c r="A1042" s="115" t="s">
        <v>1594</v>
      </c>
      <c r="B1042" s="115" t="s">
        <v>589</v>
      </c>
      <c r="C1042" s="107" t="s">
        <v>1559</v>
      </c>
      <c r="D1042" s="107"/>
      <c r="E1042" s="107"/>
      <c r="F1042" s="107"/>
      <c r="G1042" s="108"/>
      <c r="H1042" s="105" t="n">
        <f aca="false">'[2]$ лето'!j1042-'[2]$ лето'!au1042-'[2]$ лето'!at1042-'[2]$ лето'!as1042-'[2]$ лето'!ar1042-'[2]$ лето'!aq1042-'[2]$ лето'!ap1042-'[2]$ лето'!an1042-'[2]$ лето'!am1042-'[2]$ лето'!al1042-'[2]$ лето'!ak1042-'[2]$ лето'!aj1042-'[2]$ лето'!ah1042-'[2]$ лето'!ag1042-'[2]$ лето'!af1042-'[2]$ лето'!ae1042-'[2]$ лето'!ad1042-'[2]$ лето'!ab1042-'[2]$ лето'!aa1042-'[2]$ лето'!z1042-'[2]$ лето'!y1042-'[2]$ лето'!x1042-'[2]$ лето'!v1042-'[2]$ лето'!u1042-'[2]$ лето'!t1042-'[2]$ лето'!s1042-'[2]$ лето'!r1042-'[2]$ лето'!p1042-'[2]$ лето'!o1042-'[2]$ лето'!n1042-'[2]$ лето'!m1042-'[2]$ лето'!l1042+'[2]$ лето'!k1042+'[2]$ лето'!q1042+'[2]$ лето'!w1042+'[2]$ лето'!ac1042+'[2]$ лето'!ai1042+'[2]$ лето'!ao1042</f>
        <v>0</v>
      </c>
      <c r="I1042" s="109" t="n">
        <f aca="false">'[2]$ лето'!ay1042*1.1</f>
        <v>3388</v>
      </c>
    </row>
    <row r="1043" customFormat="false" ht="15" hidden="true" customHeight="false" outlineLevel="0" collapsed="false">
      <c r="A1043" s="115" t="s">
        <v>1594</v>
      </c>
      <c r="B1043" s="115" t="s">
        <v>564</v>
      </c>
      <c r="C1043" s="107" t="s">
        <v>1561</v>
      </c>
      <c r="D1043" s="107"/>
      <c r="E1043" s="107"/>
      <c r="F1043" s="107"/>
      <c r="G1043" s="108" t="s">
        <v>520</v>
      </c>
      <c r="H1043" s="105" t="n">
        <f aca="false">'[2]$ лето'!j1043-'[2]$ лето'!au1043-'[2]$ лето'!at1043-'[2]$ лето'!as1043-'[2]$ лето'!ar1043-'[2]$ лето'!aq1043-'[2]$ лето'!ap1043-'[2]$ лето'!an1043-'[2]$ лето'!am1043-'[2]$ лето'!al1043-'[2]$ лето'!ak1043-'[2]$ лето'!aj1043-'[2]$ лето'!ah1043-'[2]$ лето'!ag1043-'[2]$ лето'!af1043-'[2]$ лето'!ae1043-'[2]$ лето'!ad1043-'[2]$ лето'!ab1043-'[2]$ лето'!aa1043-'[2]$ лето'!z1043-'[2]$ лето'!y1043-'[2]$ лето'!x1043-'[2]$ лето'!v1043-'[2]$ лето'!u1043-'[2]$ лето'!t1043-'[2]$ лето'!s1043-'[2]$ лето'!r1043-'[2]$ лето'!p1043-'[2]$ лето'!o1043-'[2]$ лето'!n1043-'[2]$ лето'!m1043-'[2]$ лето'!l1043+'[2]$ лето'!k1043+'[2]$ лето'!q1043+'[2]$ лето'!w1043+'[2]$ лето'!ac1043+'[2]$ лето'!ai1043+'[2]$ лето'!ao1043</f>
        <v>0</v>
      </c>
      <c r="I1043" s="109" t="n">
        <f aca="false">'[2]$ лето'!ay1043*1.1</f>
        <v>1570.8</v>
      </c>
      <c r="J1043" s="85" t="n">
        <v>2017</v>
      </c>
    </row>
    <row r="1044" customFormat="false" ht="15" hidden="true" customHeight="false" outlineLevel="0" collapsed="false">
      <c r="A1044" s="115" t="s">
        <v>1594</v>
      </c>
      <c r="B1044" s="115" t="s">
        <v>564</v>
      </c>
      <c r="C1044" s="107" t="s">
        <v>1626</v>
      </c>
      <c r="D1044" s="107"/>
      <c r="E1044" s="107"/>
      <c r="F1044" s="107"/>
      <c r="G1044" s="108" t="s">
        <v>520</v>
      </c>
      <c r="H1044" s="105" t="n">
        <f aca="false">'[2]$ лето'!j1044-'[2]$ лето'!au1044-'[2]$ лето'!at1044-'[2]$ лето'!as1044-'[2]$ лето'!ar1044-'[2]$ лето'!aq1044-'[2]$ лето'!ap1044-'[2]$ лето'!an1044-'[2]$ лето'!am1044-'[2]$ лето'!al1044-'[2]$ лето'!ak1044-'[2]$ лето'!aj1044-'[2]$ лето'!ah1044-'[2]$ лето'!ag1044-'[2]$ лето'!af1044-'[2]$ лето'!ae1044-'[2]$ лето'!ad1044-'[2]$ лето'!ab1044-'[2]$ лето'!aa1044-'[2]$ лето'!z1044-'[2]$ лето'!y1044-'[2]$ лето'!x1044-'[2]$ лето'!v1044-'[2]$ лето'!u1044-'[2]$ лето'!t1044-'[2]$ лето'!s1044-'[2]$ лето'!r1044-'[2]$ лето'!p1044-'[2]$ лето'!o1044-'[2]$ лето'!n1044-'[2]$ лето'!m1044-'[2]$ лето'!l1044+'[2]$ лето'!k1044+'[2]$ лето'!q1044+'[2]$ лето'!w1044+'[2]$ лето'!ac1044+'[2]$ лето'!ai1044+'[2]$ лето'!ao1044</f>
        <v>0</v>
      </c>
      <c r="I1044" s="109" t="n">
        <f aca="false">'[2]$ лето'!ay1044*1.1</f>
        <v>1570.8</v>
      </c>
      <c r="J1044" s="85" t="n">
        <v>2017</v>
      </c>
    </row>
    <row r="1045" customFormat="false" ht="15" hidden="false" customHeight="false" outlineLevel="0" collapsed="false">
      <c r="A1045" s="115" t="s">
        <v>1594</v>
      </c>
      <c r="B1045" s="115" t="s">
        <v>981</v>
      </c>
      <c r="C1045" s="107" t="s">
        <v>1627</v>
      </c>
      <c r="D1045" s="107"/>
      <c r="E1045" s="116"/>
      <c r="F1045" s="116"/>
      <c r="G1045" s="108" t="s">
        <v>843</v>
      </c>
      <c r="H1045" s="105" t="n">
        <f aca="false">'[2]$ лето'!j1045-'[2]$ лето'!au1045-'[2]$ лето'!at1045-'[2]$ лето'!as1045-'[2]$ лето'!ar1045-'[2]$ лето'!aq1045-'[2]$ лето'!ap1045-'[2]$ лето'!an1045-'[2]$ лето'!am1045-'[2]$ лето'!al1045-'[2]$ лето'!ak1045-'[2]$ лето'!aj1045-'[2]$ лето'!ah1045-'[2]$ лето'!ag1045-'[2]$ лето'!af1045-'[2]$ лето'!ae1045-'[2]$ лето'!ad1045-'[2]$ лето'!ab1045-'[2]$ лето'!aa1045-'[2]$ лето'!z1045-'[2]$ лето'!y1045-'[2]$ лето'!x1045-'[2]$ лето'!v1045-'[2]$ лето'!u1045-'[2]$ лето'!t1045-'[2]$ лето'!s1045-'[2]$ лето'!r1045-'[2]$ лето'!p1045-'[2]$ лето'!o1045-'[2]$ лето'!n1045-'[2]$ лето'!m1045-'[2]$ лето'!l1045+'[2]$ лето'!k1045+'[2]$ лето'!q1045+'[2]$ лето'!w1045+'[2]$ лето'!ac1045+'[2]$ лето'!ai1045+'[2]$ лето'!ao1045</f>
        <v>8</v>
      </c>
      <c r="I1045" s="109" t="n">
        <f aca="false">'[2]$ лето'!ay1045*1.1</f>
        <v>2987.6</v>
      </c>
      <c r="J1045" s="85" t="n">
        <v>2017</v>
      </c>
    </row>
    <row r="1046" customFormat="false" ht="15" hidden="true" customHeight="false" outlineLevel="0" collapsed="false">
      <c r="A1046" s="115" t="s">
        <v>1628</v>
      </c>
      <c r="B1046" s="115" t="s">
        <v>1528</v>
      </c>
      <c r="C1046" s="107" t="s">
        <v>1629</v>
      </c>
      <c r="D1046" s="107"/>
      <c r="E1046" s="107"/>
      <c r="F1046" s="107"/>
      <c r="G1046" s="108" t="s">
        <v>563</v>
      </c>
      <c r="H1046" s="105" t="n">
        <f aca="false">'[2]$ лето'!j1046-'[2]$ лето'!au1046-'[2]$ лето'!at1046-'[2]$ лето'!as1046-'[2]$ лето'!ar1046-'[2]$ лето'!aq1046-'[2]$ лето'!ap1046-'[2]$ лето'!an1046-'[2]$ лето'!am1046-'[2]$ лето'!al1046-'[2]$ лето'!ak1046-'[2]$ лето'!aj1046-'[2]$ лето'!ah1046-'[2]$ лето'!ag1046-'[2]$ лето'!af1046-'[2]$ лето'!ae1046-'[2]$ лето'!ad1046-'[2]$ лето'!ab1046-'[2]$ лето'!aa1046-'[2]$ лето'!z1046-'[2]$ лето'!y1046-'[2]$ лето'!x1046-'[2]$ лето'!v1046-'[2]$ лето'!u1046-'[2]$ лето'!t1046-'[2]$ лето'!s1046-'[2]$ лето'!r1046-'[2]$ лето'!p1046-'[2]$ лето'!o1046-'[2]$ лето'!n1046-'[2]$ лето'!m1046-'[2]$ лето'!l1046+'[2]$ лето'!k1046+'[2]$ лето'!q1046+'[2]$ лето'!w1046+'[2]$ лето'!ac1046+'[2]$ лето'!ai1046+'[2]$ лето'!ao1046</f>
        <v>0</v>
      </c>
      <c r="I1046" s="109" t="n">
        <f aca="false">'[2]$ лето'!ay1046*1.1</f>
        <v>1694</v>
      </c>
      <c r="J1046" s="85" t="n">
        <v>2017</v>
      </c>
    </row>
    <row r="1047" customFormat="false" ht="15" hidden="false" customHeight="false" outlineLevel="0" collapsed="false">
      <c r="A1047" s="115" t="s">
        <v>1628</v>
      </c>
      <c r="B1047" s="115" t="s">
        <v>1300</v>
      </c>
      <c r="C1047" s="107" t="s">
        <v>1630</v>
      </c>
      <c r="D1047" s="107"/>
      <c r="E1047" s="116"/>
      <c r="F1047" s="116"/>
      <c r="G1047" s="108"/>
      <c r="H1047" s="105" t="n">
        <f aca="false">'[2]$ лето'!j1047-'[2]$ лето'!au1047-'[2]$ лето'!at1047-'[2]$ лето'!as1047-'[2]$ лето'!ar1047-'[2]$ лето'!aq1047-'[2]$ лето'!ap1047-'[2]$ лето'!an1047-'[2]$ лето'!am1047-'[2]$ лето'!al1047-'[2]$ лето'!ak1047-'[2]$ лето'!aj1047-'[2]$ лето'!ah1047-'[2]$ лето'!ag1047-'[2]$ лето'!af1047-'[2]$ лето'!ae1047-'[2]$ лето'!ad1047-'[2]$ лето'!ab1047-'[2]$ лето'!aa1047-'[2]$ лето'!z1047-'[2]$ лето'!y1047-'[2]$ лето'!x1047-'[2]$ лето'!v1047-'[2]$ лето'!u1047-'[2]$ лето'!t1047-'[2]$ лето'!s1047-'[2]$ лето'!r1047-'[2]$ лето'!p1047-'[2]$ лето'!o1047-'[2]$ лето'!n1047-'[2]$ лето'!m1047-'[2]$ лето'!l1047+'[2]$ лето'!k1047+'[2]$ лето'!q1047+'[2]$ лето'!w1047+'[2]$ лето'!ac1047+'[2]$ лето'!ai1047+'[2]$ лето'!ao1047</f>
        <v>4</v>
      </c>
      <c r="I1047" s="109" t="n">
        <f aca="false">'[2]$ лето'!ay1047*1.1</f>
        <v>1386</v>
      </c>
      <c r="J1047" s="85" t="n">
        <v>2015</v>
      </c>
    </row>
    <row r="1048" customFormat="false" ht="15" hidden="true" customHeight="false" outlineLevel="0" collapsed="false">
      <c r="A1048" s="115" t="s">
        <v>1628</v>
      </c>
      <c r="B1048" s="115" t="s">
        <v>568</v>
      </c>
      <c r="C1048" s="116" t="s">
        <v>1631</v>
      </c>
      <c r="D1048" s="116"/>
      <c r="E1048" s="116"/>
      <c r="F1048" s="116"/>
      <c r="G1048" s="108"/>
      <c r="H1048" s="105" t="n">
        <f aca="false">'[2]$ лето'!j1048-'[2]$ лето'!au1048-'[2]$ лето'!at1048-'[2]$ лето'!as1048-'[2]$ лето'!ar1048-'[2]$ лето'!aq1048-'[2]$ лето'!ap1048-'[2]$ лето'!an1048-'[2]$ лето'!am1048-'[2]$ лето'!al1048-'[2]$ лето'!ak1048-'[2]$ лето'!aj1048-'[2]$ лето'!ah1048-'[2]$ лето'!ag1048-'[2]$ лето'!af1048-'[2]$ лето'!ae1048-'[2]$ лето'!ad1048-'[2]$ лето'!ab1048-'[2]$ лето'!aa1048-'[2]$ лето'!z1048-'[2]$ лето'!y1048-'[2]$ лето'!x1048-'[2]$ лето'!v1048-'[2]$ лето'!u1048-'[2]$ лето'!t1048-'[2]$ лето'!s1048-'[2]$ лето'!r1048-'[2]$ лето'!p1048-'[2]$ лето'!o1048-'[2]$ лето'!n1048-'[2]$ лето'!m1048-'[2]$ лето'!l1048+'[2]$ лето'!k1048+'[2]$ лето'!q1048+'[2]$ лето'!w1048+'[2]$ лето'!ac1048+'[2]$ лето'!ai1048+'[2]$ лето'!ao1048</f>
        <v>0</v>
      </c>
      <c r="I1048" s="109" t="n">
        <f aca="false">'[2]$ лето'!ay1048*1.1</f>
        <v>2094.4</v>
      </c>
    </row>
    <row r="1049" customFormat="false" ht="15" hidden="true" customHeight="false" outlineLevel="0" collapsed="false">
      <c r="A1049" s="115" t="s">
        <v>1628</v>
      </c>
      <c r="B1049" s="115" t="s">
        <v>601</v>
      </c>
      <c r="C1049" s="107" t="s">
        <v>1632</v>
      </c>
      <c r="D1049" s="107"/>
      <c r="E1049" s="107"/>
      <c r="F1049" s="107"/>
      <c r="G1049" s="108" t="s">
        <v>663</v>
      </c>
      <c r="H1049" s="105" t="n">
        <f aca="false">'[2]$ лето'!j1049-'[2]$ лето'!au1049-'[2]$ лето'!at1049-'[2]$ лето'!as1049-'[2]$ лето'!ar1049-'[2]$ лето'!aq1049-'[2]$ лето'!ap1049-'[2]$ лето'!an1049-'[2]$ лето'!am1049-'[2]$ лето'!al1049-'[2]$ лето'!ak1049-'[2]$ лето'!aj1049-'[2]$ лето'!ah1049-'[2]$ лето'!ag1049-'[2]$ лето'!af1049-'[2]$ лето'!ae1049-'[2]$ лето'!ad1049-'[2]$ лето'!ab1049-'[2]$ лето'!aa1049-'[2]$ лето'!z1049-'[2]$ лето'!y1049-'[2]$ лето'!x1049-'[2]$ лето'!v1049-'[2]$ лето'!u1049-'[2]$ лето'!t1049-'[2]$ лето'!s1049-'[2]$ лето'!r1049-'[2]$ лето'!p1049-'[2]$ лето'!o1049-'[2]$ лето'!n1049-'[2]$ лето'!m1049-'[2]$ лето'!l1049+'[2]$ лето'!k1049+'[2]$ лето'!q1049+'[2]$ лето'!w1049+'[2]$ лето'!ac1049+'[2]$ лето'!ai1049+'[2]$ лето'!ao1049</f>
        <v>0</v>
      </c>
      <c r="I1049" s="109" t="n">
        <f aca="false">'[2]$ лето'!ay1049*1.1</f>
        <v>3388</v>
      </c>
      <c r="J1049" s="85" t="n">
        <v>2018</v>
      </c>
    </row>
    <row r="1050" customFormat="false" ht="15" hidden="false" customHeight="false" outlineLevel="0" collapsed="false">
      <c r="A1050" s="115" t="s">
        <v>1628</v>
      </c>
      <c r="B1050" s="115" t="s">
        <v>658</v>
      </c>
      <c r="C1050" s="116" t="s">
        <v>1633</v>
      </c>
      <c r="D1050" s="116"/>
      <c r="E1050" s="116"/>
      <c r="F1050" s="116"/>
      <c r="G1050" s="108" t="s">
        <v>570</v>
      </c>
      <c r="H1050" s="105" t="n">
        <f aca="false">'[2]$ лето'!j1050-'[2]$ лето'!au1050-'[2]$ лето'!at1050-'[2]$ лето'!as1050-'[2]$ лето'!ar1050-'[2]$ лето'!aq1050-'[2]$ лето'!ap1050-'[2]$ лето'!an1050-'[2]$ лето'!am1050-'[2]$ лето'!al1050-'[2]$ лето'!ak1050-'[2]$ лето'!aj1050-'[2]$ лето'!ah1050-'[2]$ лето'!ag1050-'[2]$ лето'!af1050-'[2]$ лето'!ae1050-'[2]$ лето'!ad1050-'[2]$ лето'!ab1050-'[2]$ лето'!aa1050-'[2]$ лето'!z1050-'[2]$ лето'!y1050-'[2]$ лето'!x1050-'[2]$ лето'!v1050-'[2]$ лето'!u1050-'[2]$ лето'!t1050-'[2]$ лето'!s1050-'[2]$ лето'!r1050-'[2]$ лето'!p1050-'[2]$ лето'!o1050-'[2]$ лето'!n1050-'[2]$ лето'!m1050-'[2]$ лето'!l1050+'[2]$ лето'!k1050+'[2]$ лето'!q1050+'[2]$ лето'!w1050+'[2]$ лето'!ac1050+'[2]$ лето'!ai1050+'[2]$ лето'!ao1050</f>
        <v>2</v>
      </c>
      <c r="I1050" s="109" t="n">
        <f aca="false">'[2]$ лето'!ay1050*1.1</f>
        <v>3542</v>
      </c>
      <c r="J1050" s="85" t="n">
        <v>2016</v>
      </c>
    </row>
    <row r="1051" customFormat="false" ht="15" hidden="false" customHeight="false" outlineLevel="0" collapsed="false">
      <c r="A1051" s="115" t="s">
        <v>1628</v>
      </c>
      <c r="B1051" s="115" t="s">
        <v>658</v>
      </c>
      <c r="C1051" s="116" t="s">
        <v>1634</v>
      </c>
      <c r="D1051" s="116"/>
      <c r="E1051" s="116"/>
      <c r="F1051" s="116"/>
      <c r="G1051" s="108" t="s">
        <v>843</v>
      </c>
      <c r="H1051" s="105" t="n">
        <f aca="false">'[2]$ лето'!j1051-'[2]$ лето'!au1051-'[2]$ лето'!at1051-'[2]$ лето'!as1051-'[2]$ лето'!ar1051-'[2]$ лето'!aq1051-'[2]$ лето'!ap1051-'[2]$ лето'!an1051-'[2]$ лето'!am1051-'[2]$ лето'!al1051-'[2]$ лето'!ak1051-'[2]$ лето'!aj1051-'[2]$ лето'!ah1051-'[2]$ лето'!ag1051-'[2]$ лето'!af1051-'[2]$ лето'!ae1051-'[2]$ лето'!ad1051-'[2]$ лето'!ab1051-'[2]$ лето'!aa1051-'[2]$ лето'!z1051-'[2]$ лето'!y1051-'[2]$ лето'!x1051-'[2]$ лето'!v1051-'[2]$ лето'!u1051-'[2]$ лето'!t1051-'[2]$ лето'!s1051-'[2]$ лето'!r1051-'[2]$ лето'!p1051-'[2]$ лето'!o1051-'[2]$ лето'!n1051-'[2]$ лето'!m1051-'[2]$ лето'!l1051+'[2]$ лето'!k1051+'[2]$ лето'!q1051+'[2]$ лето'!w1051+'[2]$ лето'!ac1051+'[2]$ лето'!ai1051+'[2]$ лето'!ao1051</f>
        <v>4</v>
      </c>
      <c r="I1051" s="109" t="n">
        <f aca="false">'[2]$ лето'!ay1051*1.1</f>
        <v>3850</v>
      </c>
      <c r="J1051" s="85" t="n">
        <v>2018</v>
      </c>
    </row>
    <row r="1052" customFormat="false" ht="15" hidden="false" customHeight="false" outlineLevel="0" collapsed="false">
      <c r="A1052" s="115" t="s">
        <v>1628</v>
      </c>
      <c r="B1052" s="115" t="s">
        <v>741</v>
      </c>
      <c r="C1052" s="116" t="s">
        <v>1635</v>
      </c>
      <c r="D1052" s="116"/>
      <c r="E1052" s="116"/>
      <c r="F1052" s="116"/>
      <c r="G1052" s="108" t="s">
        <v>911</v>
      </c>
      <c r="H1052" s="105" t="n">
        <f aca="false">'[2]$ лето'!j1052-'[2]$ лето'!au1052-'[2]$ лето'!at1052-'[2]$ лето'!as1052-'[2]$ лето'!ar1052-'[2]$ лето'!aq1052-'[2]$ лето'!ap1052-'[2]$ лето'!an1052-'[2]$ лето'!am1052-'[2]$ лето'!al1052-'[2]$ лето'!ak1052-'[2]$ лето'!aj1052-'[2]$ лето'!ah1052-'[2]$ лето'!ag1052-'[2]$ лето'!af1052-'[2]$ лето'!ae1052-'[2]$ лето'!ad1052-'[2]$ лето'!ab1052-'[2]$ лето'!aa1052-'[2]$ лето'!z1052-'[2]$ лето'!y1052-'[2]$ лето'!x1052-'[2]$ лето'!v1052-'[2]$ лето'!u1052-'[2]$ лето'!t1052-'[2]$ лето'!s1052-'[2]$ лето'!r1052-'[2]$ лето'!p1052-'[2]$ лето'!o1052-'[2]$ лето'!n1052-'[2]$ лето'!m1052-'[2]$ лето'!l1052+'[2]$ лето'!k1052+'[2]$ лето'!q1052+'[2]$ лето'!w1052+'[2]$ лето'!ac1052+'[2]$ лето'!ai1052+'[2]$ лето'!ao1052</f>
        <v>4</v>
      </c>
      <c r="I1052" s="109" t="n">
        <f aca="false">'[2]$ лето'!ay1052*1.1</f>
        <v>2679.6</v>
      </c>
      <c r="J1052" s="85" t="n">
        <v>2017</v>
      </c>
    </row>
    <row r="1053" customFormat="false" ht="15" hidden="false" customHeight="false" outlineLevel="0" collapsed="false">
      <c r="A1053" s="115" t="s">
        <v>1628</v>
      </c>
      <c r="B1053" s="115" t="s">
        <v>604</v>
      </c>
      <c r="C1053" s="116" t="s">
        <v>1636</v>
      </c>
      <c r="D1053" s="116"/>
      <c r="E1053" s="116"/>
      <c r="F1053" s="116"/>
      <c r="G1053" s="108" t="s">
        <v>585</v>
      </c>
      <c r="H1053" s="105" t="n">
        <f aca="false">'[2]$ лето'!j1053-'[2]$ лето'!au1053-'[2]$ лето'!at1053-'[2]$ лето'!as1053-'[2]$ лето'!ar1053-'[2]$ лето'!aq1053-'[2]$ лето'!ap1053-'[2]$ лето'!an1053-'[2]$ лето'!am1053-'[2]$ лето'!al1053-'[2]$ лето'!ak1053-'[2]$ лето'!aj1053-'[2]$ лето'!ah1053-'[2]$ лето'!ag1053-'[2]$ лето'!af1053-'[2]$ лето'!ae1053-'[2]$ лето'!ad1053-'[2]$ лето'!ab1053-'[2]$ лето'!aa1053-'[2]$ лето'!z1053-'[2]$ лето'!y1053-'[2]$ лето'!x1053-'[2]$ лето'!v1053-'[2]$ лето'!u1053-'[2]$ лето'!t1053-'[2]$ лето'!s1053-'[2]$ лето'!r1053-'[2]$ лето'!p1053-'[2]$ лето'!o1053-'[2]$ лето'!n1053-'[2]$ лето'!m1053-'[2]$ лето'!l1053+'[2]$ лето'!k1053+'[2]$ лето'!q1053+'[2]$ лето'!w1053+'[2]$ лето'!ac1053+'[2]$ лето'!ai1053+'[2]$ лето'!ao1053</f>
        <v>4</v>
      </c>
      <c r="I1053" s="109" t="n">
        <f aca="false">'[2]$ лето'!ay1053*1.1</f>
        <v>2926</v>
      </c>
      <c r="J1053" s="85" t="n">
        <v>2017</v>
      </c>
    </row>
    <row r="1054" customFormat="false" ht="15" hidden="true" customHeight="false" outlineLevel="0" collapsed="false">
      <c r="A1054" s="115" t="s">
        <v>1628</v>
      </c>
      <c r="B1054" s="115" t="s">
        <v>744</v>
      </c>
      <c r="C1054" s="116" t="s">
        <v>1637</v>
      </c>
      <c r="D1054" s="116"/>
      <c r="E1054" s="116"/>
      <c r="F1054" s="116"/>
      <c r="G1054" s="108"/>
      <c r="H1054" s="105" t="n">
        <f aca="false">'[2]$ лето'!j1054-'[2]$ лето'!au1054-'[2]$ лето'!at1054-'[2]$ лето'!as1054-'[2]$ лето'!ar1054-'[2]$ лето'!aq1054-'[2]$ лето'!ap1054-'[2]$ лето'!an1054-'[2]$ лето'!am1054-'[2]$ лето'!al1054-'[2]$ лето'!ak1054-'[2]$ лето'!aj1054-'[2]$ лето'!ah1054-'[2]$ лето'!ag1054-'[2]$ лето'!af1054-'[2]$ лето'!ae1054-'[2]$ лето'!ad1054-'[2]$ лето'!ab1054-'[2]$ лето'!aa1054-'[2]$ лето'!z1054-'[2]$ лето'!y1054-'[2]$ лето'!x1054-'[2]$ лето'!v1054-'[2]$ лето'!u1054-'[2]$ лето'!t1054-'[2]$ лето'!s1054-'[2]$ лето'!r1054-'[2]$ лето'!p1054-'[2]$ лето'!o1054-'[2]$ лето'!n1054-'[2]$ лето'!m1054-'[2]$ лето'!l1054+'[2]$ лето'!k1054+'[2]$ лето'!q1054+'[2]$ лето'!w1054+'[2]$ лето'!ac1054+'[2]$ лето'!ai1054+'[2]$ лето'!ao1054</f>
        <v>0</v>
      </c>
      <c r="I1054" s="109" t="n">
        <f aca="false">'[2]$ лето'!ay1054*1.1</f>
        <v>1909.6</v>
      </c>
      <c r="J1054" s="85" t="n">
        <v>2017</v>
      </c>
    </row>
    <row r="1055" customFormat="false" ht="15" hidden="true" customHeight="false" outlineLevel="0" collapsed="false">
      <c r="A1055" s="115" t="s">
        <v>1628</v>
      </c>
      <c r="B1055" s="115" t="s">
        <v>606</v>
      </c>
      <c r="C1055" s="107" t="s">
        <v>1638</v>
      </c>
      <c r="D1055" s="107"/>
      <c r="E1055" s="107"/>
      <c r="F1055" s="107"/>
      <c r="G1055" s="108"/>
      <c r="H1055" s="105" t="n">
        <f aca="false">'[2]$ лето'!j1055-'[2]$ лето'!au1055-'[2]$ лето'!at1055-'[2]$ лето'!as1055-'[2]$ лето'!ar1055-'[2]$ лето'!aq1055-'[2]$ лето'!ap1055-'[2]$ лето'!an1055-'[2]$ лето'!am1055-'[2]$ лето'!al1055-'[2]$ лето'!ak1055-'[2]$ лето'!aj1055-'[2]$ лето'!ah1055-'[2]$ лето'!ag1055-'[2]$ лето'!af1055-'[2]$ лето'!ae1055-'[2]$ лето'!ad1055-'[2]$ лето'!ab1055-'[2]$ лето'!aa1055-'[2]$ лето'!z1055-'[2]$ лето'!y1055-'[2]$ лето'!x1055-'[2]$ лето'!v1055-'[2]$ лето'!u1055-'[2]$ лето'!t1055-'[2]$ лето'!s1055-'[2]$ лето'!r1055-'[2]$ лето'!p1055-'[2]$ лето'!o1055-'[2]$ лето'!n1055-'[2]$ лето'!m1055-'[2]$ лето'!l1055+'[2]$ лето'!k1055+'[2]$ лето'!q1055+'[2]$ лето'!w1055+'[2]$ лето'!ac1055+'[2]$ лето'!ai1055+'[2]$ лето'!ao1055</f>
        <v>0</v>
      </c>
      <c r="I1055" s="109" t="n">
        <f aca="false">'[2]$ лето'!ay1055*1.1</f>
        <v>2710.4</v>
      </c>
    </row>
    <row r="1056" customFormat="false" ht="15" hidden="true" customHeight="false" outlineLevel="0" collapsed="false">
      <c r="A1056" s="115" t="s">
        <v>1628</v>
      </c>
      <c r="B1056" s="115" t="s">
        <v>606</v>
      </c>
      <c r="C1056" s="107" t="s">
        <v>1639</v>
      </c>
      <c r="D1056" s="107"/>
      <c r="E1056" s="107"/>
      <c r="F1056" s="107"/>
      <c r="G1056" s="108"/>
      <c r="H1056" s="105" t="n">
        <f aca="false">'[2]$ лето'!j1056-'[2]$ лето'!au1056-'[2]$ лето'!at1056-'[2]$ лето'!as1056-'[2]$ лето'!ar1056-'[2]$ лето'!aq1056-'[2]$ лето'!ap1056-'[2]$ лето'!an1056-'[2]$ лето'!am1056-'[2]$ лето'!al1056-'[2]$ лето'!ak1056-'[2]$ лето'!aj1056-'[2]$ лето'!ah1056-'[2]$ лето'!ag1056-'[2]$ лето'!af1056-'[2]$ лето'!ae1056-'[2]$ лето'!ad1056-'[2]$ лето'!ab1056-'[2]$ лето'!aa1056-'[2]$ лето'!z1056-'[2]$ лето'!y1056-'[2]$ лето'!x1056-'[2]$ лето'!v1056-'[2]$ лето'!u1056-'[2]$ лето'!t1056-'[2]$ лето'!s1056-'[2]$ лето'!r1056-'[2]$ лето'!p1056-'[2]$ лето'!o1056-'[2]$ лето'!n1056-'[2]$ лето'!m1056-'[2]$ лето'!l1056+'[2]$ лето'!k1056+'[2]$ лето'!q1056+'[2]$ лето'!w1056+'[2]$ лето'!ac1056+'[2]$ лето'!ai1056+'[2]$ лето'!ao1056</f>
        <v>0</v>
      </c>
      <c r="I1056" s="109" t="n">
        <f aca="false">'[2]$ лето'!ay1056*1.1</f>
        <v>2248.4</v>
      </c>
      <c r="J1056" s="85" t="n">
        <v>2017</v>
      </c>
    </row>
    <row r="1057" customFormat="false" ht="15" hidden="true" customHeight="false" outlineLevel="0" collapsed="false">
      <c r="A1057" s="115" t="s">
        <v>1628</v>
      </c>
      <c r="B1057" s="115" t="s">
        <v>1130</v>
      </c>
      <c r="C1057" s="107" t="s">
        <v>1640</v>
      </c>
      <c r="D1057" s="107"/>
      <c r="E1057" s="107"/>
      <c r="F1057" s="107"/>
      <c r="G1057" s="108"/>
      <c r="H1057" s="105" t="n">
        <f aca="false">'[2]$ лето'!j1057-'[2]$ лето'!au1057-'[2]$ лето'!at1057-'[2]$ лето'!as1057-'[2]$ лето'!ar1057-'[2]$ лето'!aq1057-'[2]$ лето'!ap1057-'[2]$ лето'!an1057-'[2]$ лето'!am1057-'[2]$ лето'!al1057-'[2]$ лето'!ak1057-'[2]$ лето'!aj1057-'[2]$ лето'!ah1057-'[2]$ лето'!ag1057-'[2]$ лето'!af1057-'[2]$ лето'!ae1057-'[2]$ лето'!ad1057-'[2]$ лето'!ab1057-'[2]$ лето'!aa1057-'[2]$ лето'!z1057-'[2]$ лето'!y1057-'[2]$ лето'!x1057-'[2]$ лето'!v1057-'[2]$ лето'!u1057-'[2]$ лето'!t1057-'[2]$ лето'!s1057-'[2]$ лето'!r1057-'[2]$ лето'!p1057-'[2]$ лето'!o1057-'[2]$ лето'!n1057-'[2]$ лето'!m1057-'[2]$ лето'!l1057+'[2]$ лето'!k1057+'[2]$ лето'!q1057+'[2]$ лето'!w1057+'[2]$ лето'!ac1057+'[2]$ лето'!ai1057+'[2]$ лето'!ao1057</f>
        <v>0</v>
      </c>
      <c r="I1057" s="109" t="n">
        <f aca="false">'[2]$ лето'!ay1057*1.1</f>
        <v>1447.6</v>
      </c>
      <c r="J1057" s="85" t="n">
        <v>2016</v>
      </c>
    </row>
    <row r="1058" customFormat="false" ht="15" hidden="true" customHeight="false" outlineLevel="0" collapsed="false">
      <c r="A1058" s="115" t="s">
        <v>1628</v>
      </c>
      <c r="B1058" s="115" t="s">
        <v>668</v>
      </c>
      <c r="C1058" s="116" t="s">
        <v>1641</v>
      </c>
      <c r="D1058" s="116"/>
      <c r="E1058" s="116"/>
      <c r="F1058" s="116"/>
      <c r="G1058" s="108" t="s">
        <v>609</v>
      </c>
      <c r="H1058" s="105" t="n">
        <f aca="false">'[2]$ лето'!j1058-'[2]$ лето'!au1058-'[2]$ лето'!at1058-'[2]$ лето'!as1058-'[2]$ лето'!ar1058-'[2]$ лето'!aq1058-'[2]$ лето'!ap1058-'[2]$ лето'!an1058-'[2]$ лето'!am1058-'[2]$ лето'!al1058-'[2]$ лето'!ak1058-'[2]$ лето'!aj1058-'[2]$ лето'!ah1058-'[2]$ лето'!ag1058-'[2]$ лето'!af1058-'[2]$ лето'!ae1058-'[2]$ лето'!ad1058-'[2]$ лето'!ab1058-'[2]$ лето'!aa1058-'[2]$ лето'!z1058-'[2]$ лето'!y1058-'[2]$ лето'!x1058-'[2]$ лето'!v1058-'[2]$ лето'!u1058-'[2]$ лето'!t1058-'[2]$ лето'!s1058-'[2]$ лето'!r1058-'[2]$ лето'!p1058-'[2]$ лето'!o1058-'[2]$ лето'!n1058-'[2]$ лето'!m1058-'[2]$ лето'!l1058+'[2]$ лето'!k1058+'[2]$ лето'!q1058+'[2]$ лето'!w1058+'[2]$ лето'!ac1058+'[2]$ лето'!ai1058+'[2]$ лето'!ao1058</f>
        <v>0</v>
      </c>
      <c r="I1058" s="109" t="n">
        <f aca="false">'[2]$ лето'!ay1058*1.1</f>
        <v>2585</v>
      </c>
      <c r="J1058" s="85" t="n">
        <v>2017</v>
      </c>
    </row>
    <row r="1059" customFormat="false" ht="15" hidden="false" customHeight="false" outlineLevel="0" collapsed="false">
      <c r="A1059" s="115" t="s">
        <v>1628</v>
      </c>
      <c r="B1059" s="115" t="s">
        <v>668</v>
      </c>
      <c r="C1059" s="116" t="s">
        <v>955</v>
      </c>
      <c r="D1059" s="116"/>
      <c r="E1059" s="116"/>
      <c r="F1059" s="116"/>
      <c r="G1059" s="108" t="s">
        <v>609</v>
      </c>
      <c r="H1059" s="105" t="n">
        <f aca="false">'[2]$ лето'!j1059-'[2]$ лето'!au1059-'[2]$ лето'!at1059-'[2]$ лето'!as1059-'[2]$ лето'!ar1059-'[2]$ лето'!aq1059-'[2]$ лето'!ap1059-'[2]$ лето'!an1059-'[2]$ лето'!am1059-'[2]$ лето'!al1059-'[2]$ лето'!ak1059-'[2]$ лето'!aj1059-'[2]$ лето'!ah1059-'[2]$ лето'!ag1059-'[2]$ лето'!af1059-'[2]$ лето'!ae1059-'[2]$ лето'!ad1059-'[2]$ лето'!ab1059-'[2]$ лето'!aa1059-'[2]$ лето'!z1059-'[2]$ лето'!y1059-'[2]$ лето'!x1059-'[2]$ лето'!v1059-'[2]$ лето'!u1059-'[2]$ лето'!t1059-'[2]$ лето'!s1059-'[2]$ лето'!r1059-'[2]$ лето'!p1059-'[2]$ лето'!o1059-'[2]$ лето'!n1059-'[2]$ лето'!m1059-'[2]$ лето'!l1059+'[2]$ лето'!k1059+'[2]$ лето'!q1059+'[2]$ лето'!w1059+'[2]$ лето'!ac1059+'[2]$ лето'!ai1059+'[2]$ лето'!ao1059</f>
        <v>4</v>
      </c>
      <c r="I1059" s="109" t="n">
        <f aca="false">'[2]$ лето'!ay1059*1.1</f>
        <v>2530</v>
      </c>
      <c r="J1059" s="85" t="n">
        <v>2018</v>
      </c>
    </row>
    <row r="1060" customFormat="false" ht="15" hidden="false" customHeight="false" outlineLevel="0" collapsed="false">
      <c r="A1060" s="115" t="s">
        <v>1628</v>
      </c>
      <c r="B1060" s="115" t="s">
        <v>574</v>
      </c>
      <c r="C1060" s="116" t="s">
        <v>1642</v>
      </c>
      <c r="D1060" s="116"/>
      <c r="E1060" s="116"/>
      <c r="F1060" s="116"/>
      <c r="G1060" s="108" t="s">
        <v>576</v>
      </c>
      <c r="H1060" s="105" t="n">
        <f aca="false">'[2]$ лето'!j1060-'[2]$ лето'!au1060-'[2]$ лето'!at1060-'[2]$ лето'!as1060-'[2]$ лето'!ar1060-'[2]$ лето'!aq1060-'[2]$ лето'!ap1060-'[2]$ лето'!an1060-'[2]$ лето'!am1060-'[2]$ лето'!al1060-'[2]$ лето'!ak1060-'[2]$ лето'!aj1060-'[2]$ лето'!ah1060-'[2]$ лето'!ag1060-'[2]$ лето'!af1060-'[2]$ лето'!ae1060-'[2]$ лето'!ad1060-'[2]$ лето'!ab1060-'[2]$ лето'!aa1060-'[2]$ лето'!z1060-'[2]$ лето'!y1060-'[2]$ лето'!x1060-'[2]$ лето'!v1060-'[2]$ лето'!u1060-'[2]$ лето'!t1060-'[2]$ лето'!s1060-'[2]$ лето'!r1060-'[2]$ лето'!p1060-'[2]$ лето'!o1060-'[2]$ лето'!n1060-'[2]$ лето'!m1060-'[2]$ лето'!l1060+'[2]$ лето'!k1060+'[2]$ лето'!q1060+'[2]$ лето'!w1060+'[2]$ лето'!ac1060+'[2]$ лето'!ai1060+'[2]$ лето'!ao1060</f>
        <v>4</v>
      </c>
      <c r="I1060" s="109" t="n">
        <f aca="false">'[2]$ лето'!ay1060*1.1</f>
        <v>2436.72</v>
      </c>
      <c r="J1060" s="85" t="n">
        <v>2018</v>
      </c>
    </row>
    <row r="1061" customFormat="false" ht="15" hidden="true" customHeight="false" outlineLevel="0" collapsed="false">
      <c r="A1061" s="115" t="s">
        <v>1628</v>
      </c>
      <c r="B1061" s="115" t="s">
        <v>883</v>
      </c>
      <c r="C1061" s="116" t="s">
        <v>1546</v>
      </c>
      <c r="D1061" s="116"/>
      <c r="E1061" s="116"/>
      <c r="F1061" s="116"/>
      <c r="G1061" s="108"/>
      <c r="H1061" s="105" t="n">
        <f aca="false">'[2]$ лето'!j1061-'[2]$ лето'!au1061-'[2]$ лето'!at1061-'[2]$ лето'!as1061-'[2]$ лето'!ar1061-'[2]$ лето'!aq1061-'[2]$ лето'!ap1061-'[2]$ лето'!an1061-'[2]$ лето'!am1061-'[2]$ лето'!al1061-'[2]$ лето'!ak1061-'[2]$ лето'!aj1061-'[2]$ лето'!ah1061-'[2]$ лето'!ag1061-'[2]$ лето'!af1061-'[2]$ лето'!ae1061-'[2]$ лето'!ad1061-'[2]$ лето'!ab1061-'[2]$ лето'!aa1061-'[2]$ лето'!z1061-'[2]$ лето'!y1061-'[2]$ лето'!x1061-'[2]$ лето'!v1061-'[2]$ лето'!u1061-'[2]$ лето'!t1061-'[2]$ лето'!s1061-'[2]$ лето'!r1061-'[2]$ лето'!p1061-'[2]$ лето'!o1061-'[2]$ лето'!n1061-'[2]$ лето'!m1061-'[2]$ лето'!l1061+'[2]$ лето'!k1061+'[2]$ лето'!q1061+'[2]$ лето'!w1061+'[2]$ лето'!ac1061+'[2]$ лето'!ai1061+'[2]$ лето'!ao1061</f>
        <v>0</v>
      </c>
      <c r="I1061" s="109" t="n">
        <f aca="false">'[2]$ лето'!ay1061*1.1</f>
        <v>2002</v>
      </c>
    </row>
    <row r="1062" customFormat="false" ht="15" hidden="false" customHeight="false" outlineLevel="0" collapsed="false">
      <c r="A1062" s="115" t="s">
        <v>1628</v>
      </c>
      <c r="B1062" s="115" t="s">
        <v>583</v>
      </c>
      <c r="C1062" s="116" t="s">
        <v>1643</v>
      </c>
      <c r="D1062" s="116"/>
      <c r="E1062" s="116"/>
      <c r="F1062" s="116"/>
      <c r="G1062" s="108" t="s">
        <v>631</v>
      </c>
      <c r="H1062" s="105" t="n">
        <f aca="false">'[2]$ лето'!j1062-'[2]$ лето'!au1062-'[2]$ лето'!at1062-'[2]$ лето'!as1062-'[2]$ лето'!ar1062-'[2]$ лето'!aq1062-'[2]$ лето'!ap1062-'[2]$ лето'!an1062-'[2]$ лето'!am1062-'[2]$ лето'!al1062-'[2]$ лето'!ak1062-'[2]$ лето'!aj1062-'[2]$ лето'!ah1062-'[2]$ лето'!ag1062-'[2]$ лето'!af1062-'[2]$ лето'!ae1062-'[2]$ лето'!ad1062-'[2]$ лето'!ab1062-'[2]$ лето'!aa1062-'[2]$ лето'!z1062-'[2]$ лето'!y1062-'[2]$ лето'!x1062-'[2]$ лето'!v1062-'[2]$ лето'!u1062-'[2]$ лето'!t1062-'[2]$ лето'!s1062-'[2]$ лето'!r1062-'[2]$ лето'!p1062-'[2]$ лето'!o1062-'[2]$ лето'!n1062-'[2]$ лето'!m1062-'[2]$ лето'!l1062+'[2]$ лето'!k1062+'[2]$ лето'!q1062+'[2]$ лето'!w1062+'[2]$ лето'!ac1062+'[2]$ лето'!ai1062+'[2]$ лето'!ao1062</f>
        <v>12</v>
      </c>
      <c r="I1062" s="109" t="n">
        <f aca="false">'[2]$ лето'!ay1062*1.1</f>
        <v>1940.4</v>
      </c>
      <c r="J1062" s="85" t="n">
        <v>2018</v>
      </c>
    </row>
    <row r="1063" customFormat="false" ht="15" hidden="true" customHeight="false" outlineLevel="0" collapsed="false">
      <c r="A1063" s="115" t="s">
        <v>1628</v>
      </c>
      <c r="B1063" s="115" t="s">
        <v>613</v>
      </c>
      <c r="C1063" s="116" t="s">
        <v>1644</v>
      </c>
      <c r="D1063" s="116"/>
      <c r="E1063" s="116"/>
      <c r="F1063" s="116"/>
      <c r="G1063" s="108"/>
      <c r="H1063" s="105" t="n">
        <f aca="false">'[2]$ лето'!j1063-'[2]$ лето'!au1063-'[2]$ лето'!at1063-'[2]$ лето'!as1063-'[2]$ лето'!ar1063-'[2]$ лето'!aq1063-'[2]$ лето'!ap1063-'[2]$ лето'!an1063-'[2]$ лето'!am1063-'[2]$ лето'!al1063-'[2]$ лето'!ak1063-'[2]$ лето'!aj1063-'[2]$ лето'!ah1063-'[2]$ лето'!ag1063-'[2]$ лето'!af1063-'[2]$ лето'!ae1063-'[2]$ лето'!ad1063-'[2]$ лето'!ab1063-'[2]$ лето'!aa1063-'[2]$ лето'!z1063-'[2]$ лето'!y1063-'[2]$ лето'!x1063-'[2]$ лето'!v1063-'[2]$ лето'!u1063-'[2]$ лето'!t1063-'[2]$ лето'!s1063-'[2]$ лето'!r1063-'[2]$ лето'!p1063-'[2]$ лето'!o1063-'[2]$ лето'!n1063-'[2]$ лето'!m1063-'[2]$ лето'!l1063+'[2]$ лето'!k1063+'[2]$ лето'!q1063+'[2]$ лето'!w1063+'[2]$ лето'!ac1063+'[2]$ лето'!ai1063+'[2]$ лето'!ao1063</f>
        <v>0</v>
      </c>
      <c r="I1063" s="109" t="n">
        <f aca="false">'[2]$ лето'!ay1063*1.1</f>
        <v>1848</v>
      </c>
    </row>
    <row r="1064" customFormat="false" ht="15" hidden="false" customHeight="false" outlineLevel="0" collapsed="false">
      <c r="A1064" s="115" t="s">
        <v>1628</v>
      </c>
      <c r="B1064" s="115" t="s">
        <v>593</v>
      </c>
      <c r="C1064" s="107" t="s">
        <v>1645</v>
      </c>
      <c r="D1064" s="107"/>
      <c r="E1064" s="116"/>
      <c r="F1064" s="116"/>
      <c r="G1064" s="108" t="s">
        <v>935</v>
      </c>
      <c r="H1064" s="105" t="n">
        <f aca="false">'[2]$ лето'!j1064-'[2]$ лето'!au1064-'[2]$ лето'!at1064-'[2]$ лето'!as1064-'[2]$ лето'!ar1064-'[2]$ лето'!aq1064-'[2]$ лето'!ap1064-'[2]$ лето'!an1064-'[2]$ лето'!am1064-'[2]$ лето'!al1064-'[2]$ лето'!ak1064-'[2]$ лето'!aj1064-'[2]$ лето'!ah1064-'[2]$ лето'!ag1064-'[2]$ лето'!af1064-'[2]$ лето'!ae1064-'[2]$ лето'!ad1064-'[2]$ лето'!ab1064-'[2]$ лето'!aa1064-'[2]$ лето'!z1064-'[2]$ лето'!y1064-'[2]$ лето'!x1064-'[2]$ лето'!v1064-'[2]$ лето'!u1064-'[2]$ лето'!t1064-'[2]$ лето'!s1064-'[2]$ лето'!r1064-'[2]$ лето'!p1064-'[2]$ лето'!o1064-'[2]$ лето'!n1064-'[2]$ лето'!m1064-'[2]$ лето'!l1064+'[2]$ лето'!k1064+'[2]$ лето'!q1064+'[2]$ лето'!w1064+'[2]$ лето'!ac1064+'[2]$ лето'!ai1064+'[2]$ лето'!ao1064</f>
        <v>1</v>
      </c>
      <c r="I1064" s="109" t="n">
        <f aca="false">'[2]$ лето'!ay1064*1.1</f>
        <v>4496.8</v>
      </c>
      <c r="J1064" s="85" t="n">
        <v>2018</v>
      </c>
    </row>
    <row r="1065" customFormat="false" ht="15" hidden="true" customHeight="false" outlineLevel="0" collapsed="false">
      <c r="A1065" s="115" t="s">
        <v>1628</v>
      </c>
      <c r="B1065" s="115" t="s">
        <v>593</v>
      </c>
      <c r="C1065" s="116" t="s">
        <v>1646</v>
      </c>
      <c r="D1065" s="116"/>
      <c r="E1065" s="116"/>
      <c r="F1065" s="116"/>
      <c r="G1065" s="108"/>
      <c r="H1065" s="105" t="n">
        <f aca="false">'[2]$ лето'!j1065-'[2]$ лето'!au1065-'[2]$ лето'!at1065-'[2]$ лето'!as1065-'[2]$ лето'!ar1065-'[2]$ лето'!aq1065-'[2]$ лето'!ap1065-'[2]$ лето'!an1065-'[2]$ лето'!am1065-'[2]$ лето'!al1065-'[2]$ лето'!ak1065-'[2]$ лето'!aj1065-'[2]$ лето'!ah1065-'[2]$ лето'!ag1065-'[2]$ лето'!af1065-'[2]$ лето'!ae1065-'[2]$ лето'!ad1065-'[2]$ лето'!ab1065-'[2]$ лето'!aa1065-'[2]$ лето'!z1065-'[2]$ лето'!y1065-'[2]$ лето'!x1065-'[2]$ лето'!v1065-'[2]$ лето'!u1065-'[2]$ лето'!t1065-'[2]$ лето'!s1065-'[2]$ лето'!r1065-'[2]$ лето'!p1065-'[2]$ лето'!o1065-'[2]$ лето'!n1065-'[2]$ лето'!m1065-'[2]$ лето'!l1065+'[2]$ лето'!k1065+'[2]$ лето'!q1065+'[2]$ лето'!w1065+'[2]$ лето'!ac1065+'[2]$ лето'!ai1065+'[2]$ лето'!ao1065</f>
        <v>0</v>
      </c>
      <c r="I1065" s="109" t="n">
        <f aca="false">'[2]$ лето'!ay1065*1.1</f>
        <v>3757.6</v>
      </c>
      <c r="J1065" s="85" t="n">
        <v>2016</v>
      </c>
    </row>
    <row r="1066" customFormat="false" ht="15" hidden="false" customHeight="false" outlineLevel="0" collapsed="false">
      <c r="A1066" s="115" t="s">
        <v>1628</v>
      </c>
      <c r="B1066" s="115" t="s">
        <v>593</v>
      </c>
      <c r="C1066" s="116" t="s">
        <v>1647</v>
      </c>
      <c r="D1066" s="116"/>
      <c r="E1066" s="116"/>
      <c r="F1066" s="116"/>
      <c r="G1066" s="108" t="s">
        <v>911</v>
      </c>
      <c r="H1066" s="105" t="n">
        <f aca="false">'[2]$ лето'!j1066-'[2]$ лето'!au1066-'[2]$ лето'!at1066-'[2]$ лето'!as1066-'[2]$ лето'!ar1066-'[2]$ лето'!aq1066-'[2]$ лето'!ap1066-'[2]$ лето'!an1066-'[2]$ лето'!am1066-'[2]$ лето'!al1066-'[2]$ лето'!ak1066-'[2]$ лето'!aj1066-'[2]$ лето'!ah1066-'[2]$ лето'!ag1066-'[2]$ лето'!af1066-'[2]$ лето'!ae1066-'[2]$ лето'!ad1066-'[2]$ лето'!ab1066-'[2]$ лето'!aa1066-'[2]$ лето'!z1066-'[2]$ лето'!y1066-'[2]$ лето'!x1066-'[2]$ лето'!v1066-'[2]$ лето'!u1066-'[2]$ лето'!t1066-'[2]$ лето'!s1066-'[2]$ лето'!r1066-'[2]$ лето'!p1066-'[2]$ лето'!o1066-'[2]$ лето'!n1066-'[2]$ лето'!m1066-'[2]$ лето'!l1066+'[2]$ лето'!k1066+'[2]$ лето'!q1066+'[2]$ лето'!w1066+'[2]$ лето'!ac1066+'[2]$ лето'!ai1066+'[2]$ лето'!ao1066</f>
        <v>8</v>
      </c>
      <c r="I1066" s="109" t="n">
        <f aca="false">'[2]$ лето'!ay1066*1.1</f>
        <v>4158</v>
      </c>
      <c r="J1066" s="85" t="n">
        <v>2018</v>
      </c>
    </row>
    <row r="1067" customFormat="false" ht="15" hidden="false" customHeight="false" outlineLevel="0" collapsed="false">
      <c r="A1067" s="115" t="s">
        <v>1628</v>
      </c>
      <c r="B1067" s="115" t="s">
        <v>586</v>
      </c>
      <c r="C1067" s="107" t="s">
        <v>1648</v>
      </c>
      <c r="D1067" s="107"/>
      <c r="E1067" s="116"/>
      <c r="F1067" s="116"/>
      <c r="G1067" s="108" t="s">
        <v>520</v>
      </c>
      <c r="H1067" s="105" t="n">
        <f aca="false">'[2]$ лето'!j1067-'[2]$ лето'!au1067-'[2]$ лето'!at1067-'[2]$ лето'!as1067-'[2]$ лето'!ar1067-'[2]$ лето'!aq1067-'[2]$ лето'!ap1067-'[2]$ лето'!an1067-'[2]$ лето'!am1067-'[2]$ лето'!al1067-'[2]$ лето'!ak1067-'[2]$ лето'!aj1067-'[2]$ лето'!ah1067-'[2]$ лето'!ag1067-'[2]$ лето'!af1067-'[2]$ лето'!ae1067-'[2]$ лето'!ad1067-'[2]$ лето'!ab1067-'[2]$ лето'!aa1067-'[2]$ лето'!z1067-'[2]$ лето'!y1067-'[2]$ лето'!x1067-'[2]$ лето'!v1067-'[2]$ лето'!u1067-'[2]$ лето'!t1067-'[2]$ лето'!s1067-'[2]$ лето'!r1067-'[2]$ лето'!p1067-'[2]$ лето'!o1067-'[2]$ лето'!n1067-'[2]$ лето'!m1067-'[2]$ лето'!l1067+'[2]$ лето'!k1067+'[2]$ лето'!q1067+'[2]$ лето'!w1067+'[2]$ лето'!ac1067+'[2]$ лето'!ai1067+'[2]$ лето'!ao1067</f>
        <v>2</v>
      </c>
      <c r="I1067" s="109" t="n">
        <f aca="false">'[2]$ лето'!ay1067*1.1</f>
        <v>1416.8</v>
      </c>
      <c r="J1067" s="85" t="n">
        <v>2018</v>
      </c>
    </row>
    <row r="1068" customFormat="false" ht="15" hidden="true" customHeight="false" outlineLevel="0" collapsed="false">
      <c r="A1068" s="115" t="s">
        <v>1628</v>
      </c>
      <c r="B1068" s="115" t="s">
        <v>762</v>
      </c>
      <c r="C1068" s="107" t="s">
        <v>1649</v>
      </c>
      <c r="D1068" s="107"/>
      <c r="E1068" s="107"/>
      <c r="F1068" s="107"/>
      <c r="G1068" s="108" t="s">
        <v>631</v>
      </c>
      <c r="H1068" s="105" t="n">
        <f aca="false">'[2]$ лето'!j1068-'[2]$ лето'!au1068-'[2]$ лето'!at1068-'[2]$ лето'!as1068-'[2]$ лето'!ar1068-'[2]$ лето'!aq1068-'[2]$ лето'!ap1068-'[2]$ лето'!an1068-'[2]$ лето'!am1068-'[2]$ лето'!al1068-'[2]$ лето'!ak1068-'[2]$ лето'!aj1068-'[2]$ лето'!ah1068-'[2]$ лето'!ag1068-'[2]$ лето'!af1068-'[2]$ лето'!ae1068-'[2]$ лето'!ad1068-'[2]$ лето'!ab1068-'[2]$ лето'!aa1068-'[2]$ лето'!z1068-'[2]$ лето'!y1068-'[2]$ лето'!x1068-'[2]$ лето'!v1068-'[2]$ лето'!u1068-'[2]$ лето'!t1068-'[2]$ лето'!s1068-'[2]$ лето'!r1068-'[2]$ лето'!p1068-'[2]$ лето'!o1068-'[2]$ лето'!n1068-'[2]$ лето'!m1068-'[2]$ лето'!l1068+'[2]$ лето'!k1068+'[2]$ лето'!q1068+'[2]$ лето'!w1068+'[2]$ лето'!ac1068+'[2]$ лето'!ai1068+'[2]$ лето'!ao1068</f>
        <v>0</v>
      </c>
      <c r="I1068" s="109" t="n">
        <f aca="false">'[2]$ лето'!ay1068*1.1</f>
        <v>1848</v>
      </c>
      <c r="J1068" s="85" t="n">
        <v>2017</v>
      </c>
    </row>
    <row r="1069" customFormat="false" ht="15" hidden="true" customHeight="false" outlineLevel="0" collapsed="false">
      <c r="A1069" s="115" t="s">
        <v>1628</v>
      </c>
      <c r="B1069" s="115" t="s">
        <v>617</v>
      </c>
      <c r="C1069" s="107" t="s">
        <v>1650</v>
      </c>
      <c r="D1069" s="107"/>
      <c r="E1069" s="116"/>
      <c r="F1069" s="116"/>
      <c r="G1069" s="108"/>
      <c r="H1069" s="105" t="n">
        <f aca="false">'[2]$ лето'!j1069-'[2]$ лето'!au1069-'[2]$ лето'!at1069-'[2]$ лето'!as1069-'[2]$ лето'!ar1069-'[2]$ лето'!aq1069-'[2]$ лето'!ap1069-'[2]$ лето'!an1069-'[2]$ лето'!am1069-'[2]$ лето'!al1069-'[2]$ лето'!ak1069-'[2]$ лето'!aj1069-'[2]$ лето'!ah1069-'[2]$ лето'!ag1069-'[2]$ лето'!af1069-'[2]$ лето'!ae1069-'[2]$ лето'!ad1069-'[2]$ лето'!ab1069-'[2]$ лето'!aa1069-'[2]$ лето'!z1069-'[2]$ лето'!y1069-'[2]$ лето'!x1069-'[2]$ лето'!v1069-'[2]$ лето'!u1069-'[2]$ лето'!t1069-'[2]$ лето'!s1069-'[2]$ лето'!r1069-'[2]$ лето'!p1069-'[2]$ лето'!o1069-'[2]$ лето'!n1069-'[2]$ лето'!m1069-'[2]$ лето'!l1069+'[2]$ лето'!k1069+'[2]$ лето'!q1069+'[2]$ лето'!w1069+'[2]$ лето'!ac1069+'[2]$ лето'!ai1069+'[2]$ лето'!ao1069</f>
        <v>0</v>
      </c>
      <c r="I1069" s="109" t="n">
        <f aca="false">'[2]$ лето'!ay1069*1.1</f>
        <v>1540</v>
      </c>
    </row>
    <row r="1070" customFormat="false" ht="15" hidden="true" customHeight="false" outlineLevel="0" collapsed="false">
      <c r="A1070" s="115" t="s">
        <v>1628</v>
      </c>
      <c r="B1070" s="115" t="s">
        <v>617</v>
      </c>
      <c r="C1070" s="107" t="s">
        <v>1651</v>
      </c>
      <c r="D1070" s="107"/>
      <c r="E1070" s="107" t="n">
        <v>98</v>
      </c>
      <c r="F1070" s="107" t="s">
        <v>814</v>
      </c>
      <c r="G1070" s="108"/>
      <c r="H1070" s="105" t="n">
        <f aca="false">'[2]$ лето'!j1070-'[2]$ лето'!au1070-'[2]$ лето'!at1070-'[2]$ лето'!as1070-'[2]$ лето'!ar1070-'[2]$ лето'!aq1070-'[2]$ лето'!ap1070-'[2]$ лето'!an1070-'[2]$ лето'!am1070-'[2]$ лето'!al1070-'[2]$ лето'!ak1070-'[2]$ лето'!aj1070-'[2]$ лето'!ah1070-'[2]$ лето'!ag1070-'[2]$ лето'!af1070-'[2]$ лето'!ae1070-'[2]$ лето'!ad1070-'[2]$ лето'!ab1070-'[2]$ лето'!aa1070-'[2]$ лето'!z1070-'[2]$ лето'!y1070-'[2]$ лето'!x1070-'[2]$ лето'!v1070-'[2]$ лето'!u1070-'[2]$ лето'!t1070-'[2]$ лето'!s1070-'[2]$ лето'!r1070-'[2]$ лето'!p1070-'[2]$ лето'!o1070-'[2]$ лето'!n1070-'[2]$ лето'!m1070-'[2]$ лето'!l1070+'[2]$ лето'!k1070+'[2]$ лето'!q1070+'[2]$ лето'!w1070+'[2]$ лето'!ac1070+'[2]$ лето'!ai1070+'[2]$ лето'!ao1070</f>
        <v>0</v>
      </c>
      <c r="I1070" s="109" t="n">
        <f aca="false">'[2]$ лето'!ay1070*1.1</f>
        <v>1663.2</v>
      </c>
      <c r="J1070" s="85" t="n">
        <v>2018</v>
      </c>
    </row>
    <row r="1071" customFormat="false" ht="15" hidden="false" customHeight="false" outlineLevel="0" collapsed="false">
      <c r="A1071" s="115" t="s">
        <v>1628</v>
      </c>
      <c r="B1071" s="115" t="s">
        <v>833</v>
      </c>
      <c r="C1071" s="107" t="s">
        <v>1652</v>
      </c>
      <c r="D1071" s="107"/>
      <c r="E1071" s="116"/>
      <c r="F1071" s="116"/>
      <c r="G1071" s="108"/>
      <c r="H1071" s="105" t="n">
        <f aca="false">'[2]$ лето'!j1071-'[2]$ лето'!au1071-'[2]$ лето'!at1071-'[2]$ лето'!as1071-'[2]$ лето'!ar1071-'[2]$ лето'!aq1071-'[2]$ лето'!ap1071-'[2]$ лето'!an1071-'[2]$ лето'!am1071-'[2]$ лето'!al1071-'[2]$ лето'!ak1071-'[2]$ лето'!aj1071-'[2]$ лето'!ah1071-'[2]$ лето'!ag1071-'[2]$ лето'!af1071-'[2]$ лето'!ae1071-'[2]$ лето'!ad1071-'[2]$ лето'!ab1071-'[2]$ лето'!aa1071-'[2]$ лето'!z1071-'[2]$ лето'!y1071-'[2]$ лето'!x1071-'[2]$ лето'!v1071-'[2]$ лето'!u1071-'[2]$ лето'!t1071-'[2]$ лето'!s1071-'[2]$ лето'!r1071-'[2]$ лето'!p1071-'[2]$ лето'!o1071-'[2]$ лето'!n1071-'[2]$ лето'!m1071-'[2]$ лето'!l1071+'[2]$ лето'!k1071+'[2]$ лето'!q1071+'[2]$ лето'!w1071+'[2]$ лето'!ac1071+'[2]$ лето'!ai1071+'[2]$ лето'!ao1071</f>
        <v>4</v>
      </c>
      <c r="I1071" s="109" t="n">
        <f aca="false">'[2]$ лето'!ay1071*1.1</f>
        <v>1540</v>
      </c>
    </row>
    <row r="1072" customFormat="false" ht="15" hidden="true" customHeight="false" outlineLevel="0" collapsed="false">
      <c r="A1072" s="115" t="s">
        <v>1628</v>
      </c>
      <c r="B1072" s="115" t="s">
        <v>623</v>
      </c>
      <c r="C1072" s="107" t="s">
        <v>1653</v>
      </c>
      <c r="D1072" s="107"/>
      <c r="E1072" s="107"/>
      <c r="F1072" s="107"/>
      <c r="G1072" s="108"/>
      <c r="H1072" s="105" t="n">
        <f aca="false">'[2]$ лето'!j1072-'[2]$ лето'!au1072-'[2]$ лето'!at1072-'[2]$ лето'!as1072-'[2]$ лето'!ar1072-'[2]$ лето'!aq1072-'[2]$ лето'!ap1072-'[2]$ лето'!an1072-'[2]$ лето'!am1072-'[2]$ лето'!al1072-'[2]$ лето'!ak1072-'[2]$ лето'!aj1072-'[2]$ лето'!ah1072-'[2]$ лето'!ag1072-'[2]$ лето'!af1072-'[2]$ лето'!ae1072-'[2]$ лето'!ad1072-'[2]$ лето'!ab1072-'[2]$ лето'!aa1072-'[2]$ лето'!z1072-'[2]$ лето'!y1072-'[2]$ лето'!x1072-'[2]$ лето'!v1072-'[2]$ лето'!u1072-'[2]$ лето'!t1072-'[2]$ лето'!s1072-'[2]$ лето'!r1072-'[2]$ лето'!p1072-'[2]$ лето'!o1072-'[2]$ лето'!n1072-'[2]$ лето'!m1072-'[2]$ лето'!l1072+'[2]$ лето'!k1072+'[2]$ лето'!q1072+'[2]$ лето'!w1072+'[2]$ лето'!ac1072+'[2]$ лето'!ai1072+'[2]$ лето'!ao1072</f>
        <v>0</v>
      </c>
      <c r="I1072" s="109" t="n">
        <f aca="false">'[2]$ лето'!ay1072*1.1</f>
        <v>1509.2</v>
      </c>
    </row>
    <row r="1073" customFormat="false" ht="15" hidden="false" customHeight="false" outlineLevel="0" collapsed="false">
      <c r="A1073" s="115" t="s">
        <v>1628</v>
      </c>
      <c r="B1073" s="115" t="s">
        <v>589</v>
      </c>
      <c r="C1073" s="116" t="s">
        <v>1654</v>
      </c>
      <c r="D1073" s="116"/>
      <c r="E1073" s="116"/>
      <c r="F1073" s="116"/>
      <c r="G1073" s="108"/>
      <c r="H1073" s="105" t="n">
        <f aca="false">'[2]$ лето'!j1073-'[2]$ лето'!au1073-'[2]$ лето'!at1073-'[2]$ лето'!as1073-'[2]$ лето'!ar1073-'[2]$ лето'!aq1073-'[2]$ лето'!ap1073-'[2]$ лето'!an1073-'[2]$ лето'!am1073-'[2]$ лето'!al1073-'[2]$ лето'!ak1073-'[2]$ лето'!aj1073-'[2]$ лето'!ah1073-'[2]$ лето'!ag1073-'[2]$ лето'!af1073-'[2]$ лето'!ae1073-'[2]$ лето'!ad1073-'[2]$ лето'!ab1073-'[2]$ лето'!aa1073-'[2]$ лето'!z1073-'[2]$ лето'!y1073-'[2]$ лето'!x1073-'[2]$ лето'!v1073-'[2]$ лето'!u1073-'[2]$ лето'!t1073-'[2]$ лето'!s1073-'[2]$ лето'!r1073-'[2]$ лето'!p1073-'[2]$ лето'!o1073-'[2]$ лето'!n1073-'[2]$ лето'!m1073-'[2]$ лето'!l1073+'[2]$ лето'!k1073+'[2]$ лето'!q1073+'[2]$ лето'!w1073+'[2]$ лето'!ac1073+'[2]$ лето'!ai1073+'[2]$ лето'!ao1073</f>
        <v>8</v>
      </c>
      <c r="I1073" s="109" t="n">
        <f aca="false">'[2]$ лето'!ay1073*1.1</f>
        <v>2967.8</v>
      </c>
    </row>
    <row r="1074" customFormat="false" ht="15" hidden="true" customHeight="false" outlineLevel="0" collapsed="false">
      <c r="A1074" s="115" t="s">
        <v>1628</v>
      </c>
      <c r="B1074" s="115" t="s">
        <v>589</v>
      </c>
      <c r="C1074" s="116" t="s">
        <v>1655</v>
      </c>
      <c r="D1074" s="116"/>
      <c r="E1074" s="116"/>
      <c r="F1074" s="116"/>
      <c r="G1074" s="108"/>
      <c r="H1074" s="105" t="n">
        <f aca="false">'[2]$ лето'!j1074-'[2]$ лето'!au1074-'[2]$ лето'!at1074-'[2]$ лето'!as1074-'[2]$ лето'!ar1074-'[2]$ лето'!aq1074-'[2]$ лето'!ap1074-'[2]$ лето'!an1074-'[2]$ лето'!am1074-'[2]$ лето'!al1074-'[2]$ лето'!ak1074-'[2]$ лето'!aj1074-'[2]$ лето'!ah1074-'[2]$ лето'!ag1074-'[2]$ лето'!af1074-'[2]$ лето'!ae1074-'[2]$ лето'!ad1074-'[2]$ лето'!ab1074-'[2]$ лето'!aa1074-'[2]$ лето'!z1074-'[2]$ лето'!y1074-'[2]$ лето'!x1074-'[2]$ лето'!v1074-'[2]$ лето'!u1074-'[2]$ лето'!t1074-'[2]$ лето'!s1074-'[2]$ лето'!r1074-'[2]$ лето'!p1074-'[2]$ лето'!o1074-'[2]$ лето'!n1074-'[2]$ лето'!m1074-'[2]$ лето'!l1074+'[2]$ лето'!k1074+'[2]$ лето'!q1074+'[2]$ лето'!w1074+'[2]$ лето'!ac1074+'[2]$ лето'!ai1074+'[2]$ лето'!ao1074</f>
        <v>0</v>
      </c>
      <c r="I1074" s="109" t="n">
        <f aca="false">'[2]$ лето'!ay1074*1.1</f>
        <v>2402.4</v>
      </c>
      <c r="J1074" s="85" t="n">
        <v>2018</v>
      </c>
    </row>
    <row r="1075" customFormat="false" ht="15" hidden="false" customHeight="false" outlineLevel="0" collapsed="false">
      <c r="A1075" s="115" t="s">
        <v>1628</v>
      </c>
      <c r="B1075" s="115" t="s">
        <v>589</v>
      </c>
      <c r="C1075" s="116" t="s">
        <v>1656</v>
      </c>
      <c r="D1075" s="116"/>
      <c r="E1075" s="116"/>
      <c r="F1075" s="116"/>
      <c r="G1075" s="108" t="s">
        <v>927</v>
      </c>
      <c r="H1075" s="105" t="n">
        <f aca="false">'[2]$ лето'!j1075-'[2]$ лето'!au1075-'[2]$ лето'!at1075-'[2]$ лето'!as1075-'[2]$ лето'!ar1075-'[2]$ лето'!aq1075-'[2]$ лето'!ap1075-'[2]$ лето'!an1075-'[2]$ лето'!am1075-'[2]$ лето'!al1075-'[2]$ лето'!ak1075-'[2]$ лето'!aj1075-'[2]$ лето'!ah1075-'[2]$ лето'!ag1075-'[2]$ лето'!af1075-'[2]$ лето'!ae1075-'[2]$ лето'!ad1075-'[2]$ лето'!ab1075-'[2]$ лето'!aa1075-'[2]$ лето'!z1075-'[2]$ лето'!y1075-'[2]$ лето'!x1075-'[2]$ лето'!v1075-'[2]$ лето'!u1075-'[2]$ лето'!t1075-'[2]$ лето'!s1075-'[2]$ лето'!r1075-'[2]$ лето'!p1075-'[2]$ лето'!o1075-'[2]$ лето'!n1075-'[2]$ лето'!m1075-'[2]$ лето'!l1075+'[2]$ лето'!k1075+'[2]$ лето'!q1075+'[2]$ лето'!w1075+'[2]$ лето'!ac1075+'[2]$ лето'!ai1075+'[2]$ лето'!ao1075</f>
        <v>4</v>
      </c>
      <c r="I1075" s="109" t="n">
        <f aca="false">'[2]$ лето'!ay1075*1.1</f>
        <v>2365</v>
      </c>
      <c r="J1075" s="85" t="n">
        <v>2016</v>
      </c>
    </row>
    <row r="1076" customFormat="false" ht="15" hidden="false" customHeight="false" outlineLevel="0" collapsed="false">
      <c r="A1076" s="115" t="s">
        <v>1628</v>
      </c>
      <c r="B1076" s="115" t="s">
        <v>564</v>
      </c>
      <c r="C1076" s="116" t="s">
        <v>1657</v>
      </c>
      <c r="D1076" s="116"/>
      <c r="E1076" s="116"/>
      <c r="F1076" s="116"/>
      <c r="G1076" s="108" t="s">
        <v>520</v>
      </c>
      <c r="H1076" s="105" t="n">
        <f aca="false">'[2]$ лето'!j1076-'[2]$ лето'!au1076-'[2]$ лето'!at1076-'[2]$ лето'!as1076-'[2]$ лето'!ar1076-'[2]$ лето'!aq1076-'[2]$ лето'!ap1076-'[2]$ лето'!an1076-'[2]$ лето'!am1076-'[2]$ лето'!al1076-'[2]$ лето'!ak1076-'[2]$ лето'!aj1076-'[2]$ лето'!ah1076-'[2]$ лето'!ag1076-'[2]$ лето'!af1076-'[2]$ лето'!ae1076-'[2]$ лето'!ad1076-'[2]$ лето'!ab1076-'[2]$ лето'!aa1076-'[2]$ лето'!z1076-'[2]$ лето'!y1076-'[2]$ лето'!x1076-'[2]$ лето'!v1076-'[2]$ лето'!u1076-'[2]$ лето'!t1076-'[2]$ лето'!s1076-'[2]$ лето'!r1076-'[2]$ лето'!p1076-'[2]$ лето'!o1076-'[2]$ лето'!n1076-'[2]$ лето'!m1076-'[2]$ лето'!l1076+'[2]$ лето'!k1076+'[2]$ лето'!q1076+'[2]$ лето'!w1076+'[2]$ лето'!ac1076+'[2]$ лето'!ai1076+'[2]$ лето'!ao1076</f>
        <v>8</v>
      </c>
      <c r="I1076" s="109" t="n">
        <f aca="false">'[2]$ лето'!ay1076*1.1</f>
        <v>1478.4</v>
      </c>
      <c r="J1076" s="85" t="n">
        <v>2017</v>
      </c>
    </row>
    <row r="1077" customFormat="false" ht="15" hidden="false" customHeight="false" outlineLevel="0" collapsed="false">
      <c r="A1077" s="115" t="s">
        <v>1628</v>
      </c>
      <c r="B1077" s="115" t="s">
        <v>564</v>
      </c>
      <c r="C1077" s="116" t="s">
        <v>1626</v>
      </c>
      <c r="D1077" s="116"/>
      <c r="E1077" s="116"/>
      <c r="F1077" s="116"/>
      <c r="G1077" s="108" t="s">
        <v>520</v>
      </c>
      <c r="H1077" s="105" t="n">
        <f aca="false">'[2]$ лето'!j1077-'[2]$ лето'!au1077-'[2]$ лето'!at1077-'[2]$ лето'!as1077-'[2]$ лето'!ar1077-'[2]$ лето'!aq1077-'[2]$ лето'!ap1077-'[2]$ лето'!an1077-'[2]$ лето'!am1077-'[2]$ лето'!al1077-'[2]$ лето'!ak1077-'[2]$ лето'!aj1077-'[2]$ лето'!ah1077-'[2]$ лето'!ag1077-'[2]$ лето'!af1077-'[2]$ лето'!ae1077-'[2]$ лето'!ad1077-'[2]$ лето'!ab1077-'[2]$ лето'!aa1077-'[2]$ лето'!z1077-'[2]$ лето'!y1077-'[2]$ лето'!x1077-'[2]$ лето'!v1077-'[2]$ лето'!u1077-'[2]$ лето'!t1077-'[2]$ лето'!s1077-'[2]$ лето'!r1077-'[2]$ лето'!p1077-'[2]$ лето'!o1077-'[2]$ лето'!n1077-'[2]$ лето'!m1077-'[2]$ лето'!l1077+'[2]$ лето'!k1077+'[2]$ лето'!q1077+'[2]$ лето'!w1077+'[2]$ лето'!ac1077+'[2]$ лето'!ai1077+'[2]$ лето'!ao1077</f>
        <v>4</v>
      </c>
      <c r="I1077" s="109" t="n">
        <f aca="false">'[2]$ лето'!ay1077*1.1</f>
        <v>1478.4</v>
      </c>
      <c r="J1077" s="85" t="n">
        <v>2017</v>
      </c>
    </row>
    <row r="1078" customFormat="false" ht="15" hidden="true" customHeight="false" outlineLevel="0" collapsed="false">
      <c r="A1078" s="115" t="s">
        <v>1628</v>
      </c>
      <c r="B1078" s="115" t="s">
        <v>981</v>
      </c>
      <c r="C1078" s="107" t="s">
        <v>1658</v>
      </c>
      <c r="D1078" s="107"/>
      <c r="E1078" s="107"/>
      <c r="F1078" s="107"/>
      <c r="G1078" s="108"/>
      <c r="H1078" s="105" t="n">
        <f aca="false">'[2]$ лето'!j1078-'[2]$ лето'!au1078-'[2]$ лето'!at1078-'[2]$ лето'!as1078-'[2]$ лето'!ar1078-'[2]$ лето'!aq1078-'[2]$ лето'!ap1078-'[2]$ лето'!an1078-'[2]$ лето'!am1078-'[2]$ лето'!al1078-'[2]$ лето'!ak1078-'[2]$ лето'!aj1078-'[2]$ лето'!ah1078-'[2]$ лето'!ag1078-'[2]$ лето'!af1078-'[2]$ лето'!ae1078-'[2]$ лето'!ad1078-'[2]$ лето'!ab1078-'[2]$ лето'!aa1078-'[2]$ лето'!z1078-'[2]$ лето'!y1078-'[2]$ лето'!x1078-'[2]$ лето'!v1078-'[2]$ лето'!u1078-'[2]$ лето'!t1078-'[2]$ лето'!s1078-'[2]$ лето'!r1078-'[2]$ лето'!p1078-'[2]$ лето'!o1078-'[2]$ лето'!n1078-'[2]$ лето'!m1078-'[2]$ лето'!l1078+'[2]$ лето'!k1078+'[2]$ лето'!q1078+'[2]$ лето'!w1078+'[2]$ лето'!ac1078+'[2]$ лето'!ai1078+'[2]$ лето'!ao1078</f>
        <v>0</v>
      </c>
      <c r="I1078" s="109" t="n">
        <f aca="false">'[2]$ лето'!ay1078*1.1</f>
        <v>3141.6</v>
      </c>
      <c r="J1078" s="85" t="n">
        <v>2017</v>
      </c>
    </row>
    <row r="1079" customFormat="false" ht="15" hidden="true" customHeight="false" outlineLevel="0" collapsed="false">
      <c r="A1079" s="115" t="s">
        <v>1659</v>
      </c>
      <c r="B1079" s="115" t="s">
        <v>1528</v>
      </c>
      <c r="C1079" s="107" t="s">
        <v>1660</v>
      </c>
      <c r="D1079" s="107"/>
      <c r="E1079" s="107"/>
      <c r="F1079" s="107"/>
      <c r="G1079" s="108" t="s">
        <v>563</v>
      </c>
      <c r="H1079" s="105" t="n">
        <f aca="false">'[2]$ лето'!j1079-'[2]$ лето'!au1079-'[2]$ лето'!at1079-'[2]$ лето'!as1079-'[2]$ лето'!ar1079-'[2]$ лето'!aq1079-'[2]$ лето'!ap1079-'[2]$ лето'!an1079-'[2]$ лето'!am1079-'[2]$ лето'!al1079-'[2]$ лето'!ak1079-'[2]$ лето'!aj1079-'[2]$ лето'!ah1079-'[2]$ лето'!ag1079-'[2]$ лето'!af1079-'[2]$ лето'!ae1079-'[2]$ лето'!ad1079-'[2]$ лето'!ab1079-'[2]$ лето'!aa1079-'[2]$ лето'!z1079-'[2]$ лето'!y1079-'[2]$ лето'!x1079-'[2]$ лето'!v1079-'[2]$ лето'!u1079-'[2]$ лето'!t1079-'[2]$ лето'!s1079-'[2]$ лето'!r1079-'[2]$ лето'!p1079-'[2]$ лето'!o1079-'[2]$ лето'!n1079-'[2]$ лето'!m1079-'[2]$ лето'!l1079+'[2]$ лето'!k1079+'[2]$ лето'!q1079+'[2]$ лето'!w1079+'[2]$ лето'!ac1079+'[2]$ лето'!ai1079+'[2]$ лето'!ao1079</f>
        <v>0</v>
      </c>
      <c r="I1079" s="109" t="n">
        <f aca="false">'[2]$ лето'!ay1079*1.1</f>
        <v>1940.4</v>
      </c>
    </row>
    <row r="1080" customFormat="false" ht="15" hidden="true" customHeight="false" outlineLevel="0" collapsed="false">
      <c r="A1080" s="115" t="s">
        <v>1659</v>
      </c>
      <c r="B1080" s="115" t="s">
        <v>991</v>
      </c>
      <c r="C1080" s="107" t="s">
        <v>1031</v>
      </c>
      <c r="D1080" s="107"/>
      <c r="E1080" s="107"/>
      <c r="F1080" s="107"/>
      <c r="G1080" s="108" t="s">
        <v>520</v>
      </c>
      <c r="H1080" s="105" t="n">
        <f aca="false">'[2]$ лето'!j1080-'[2]$ лето'!au1080-'[2]$ лето'!at1080-'[2]$ лето'!as1080-'[2]$ лето'!ar1080-'[2]$ лето'!aq1080-'[2]$ лето'!ap1080-'[2]$ лето'!an1080-'[2]$ лето'!am1080-'[2]$ лето'!al1080-'[2]$ лето'!ak1080-'[2]$ лето'!aj1080-'[2]$ лето'!ah1080-'[2]$ лето'!ag1080-'[2]$ лето'!af1080-'[2]$ лето'!ae1080-'[2]$ лето'!ad1080-'[2]$ лето'!ab1080-'[2]$ лето'!aa1080-'[2]$ лето'!z1080-'[2]$ лето'!y1080-'[2]$ лето'!x1080-'[2]$ лето'!v1080-'[2]$ лето'!u1080-'[2]$ лето'!t1080-'[2]$ лето'!s1080-'[2]$ лето'!r1080-'[2]$ лето'!p1080-'[2]$ лето'!o1080-'[2]$ лето'!n1080-'[2]$ лето'!m1080-'[2]$ лето'!l1080+'[2]$ лето'!k1080+'[2]$ лето'!q1080+'[2]$ лето'!w1080+'[2]$ лето'!ac1080+'[2]$ лето'!ai1080+'[2]$ лето'!ao1080</f>
        <v>0</v>
      </c>
      <c r="I1080" s="109" t="n">
        <f aca="false">'[2]$ лето'!ay1080*1.1</f>
        <v>1694</v>
      </c>
    </row>
    <row r="1081" customFormat="false" ht="15" hidden="true" customHeight="false" outlineLevel="0" collapsed="false">
      <c r="A1081" s="115" t="s">
        <v>1659</v>
      </c>
      <c r="B1081" s="115" t="s">
        <v>601</v>
      </c>
      <c r="C1081" s="107" t="s">
        <v>1661</v>
      </c>
      <c r="D1081" s="107"/>
      <c r="E1081" s="107"/>
      <c r="F1081" s="107"/>
      <c r="G1081" s="108"/>
      <c r="H1081" s="105" t="n">
        <f aca="false">'[2]$ лето'!j1081-'[2]$ лето'!au1081-'[2]$ лето'!at1081-'[2]$ лето'!as1081-'[2]$ лето'!ar1081-'[2]$ лето'!aq1081-'[2]$ лето'!ap1081-'[2]$ лето'!an1081-'[2]$ лето'!am1081-'[2]$ лето'!al1081-'[2]$ лето'!ak1081-'[2]$ лето'!aj1081-'[2]$ лето'!ah1081-'[2]$ лето'!ag1081-'[2]$ лето'!af1081-'[2]$ лето'!ae1081-'[2]$ лето'!ad1081-'[2]$ лето'!ab1081-'[2]$ лето'!aa1081-'[2]$ лето'!z1081-'[2]$ лето'!y1081-'[2]$ лето'!x1081-'[2]$ лето'!v1081-'[2]$ лето'!u1081-'[2]$ лето'!t1081-'[2]$ лето'!s1081-'[2]$ лето'!r1081-'[2]$ лето'!p1081-'[2]$ лето'!o1081-'[2]$ лето'!n1081-'[2]$ лето'!m1081-'[2]$ лето'!l1081+'[2]$ лето'!k1081+'[2]$ лето'!q1081+'[2]$ лето'!w1081+'[2]$ лето'!ac1081+'[2]$ лето'!ai1081+'[2]$ лето'!ao1081</f>
        <v>0</v>
      </c>
      <c r="I1081" s="109" t="n">
        <f aca="false">'[2]$ лето'!ay1081*1.1</f>
        <v>3449.6</v>
      </c>
    </row>
    <row r="1082" customFormat="false" ht="15" hidden="false" customHeight="false" outlineLevel="0" collapsed="false">
      <c r="A1082" s="129" t="s">
        <v>1659</v>
      </c>
      <c r="B1082" s="129" t="s">
        <v>601</v>
      </c>
      <c r="C1082" s="130" t="s">
        <v>1662</v>
      </c>
      <c r="D1082" s="130"/>
      <c r="E1082" s="131"/>
      <c r="F1082" s="131"/>
      <c r="G1082" s="132"/>
      <c r="H1082" s="105" t="n">
        <f aca="false">'[2]$ лето'!j1082-'[2]$ лето'!au1082-'[2]$ лето'!at1082-'[2]$ лето'!as1082-'[2]$ лето'!ar1082-'[2]$ лето'!aq1082-'[2]$ лето'!ap1082-'[2]$ лето'!an1082-'[2]$ лето'!am1082-'[2]$ лето'!al1082-'[2]$ лето'!ak1082-'[2]$ лето'!aj1082-'[2]$ лето'!ah1082-'[2]$ лето'!ag1082-'[2]$ лето'!af1082-'[2]$ лето'!ae1082-'[2]$ лето'!ad1082-'[2]$ лето'!ab1082-'[2]$ лето'!aa1082-'[2]$ лето'!z1082-'[2]$ лето'!y1082-'[2]$ лето'!x1082-'[2]$ лето'!v1082-'[2]$ лето'!u1082-'[2]$ лето'!t1082-'[2]$ лето'!s1082-'[2]$ лето'!r1082-'[2]$ лето'!p1082-'[2]$ лето'!o1082-'[2]$ лето'!n1082-'[2]$ лето'!m1082-'[2]$ лето'!l1082+'[2]$ лето'!k1082+'[2]$ лето'!q1082+'[2]$ лето'!w1082+'[2]$ лето'!ac1082+'[2]$ лето'!ai1082+'[2]$ лето'!ao1082</f>
        <v>4</v>
      </c>
      <c r="I1082" s="133" t="n">
        <f aca="false">'[2]$ лето'!ay1082*1.1</f>
        <v>3410</v>
      </c>
      <c r="J1082" s="142"/>
    </row>
    <row r="1083" customFormat="false" ht="15" hidden="true" customHeight="false" outlineLevel="0" collapsed="false">
      <c r="A1083" s="115" t="s">
        <v>1659</v>
      </c>
      <c r="B1083" s="115" t="s">
        <v>658</v>
      </c>
      <c r="C1083" s="116" t="s">
        <v>1663</v>
      </c>
      <c r="D1083" s="116"/>
      <c r="E1083" s="116"/>
      <c r="F1083" s="116"/>
      <c r="G1083" s="108"/>
      <c r="H1083" s="105" t="n">
        <f aca="false">'[2]$ лето'!j1083-'[2]$ лето'!au1083-'[2]$ лето'!at1083-'[2]$ лето'!as1083-'[2]$ лето'!ar1083-'[2]$ лето'!aq1083-'[2]$ лето'!ap1083-'[2]$ лето'!an1083-'[2]$ лето'!am1083-'[2]$ лето'!al1083-'[2]$ лето'!ak1083-'[2]$ лето'!aj1083-'[2]$ лето'!ah1083-'[2]$ лето'!ag1083-'[2]$ лето'!af1083-'[2]$ лето'!ae1083-'[2]$ лето'!ad1083-'[2]$ лето'!ab1083-'[2]$ лето'!aa1083-'[2]$ лето'!z1083-'[2]$ лето'!y1083-'[2]$ лето'!x1083-'[2]$ лето'!v1083-'[2]$ лето'!u1083-'[2]$ лето'!t1083-'[2]$ лето'!s1083-'[2]$ лето'!r1083-'[2]$ лето'!p1083-'[2]$ лето'!o1083-'[2]$ лето'!n1083-'[2]$ лето'!m1083-'[2]$ лето'!l1083+'[2]$ лето'!k1083+'[2]$ лето'!q1083+'[2]$ лето'!w1083+'[2]$ лето'!ac1083+'[2]$ лето'!ai1083+'[2]$ лето'!ao1083</f>
        <v>0</v>
      </c>
      <c r="I1083" s="109" t="n">
        <f aca="false">'[2]$ лето'!ay1083*1.1</f>
        <v>3850</v>
      </c>
      <c r="J1083" s="85" t="n">
        <v>2018</v>
      </c>
    </row>
    <row r="1084" customFormat="false" ht="15" hidden="true" customHeight="false" outlineLevel="0" collapsed="false">
      <c r="A1084" s="115" t="s">
        <v>1659</v>
      </c>
      <c r="B1084" s="115" t="s">
        <v>948</v>
      </c>
      <c r="C1084" s="116" t="s">
        <v>1664</v>
      </c>
      <c r="D1084" s="116"/>
      <c r="E1084" s="116"/>
      <c r="F1084" s="116"/>
      <c r="G1084" s="108"/>
      <c r="H1084" s="105" t="n">
        <f aca="false">'[2]$ лето'!j1084-'[2]$ лето'!au1084-'[2]$ лето'!at1084-'[2]$ лето'!as1084-'[2]$ лето'!ar1084-'[2]$ лето'!aq1084-'[2]$ лето'!ap1084-'[2]$ лето'!an1084-'[2]$ лето'!am1084-'[2]$ лето'!al1084-'[2]$ лето'!ak1084-'[2]$ лето'!aj1084-'[2]$ лето'!ah1084-'[2]$ лето'!ag1084-'[2]$ лето'!af1084-'[2]$ лето'!ae1084-'[2]$ лето'!ad1084-'[2]$ лето'!ab1084-'[2]$ лето'!aa1084-'[2]$ лето'!z1084-'[2]$ лето'!y1084-'[2]$ лето'!x1084-'[2]$ лето'!v1084-'[2]$ лето'!u1084-'[2]$ лето'!t1084-'[2]$ лето'!s1084-'[2]$ лето'!r1084-'[2]$ лето'!p1084-'[2]$ лето'!o1084-'[2]$ лето'!n1084-'[2]$ лето'!m1084-'[2]$ лето'!l1084+'[2]$ лето'!k1084+'[2]$ лето'!q1084+'[2]$ лето'!w1084+'[2]$ лето'!ac1084+'[2]$ лето'!ai1084+'[2]$ лето'!ao1084</f>
        <v>0</v>
      </c>
      <c r="I1084" s="109" t="n">
        <f aca="false">'[2]$ лето'!ay1084*1.1</f>
        <v>3542</v>
      </c>
      <c r="J1084" s="85" t="n">
        <v>2016</v>
      </c>
    </row>
    <row r="1085" customFormat="false" ht="15" hidden="true" customHeight="false" outlineLevel="0" collapsed="false">
      <c r="A1085" s="115" t="s">
        <v>1659</v>
      </c>
      <c r="B1085" s="115" t="s">
        <v>606</v>
      </c>
      <c r="C1085" s="107" t="s">
        <v>1665</v>
      </c>
      <c r="D1085" s="107"/>
      <c r="E1085" s="107"/>
      <c r="F1085" s="107"/>
      <c r="G1085" s="108"/>
      <c r="H1085" s="105" t="n">
        <f aca="false">'[2]$ лето'!j1085-'[2]$ лето'!au1085-'[2]$ лето'!at1085-'[2]$ лето'!as1085-'[2]$ лето'!ar1085-'[2]$ лето'!aq1085-'[2]$ лето'!ap1085-'[2]$ лето'!an1085-'[2]$ лето'!am1085-'[2]$ лето'!al1085-'[2]$ лето'!ak1085-'[2]$ лето'!aj1085-'[2]$ лето'!ah1085-'[2]$ лето'!ag1085-'[2]$ лето'!af1085-'[2]$ лето'!ae1085-'[2]$ лето'!ad1085-'[2]$ лето'!ab1085-'[2]$ лето'!aa1085-'[2]$ лето'!z1085-'[2]$ лето'!y1085-'[2]$ лето'!x1085-'[2]$ лето'!v1085-'[2]$ лето'!u1085-'[2]$ лето'!t1085-'[2]$ лето'!s1085-'[2]$ лето'!r1085-'[2]$ лето'!p1085-'[2]$ лето'!o1085-'[2]$ лето'!n1085-'[2]$ лето'!m1085-'[2]$ лето'!l1085+'[2]$ лето'!k1085+'[2]$ лето'!q1085+'[2]$ лето'!w1085+'[2]$ лето'!ac1085+'[2]$ лето'!ai1085+'[2]$ лето'!ao1085</f>
        <v>0</v>
      </c>
      <c r="I1085" s="109" t="n">
        <f aca="false">'[2]$ лето'!ay1085*1.1</f>
        <v>2802.8</v>
      </c>
      <c r="J1085" s="85" t="n">
        <v>2016</v>
      </c>
    </row>
    <row r="1086" customFormat="false" ht="15" hidden="true" customHeight="false" outlineLevel="0" collapsed="false">
      <c r="A1086" s="115" t="s">
        <v>1659</v>
      </c>
      <c r="B1086" s="115" t="s">
        <v>606</v>
      </c>
      <c r="C1086" s="107" t="s">
        <v>1666</v>
      </c>
      <c r="D1086" s="107"/>
      <c r="E1086" s="107"/>
      <c r="F1086" s="107"/>
      <c r="G1086" s="108" t="s">
        <v>849</v>
      </c>
      <c r="H1086" s="105" t="n">
        <f aca="false">'[2]$ лето'!j1086-'[2]$ лето'!au1086-'[2]$ лето'!at1086-'[2]$ лето'!as1086-'[2]$ лето'!ar1086-'[2]$ лето'!aq1086-'[2]$ лето'!ap1086-'[2]$ лето'!an1086-'[2]$ лето'!am1086-'[2]$ лето'!al1086-'[2]$ лето'!ak1086-'[2]$ лето'!aj1086-'[2]$ лето'!ah1086-'[2]$ лето'!ag1086-'[2]$ лето'!af1086-'[2]$ лето'!ae1086-'[2]$ лето'!ad1086-'[2]$ лето'!ab1086-'[2]$ лето'!aa1086-'[2]$ лето'!z1086-'[2]$ лето'!y1086-'[2]$ лето'!x1086-'[2]$ лето'!v1086-'[2]$ лето'!u1086-'[2]$ лето'!t1086-'[2]$ лето'!s1086-'[2]$ лето'!r1086-'[2]$ лето'!p1086-'[2]$ лето'!o1086-'[2]$ лето'!n1086-'[2]$ лето'!m1086-'[2]$ лето'!l1086+'[2]$ лето'!k1086+'[2]$ лето'!q1086+'[2]$ лето'!w1086+'[2]$ лето'!ac1086+'[2]$ лето'!ai1086+'[2]$ лето'!ao1086</f>
        <v>0</v>
      </c>
      <c r="I1086" s="109" t="n">
        <f aca="false">'[2]$ лето'!ay1086*1.1</f>
        <v>3080</v>
      </c>
      <c r="J1086" s="85" t="n">
        <v>2017</v>
      </c>
    </row>
    <row r="1087" customFormat="false" ht="15" hidden="true" customHeight="false" outlineLevel="0" collapsed="false">
      <c r="A1087" s="115" t="s">
        <v>1659</v>
      </c>
      <c r="B1087" s="115" t="s">
        <v>668</v>
      </c>
      <c r="C1087" s="107" t="s">
        <v>1667</v>
      </c>
      <c r="D1087" s="107"/>
      <c r="E1087" s="107"/>
      <c r="F1087" s="107"/>
      <c r="G1087" s="108" t="s">
        <v>609</v>
      </c>
      <c r="H1087" s="105" t="n">
        <f aca="false">'[2]$ лето'!j1087-'[2]$ лето'!au1087-'[2]$ лето'!at1087-'[2]$ лето'!as1087-'[2]$ лето'!ar1087-'[2]$ лето'!aq1087-'[2]$ лето'!ap1087-'[2]$ лето'!an1087-'[2]$ лето'!am1087-'[2]$ лето'!al1087-'[2]$ лето'!ak1087-'[2]$ лето'!aj1087-'[2]$ лето'!ah1087-'[2]$ лето'!ag1087-'[2]$ лето'!af1087-'[2]$ лето'!ae1087-'[2]$ лето'!ad1087-'[2]$ лето'!ab1087-'[2]$ лето'!aa1087-'[2]$ лето'!z1087-'[2]$ лето'!y1087-'[2]$ лето'!x1087-'[2]$ лето'!v1087-'[2]$ лето'!u1087-'[2]$ лето'!t1087-'[2]$ лето'!s1087-'[2]$ лето'!r1087-'[2]$ лето'!p1087-'[2]$ лето'!o1087-'[2]$ лето'!n1087-'[2]$ лето'!m1087-'[2]$ лето'!l1087+'[2]$ лето'!k1087+'[2]$ лето'!q1087+'[2]$ лето'!w1087+'[2]$ лето'!ac1087+'[2]$ лето'!ai1087+'[2]$ лето'!ao1087</f>
        <v>0</v>
      </c>
      <c r="I1087" s="109" t="n">
        <f aca="false">'[2]$ лето'!ay1087*1.1</f>
        <v>2728</v>
      </c>
      <c r="J1087" s="85" t="n">
        <v>2017</v>
      </c>
    </row>
    <row r="1088" customFormat="false" ht="15" hidden="true" customHeight="false" outlineLevel="0" collapsed="false">
      <c r="A1088" s="115" t="s">
        <v>1659</v>
      </c>
      <c r="B1088" s="115" t="s">
        <v>577</v>
      </c>
      <c r="C1088" s="107" t="s">
        <v>1668</v>
      </c>
      <c r="D1088" s="107"/>
      <c r="E1088" s="107"/>
      <c r="F1088" s="107"/>
      <c r="G1088" s="108" t="s">
        <v>563</v>
      </c>
      <c r="H1088" s="105" t="n">
        <f aca="false">'[2]$ лето'!j1088-'[2]$ лето'!au1088-'[2]$ лето'!at1088-'[2]$ лето'!as1088-'[2]$ лето'!ar1088-'[2]$ лето'!aq1088-'[2]$ лето'!ap1088-'[2]$ лето'!an1088-'[2]$ лето'!am1088-'[2]$ лето'!al1088-'[2]$ лето'!ak1088-'[2]$ лето'!aj1088-'[2]$ лето'!ah1088-'[2]$ лето'!ag1088-'[2]$ лето'!af1088-'[2]$ лето'!ae1088-'[2]$ лето'!ad1088-'[2]$ лето'!ab1088-'[2]$ лето'!aa1088-'[2]$ лето'!z1088-'[2]$ лето'!y1088-'[2]$ лето'!x1088-'[2]$ лето'!v1088-'[2]$ лето'!u1088-'[2]$ лето'!t1088-'[2]$ лето'!s1088-'[2]$ лето'!r1088-'[2]$ лето'!p1088-'[2]$ лето'!o1088-'[2]$ лето'!n1088-'[2]$ лето'!m1088-'[2]$ лето'!l1088+'[2]$ лето'!k1088+'[2]$ лето'!q1088+'[2]$ лето'!w1088+'[2]$ лето'!ac1088+'[2]$ лето'!ai1088+'[2]$ лето'!ao1088</f>
        <v>0</v>
      </c>
      <c r="I1088" s="109" t="n">
        <f aca="false">'[2]$ лето'!ay1088*1.1</f>
        <v>2494.8</v>
      </c>
      <c r="J1088" s="85" t="n">
        <v>2017</v>
      </c>
    </row>
    <row r="1089" customFormat="false" ht="15" hidden="false" customHeight="false" outlineLevel="0" collapsed="false">
      <c r="A1089" s="115" t="s">
        <v>1659</v>
      </c>
      <c r="B1089" s="115" t="s">
        <v>1471</v>
      </c>
      <c r="C1089" s="107" t="s">
        <v>1669</v>
      </c>
      <c r="D1089" s="107"/>
      <c r="E1089" s="116" t="n">
        <v>99</v>
      </c>
      <c r="F1089" s="116" t="s">
        <v>634</v>
      </c>
      <c r="G1089" s="108"/>
      <c r="H1089" s="105" t="n">
        <f aca="false">'[2]$ лето'!j1089-'[2]$ лето'!au1089-'[2]$ лето'!at1089-'[2]$ лето'!as1089-'[2]$ лето'!ar1089-'[2]$ лето'!aq1089-'[2]$ лето'!ap1089-'[2]$ лето'!an1089-'[2]$ лето'!am1089-'[2]$ лето'!al1089-'[2]$ лето'!ak1089-'[2]$ лето'!aj1089-'[2]$ лето'!ah1089-'[2]$ лето'!ag1089-'[2]$ лето'!af1089-'[2]$ лето'!ae1089-'[2]$ лето'!ad1089-'[2]$ лето'!ab1089-'[2]$ лето'!aa1089-'[2]$ лето'!z1089-'[2]$ лето'!y1089-'[2]$ лето'!x1089-'[2]$ лето'!v1089-'[2]$ лето'!u1089-'[2]$ лето'!t1089-'[2]$ лето'!s1089-'[2]$ лето'!r1089-'[2]$ лето'!p1089-'[2]$ лето'!o1089-'[2]$ лето'!n1089-'[2]$ лето'!m1089-'[2]$ лето'!l1089+'[2]$ лето'!k1089+'[2]$ лето'!q1089+'[2]$ лето'!w1089+'[2]$ лето'!ac1089+'[2]$ лето'!ai1089+'[2]$ лето'!ao1089</f>
        <v>4</v>
      </c>
      <c r="I1089" s="109" t="n">
        <f aca="false">'[2]$ лето'!ay1089*1.1</f>
        <v>2310</v>
      </c>
    </row>
    <row r="1090" customFormat="false" ht="15" hidden="true" customHeight="false" outlineLevel="0" collapsed="false">
      <c r="A1090" s="115" t="s">
        <v>1659</v>
      </c>
      <c r="B1090" s="115" t="s">
        <v>593</v>
      </c>
      <c r="C1090" s="116" t="s">
        <v>1670</v>
      </c>
      <c r="D1090" s="116"/>
      <c r="E1090" s="116"/>
      <c r="F1090" s="116"/>
      <c r="G1090" s="108"/>
      <c r="H1090" s="105" t="n">
        <f aca="false">'[2]$ лето'!j1090-'[2]$ лето'!au1090-'[2]$ лето'!at1090-'[2]$ лето'!as1090-'[2]$ лето'!ar1090-'[2]$ лето'!aq1090-'[2]$ лето'!ap1090-'[2]$ лето'!an1090-'[2]$ лето'!am1090-'[2]$ лето'!al1090-'[2]$ лето'!ak1090-'[2]$ лето'!aj1090-'[2]$ лето'!ah1090-'[2]$ лето'!ag1090-'[2]$ лето'!af1090-'[2]$ лето'!ae1090-'[2]$ лето'!ad1090-'[2]$ лето'!ab1090-'[2]$ лето'!aa1090-'[2]$ лето'!z1090-'[2]$ лето'!y1090-'[2]$ лето'!x1090-'[2]$ лето'!v1090-'[2]$ лето'!u1090-'[2]$ лето'!t1090-'[2]$ лето'!s1090-'[2]$ лето'!r1090-'[2]$ лето'!p1090-'[2]$ лето'!o1090-'[2]$ лето'!n1090-'[2]$ лето'!m1090-'[2]$ лето'!l1090+'[2]$ лето'!k1090+'[2]$ лето'!q1090+'[2]$ лето'!w1090+'[2]$ лето'!ac1090+'[2]$ лето'!ai1090+'[2]$ лето'!ao1090</f>
        <v>0</v>
      </c>
      <c r="I1090" s="109" t="n">
        <f aca="false">'[2]$ лето'!ay1090*1.1</f>
        <v>4404.4</v>
      </c>
      <c r="J1090" s="85" t="n">
        <v>2018</v>
      </c>
    </row>
    <row r="1091" customFormat="false" ht="15" hidden="false" customHeight="false" outlineLevel="0" collapsed="false">
      <c r="A1091" s="115" t="s">
        <v>1659</v>
      </c>
      <c r="B1091" s="115" t="s">
        <v>593</v>
      </c>
      <c r="C1091" s="116" t="s">
        <v>1671</v>
      </c>
      <c r="D1091" s="116"/>
      <c r="E1091" s="116"/>
      <c r="F1091" s="116"/>
      <c r="G1091" s="108" t="s">
        <v>843</v>
      </c>
      <c r="H1091" s="105" t="n">
        <f aca="false">'[2]$ лето'!j1091-'[2]$ лето'!au1091-'[2]$ лето'!at1091-'[2]$ лето'!as1091-'[2]$ лето'!ar1091-'[2]$ лето'!aq1091-'[2]$ лето'!ap1091-'[2]$ лето'!an1091-'[2]$ лето'!am1091-'[2]$ лето'!al1091-'[2]$ лето'!ak1091-'[2]$ лето'!aj1091-'[2]$ лето'!ah1091-'[2]$ лето'!ag1091-'[2]$ лето'!af1091-'[2]$ лето'!ae1091-'[2]$ лето'!ad1091-'[2]$ лето'!ab1091-'[2]$ лето'!aa1091-'[2]$ лето'!z1091-'[2]$ лето'!y1091-'[2]$ лето'!x1091-'[2]$ лето'!v1091-'[2]$ лето'!u1091-'[2]$ лето'!t1091-'[2]$ лето'!s1091-'[2]$ лето'!r1091-'[2]$ лето'!p1091-'[2]$ лето'!o1091-'[2]$ лето'!n1091-'[2]$ лето'!m1091-'[2]$ лето'!l1091+'[2]$ лето'!k1091+'[2]$ лето'!q1091+'[2]$ лето'!w1091+'[2]$ лето'!ac1091+'[2]$ лето'!ai1091+'[2]$ лето'!ao1091</f>
        <v>4</v>
      </c>
      <c r="I1091" s="109" t="n">
        <f aca="false">'[2]$ лето'!ay1091*1.1</f>
        <v>4096.4</v>
      </c>
    </row>
    <row r="1092" customFormat="false" ht="15" hidden="true" customHeight="false" outlineLevel="0" collapsed="false">
      <c r="A1092" s="115" t="s">
        <v>1659</v>
      </c>
      <c r="B1092" s="115" t="s">
        <v>586</v>
      </c>
      <c r="C1092" s="116" t="s">
        <v>1672</v>
      </c>
      <c r="D1092" s="116"/>
      <c r="E1092" s="116"/>
      <c r="F1092" s="116"/>
      <c r="G1092" s="108" t="s">
        <v>520</v>
      </c>
      <c r="H1092" s="105" t="n">
        <f aca="false">'[2]$ лето'!j1092-'[2]$ лето'!au1092-'[2]$ лето'!at1092-'[2]$ лето'!as1092-'[2]$ лето'!ar1092-'[2]$ лето'!aq1092-'[2]$ лето'!ap1092-'[2]$ лето'!an1092-'[2]$ лето'!am1092-'[2]$ лето'!al1092-'[2]$ лето'!ak1092-'[2]$ лето'!aj1092-'[2]$ лето'!ah1092-'[2]$ лето'!ag1092-'[2]$ лето'!af1092-'[2]$ лето'!ae1092-'[2]$ лето'!ad1092-'[2]$ лето'!ab1092-'[2]$ лето'!aa1092-'[2]$ лето'!z1092-'[2]$ лето'!y1092-'[2]$ лето'!x1092-'[2]$ лето'!v1092-'[2]$ лето'!u1092-'[2]$ лето'!t1092-'[2]$ лето'!s1092-'[2]$ лето'!r1092-'[2]$ лето'!p1092-'[2]$ лето'!o1092-'[2]$ лето'!n1092-'[2]$ лето'!m1092-'[2]$ лето'!l1092+'[2]$ лето'!k1092+'[2]$ лето'!q1092+'[2]$ лето'!w1092+'[2]$ лето'!ac1092+'[2]$ лето'!ai1092+'[2]$ лето'!ao1092</f>
        <v>0</v>
      </c>
      <c r="I1092" s="109" t="n">
        <f aca="false">'[2]$ лето'!ay1092*1.1</f>
        <v>1478.4</v>
      </c>
    </row>
    <row r="1093" customFormat="false" ht="15" hidden="true" customHeight="false" outlineLevel="0" collapsed="false">
      <c r="A1093" s="115" t="s">
        <v>1659</v>
      </c>
      <c r="B1093" s="115" t="s">
        <v>615</v>
      </c>
      <c r="C1093" s="116" t="s">
        <v>1673</v>
      </c>
      <c r="D1093" s="116"/>
      <c r="E1093" s="116"/>
      <c r="F1093" s="116"/>
      <c r="G1093" s="108"/>
      <c r="H1093" s="105" t="n">
        <f aca="false">'[2]$ лето'!j1093-'[2]$ лето'!au1093-'[2]$ лето'!at1093-'[2]$ лето'!as1093-'[2]$ лето'!ar1093-'[2]$ лето'!aq1093-'[2]$ лето'!ap1093-'[2]$ лето'!an1093-'[2]$ лето'!am1093-'[2]$ лето'!al1093-'[2]$ лето'!ak1093-'[2]$ лето'!aj1093-'[2]$ лето'!ah1093-'[2]$ лето'!ag1093-'[2]$ лето'!af1093-'[2]$ лето'!ae1093-'[2]$ лето'!ad1093-'[2]$ лето'!ab1093-'[2]$ лето'!aa1093-'[2]$ лето'!z1093-'[2]$ лето'!y1093-'[2]$ лето'!x1093-'[2]$ лето'!v1093-'[2]$ лето'!u1093-'[2]$ лето'!t1093-'[2]$ лето'!s1093-'[2]$ лето'!r1093-'[2]$ лето'!p1093-'[2]$ лето'!o1093-'[2]$ лето'!n1093-'[2]$ лето'!m1093-'[2]$ лето'!l1093+'[2]$ лето'!k1093+'[2]$ лето'!q1093+'[2]$ лето'!w1093+'[2]$ лето'!ac1093+'[2]$ лето'!ai1093+'[2]$ лето'!ao1093</f>
        <v>0</v>
      </c>
      <c r="I1093" s="109" t="n">
        <f aca="false">'[2]$ лето'!ay1093*1.1</f>
        <v>2340.8</v>
      </c>
      <c r="J1093" s="85" t="n">
        <v>2018</v>
      </c>
    </row>
    <row r="1094" customFormat="false" ht="15" hidden="true" customHeight="false" outlineLevel="0" collapsed="false">
      <c r="A1094" s="115" t="s">
        <v>1659</v>
      </c>
      <c r="B1094" s="115" t="s">
        <v>615</v>
      </c>
      <c r="C1094" s="116" t="s">
        <v>1674</v>
      </c>
      <c r="D1094" s="116"/>
      <c r="E1094" s="116"/>
      <c r="F1094" s="116"/>
      <c r="G1094" s="108"/>
      <c r="H1094" s="105" t="n">
        <f aca="false">'[2]$ лето'!j1094-'[2]$ лето'!au1094-'[2]$ лето'!at1094-'[2]$ лето'!as1094-'[2]$ лето'!ar1094-'[2]$ лето'!aq1094-'[2]$ лето'!ap1094-'[2]$ лето'!an1094-'[2]$ лето'!am1094-'[2]$ лето'!al1094-'[2]$ лето'!ak1094-'[2]$ лето'!aj1094-'[2]$ лето'!ah1094-'[2]$ лето'!ag1094-'[2]$ лето'!af1094-'[2]$ лето'!ae1094-'[2]$ лето'!ad1094-'[2]$ лето'!ab1094-'[2]$ лето'!aa1094-'[2]$ лето'!z1094-'[2]$ лето'!y1094-'[2]$ лето'!x1094-'[2]$ лето'!v1094-'[2]$ лето'!u1094-'[2]$ лето'!t1094-'[2]$ лето'!s1094-'[2]$ лето'!r1094-'[2]$ лето'!p1094-'[2]$ лето'!o1094-'[2]$ лето'!n1094-'[2]$ лето'!m1094-'[2]$ лето'!l1094+'[2]$ лето'!k1094+'[2]$ лето'!q1094+'[2]$ лето'!w1094+'[2]$ лето'!ac1094+'[2]$ лето'!ai1094+'[2]$ лето'!ao1094</f>
        <v>0</v>
      </c>
      <c r="I1094" s="109" t="n">
        <f aca="false">'[2]$ лето'!ay1094*1.1</f>
        <v>2156</v>
      </c>
      <c r="J1094" s="85" t="n">
        <v>2016</v>
      </c>
    </row>
    <row r="1095" customFormat="false" ht="15" hidden="true" customHeight="false" outlineLevel="0" collapsed="false">
      <c r="A1095" s="115" t="s">
        <v>1659</v>
      </c>
      <c r="B1095" s="115" t="s">
        <v>615</v>
      </c>
      <c r="C1095" s="116" t="s">
        <v>1675</v>
      </c>
      <c r="D1095" s="116"/>
      <c r="E1095" s="116"/>
      <c r="F1095" s="116"/>
      <c r="G1095" s="108"/>
      <c r="H1095" s="105" t="n">
        <f aca="false">'[2]$ лето'!j1095-'[2]$ лето'!au1095-'[2]$ лето'!at1095-'[2]$ лето'!as1095-'[2]$ лето'!ar1095-'[2]$ лето'!aq1095-'[2]$ лето'!ap1095-'[2]$ лето'!an1095-'[2]$ лето'!am1095-'[2]$ лето'!al1095-'[2]$ лето'!ak1095-'[2]$ лето'!aj1095-'[2]$ лето'!ah1095-'[2]$ лето'!ag1095-'[2]$ лето'!af1095-'[2]$ лето'!ae1095-'[2]$ лето'!ad1095-'[2]$ лето'!ab1095-'[2]$ лето'!aa1095-'[2]$ лето'!z1095-'[2]$ лето'!y1095-'[2]$ лето'!x1095-'[2]$ лето'!v1095-'[2]$ лето'!u1095-'[2]$ лето'!t1095-'[2]$ лето'!s1095-'[2]$ лето'!r1095-'[2]$ лето'!p1095-'[2]$ лето'!o1095-'[2]$ лето'!n1095-'[2]$ лето'!m1095-'[2]$ лето'!l1095+'[2]$ лето'!k1095+'[2]$ лето'!q1095+'[2]$ лето'!w1095+'[2]$ лето'!ac1095+'[2]$ лето'!ai1095+'[2]$ лето'!ao1095</f>
        <v>0</v>
      </c>
      <c r="I1095" s="109" t="n">
        <f aca="false">'[2]$ лето'!ay1095*1.1</f>
        <v>2402.4</v>
      </c>
    </row>
    <row r="1096" customFormat="false" ht="15" hidden="true" customHeight="false" outlineLevel="0" collapsed="false">
      <c r="A1096" s="115" t="s">
        <v>1659</v>
      </c>
      <c r="B1096" s="115" t="s">
        <v>762</v>
      </c>
      <c r="C1096" s="116" t="s">
        <v>1676</v>
      </c>
      <c r="D1096" s="116"/>
      <c r="E1096" s="116"/>
      <c r="F1096" s="116"/>
      <c r="G1096" s="108"/>
      <c r="H1096" s="105" t="n">
        <f aca="false">'[2]$ лето'!j1096-'[2]$ лето'!au1096-'[2]$ лето'!at1096-'[2]$ лето'!as1096-'[2]$ лето'!ar1096-'[2]$ лето'!aq1096-'[2]$ лето'!ap1096-'[2]$ лето'!an1096-'[2]$ лето'!am1096-'[2]$ лето'!al1096-'[2]$ лето'!ak1096-'[2]$ лето'!aj1096-'[2]$ лето'!ah1096-'[2]$ лето'!ag1096-'[2]$ лето'!af1096-'[2]$ лето'!ae1096-'[2]$ лето'!ad1096-'[2]$ лето'!ab1096-'[2]$ лето'!aa1096-'[2]$ лето'!z1096-'[2]$ лето'!y1096-'[2]$ лето'!x1096-'[2]$ лето'!v1096-'[2]$ лето'!u1096-'[2]$ лето'!t1096-'[2]$ лето'!s1096-'[2]$ лето'!r1096-'[2]$ лето'!p1096-'[2]$ лето'!o1096-'[2]$ лето'!n1096-'[2]$ лето'!m1096-'[2]$ лето'!l1096+'[2]$ лето'!k1096+'[2]$ лето'!q1096+'[2]$ лето'!w1096+'[2]$ лето'!ac1096+'[2]$ лето'!ai1096+'[2]$ лето'!ao1096</f>
        <v>0</v>
      </c>
      <c r="I1096" s="109" t="n">
        <f aca="false">'[2]$ лето'!ay1096*1.1</f>
        <v>2310</v>
      </c>
      <c r="J1096" s="85" t="n">
        <v>2018</v>
      </c>
    </row>
    <row r="1097" customFormat="false" ht="15" hidden="false" customHeight="false" outlineLevel="0" collapsed="false">
      <c r="A1097" s="115" t="s">
        <v>1659</v>
      </c>
      <c r="B1097" s="115" t="s">
        <v>619</v>
      </c>
      <c r="C1097" s="116" t="s">
        <v>1233</v>
      </c>
      <c r="D1097" s="116"/>
      <c r="E1097" s="116"/>
      <c r="F1097" s="116"/>
      <c r="G1097" s="108"/>
      <c r="H1097" s="105" t="n">
        <f aca="false">'[2]$ лето'!j1097-'[2]$ лето'!au1097-'[2]$ лето'!at1097-'[2]$ лето'!as1097-'[2]$ лето'!ar1097-'[2]$ лето'!aq1097-'[2]$ лето'!ap1097-'[2]$ лето'!an1097-'[2]$ лето'!am1097-'[2]$ лето'!al1097-'[2]$ лето'!ak1097-'[2]$ лето'!aj1097-'[2]$ лето'!ah1097-'[2]$ лето'!ag1097-'[2]$ лето'!af1097-'[2]$ лето'!ae1097-'[2]$ лето'!ad1097-'[2]$ лето'!ab1097-'[2]$ лето'!aa1097-'[2]$ лето'!z1097-'[2]$ лето'!y1097-'[2]$ лето'!x1097-'[2]$ лето'!v1097-'[2]$ лето'!u1097-'[2]$ лето'!t1097-'[2]$ лето'!s1097-'[2]$ лето'!r1097-'[2]$ лето'!p1097-'[2]$ лето'!o1097-'[2]$ лето'!n1097-'[2]$ лето'!m1097-'[2]$ лето'!l1097+'[2]$ лето'!k1097+'[2]$ лето'!q1097+'[2]$ лето'!w1097+'[2]$ лето'!ac1097+'[2]$ лето'!ai1097+'[2]$ лето'!ao1097</f>
        <v>2</v>
      </c>
      <c r="I1097" s="109" t="n">
        <f aca="false">'[2]$ лето'!ay1097*1.1</f>
        <v>1848</v>
      </c>
      <c r="J1097" s="85" t="n">
        <v>2013</v>
      </c>
    </row>
    <row r="1098" customFormat="false" ht="15" hidden="true" customHeight="false" outlineLevel="0" collapsed="false">
      <c r="A1098" s="115" t="s">
        <v>1659</v>
      </c>
      <c r="B1098" s="115" t="s">
        <v>623</v>
      </c>
      <c r="C1098" s="116" t="s">
        <v>1677</v>
      </c>
      <c r="D1098" s="116"/>
      <c r="E1098" s="116"/>
      <c r="F1098" s="116"/>
      <c r="G1098" s="108"/>
      <c r="H1098" s="105" t="n">
        <f aca="false">'[2]$ лето'!j1098-'[2]$ лето'!au1098-'[2]$ лето'!at1098-'[2]$ лето'!as1098-'[2]$ лето'!ar1098-'[2]$ лето'!aq1098-'[2]$ лето'!ap1098-'[2]$ лето'!an1098-'[2]$ лето'!am1098-'[2]$ лето'!al1098-'[2]$ лето'!ak1098-'[2]$ лето'!aj1098-'[2]$ лето'!ah1098-'[2]$ лето'!ag1098-'[2]$ лето'!af1098-'[2]$ лето'!ae1098-'[2]$ лето'!ad1098-'[2]$ лето'!ab1098-'[2]$ лето'!aa1098-'[2]$ лето'!z1098-'[2]$ лето'!y1098-'[2]$ лето'!x1098-'[2]$ лето'!v1098-'[2]$ лето'!u1098-'[2]$ лето'!t1098-'[2]$ лето'!s1098-'[2]$ лето'!r1098-'[2]$ лето'!p1098-'[2]$ лето'!o1098-'[2]$ лето'!n1098-'[2]$ лето'!m1098-'[2]$ лето'!l1098+'[2]$ лето'!k1098+'[2]$ лето'!q1098+'[2]$ лето'!w1098+'[2]$ лето'!ac1098+'[2]$ лето'!ai1098+'[2]$ лето'!ao1098</f>
        <v>0</v>
      </c>
      <c r="I1098" s="109" t="n">
        <f aca="false">'[2]$ лето'!ay1098*1.1</f>
        <v>2002</v>
      </c>
    </row>
    <row r="1099" customFormat="false" ht="15" hidden="true" customHeight="false" outlineLevel="0" collapsed="false">
      <c r="A1099" s="115" t="s">
        <v>1659</v>
      </c>
      <c r="B1099" s="115" t="s">
        <v>589</v>
      </c>
      <c r="C1099" s="116" t="s">
        <v>1678</v>
      </c>
      <c r="D1099" s="116"/>
      <c r="E1099" s="116"/>
      <c r="F1099" s="116"/>
      <c r="G1099" s="108"/>
      <c r="H1099" s="105" t="n">
        <f aca="false">'[2]$ лето'!j1099-'[2]$ лето'!au1099-'[2]$ лето'!at1099-'[2]$ лето'!as1099-'[2]$ лето'!ar1099-'[2]$ лето'!aq1099-'[2]$ лето'!ap1099-'[2]$ лето'!an1099-'[2]$ лето'!am1099-'[2]$ лето'!al1099-'[2]$ лето'!ak1099-'[2]$ лето'!aj1099-'[2]$ лето'!ah1099-'[2]$ лето'!ag1099-'[2]$ лето'!af1099-'[2]$ лето'!ae1099-'[2]$ лето'!ad1099-'[2]$ лето'!ab1099-'[2]$ лето'!aa1099-'[2]$ лето'!z1099-'[2]$ лето'!y1099-'[2]$ лето'!x1099-'[2]$ лето'!v1099-'[2]$ лето'!u1099-'[2]$ лето'!t1099-'[2]$ лето'!s1099-'[2]$ лето'!r1099-'[2]$ лето'!p1099-'[2]$ лето'!o1099-'[2]$ лето'!n1099-'[2]$ лето'!m1099-'[2]$ лето'!l1099+'[2]$ лето'!k1099+'[2]$ лето'!q1099+'[2]$ лето'!w1099+'[2]$ лето'!ac1099+'[2]$ лето'!ai1099+'[2]$ лето'!ao1099</f>
        <v>0</v>
      </c>
      <c r="I1099" s="109" t="n">
        <f aca="false">'[2]$ лето'!ay1099*1.1</f>
        <v>3388</v>
      </c>
    </row>
    <row r="1100" customFormat="false" ht="15" hidden="true" customHeight="false" outlineLevel="0" collapsed="false">
      <c r="A1100" s="115" t="s">
        <v>1659</v>
      </c>
      <c r="B1100" s="115" t="s">
        <v>589</v>
      </c>
      <c r="C1100" s="107" t="s">
        <v>1679</v>
      </c>
      <c r="D1100" s="107"/>
      <c r="E1100" s="107"/>
      <c r="F1100" s="107"/>
      <c r="G1100" s="108"/>
      <c r="H1100" s="105" t="n">
        <f aca="false">'[2]$ лето'!j1100-'[2]$ лето'!au1100-'[2]$ лето'!at1100-'[2]$ лето'!as1100-'[2]$ лето'!ar1100-'[2]$ лето'!aq1100-'[2]$ лето'!ap1100-'[2]$ лето'!an1100-'[2]$ лето'!am1100-'[2]$ лето'!al1100-'[2]$ лето'!ak1100-'[2]$ лето'!aj1100-'[2]$ лето'!ah1100-'[2]$ лето'!ag1100-'[2]$ лето'!af1100-'[2]$ лето'!ae1100-'[2]$ лето'!ad1100-'[2]$ лето'!ab1100-'[2]$ лето'!aa1100-'[2]$ лето'!z1100-'[2]$ лето'!y1100-'[2]$ лето'!x1100-'[2]$ лето'!v1100-'[2]$ лето'!u1100-'[2]$ лето'!t1100-'[2]$ лето'!s1100-'[2]$ лето'!r1100-'[2]$ лето'!p1100-'[2]$ лето'!o1100-'[2]$ лето'!n1100-'[2]$ лето'!m1100-'[2]$ лето'!l1100+'[2]$ лето'!k1100+'[2]$ лето'!q1100+'[2]$ лето'!w1100+'[2]$ лето'!ac1100+'[2]$ лето'!ai1100+'[2]$ лето'!ao1100</f>
        <v>0</v>
      </c>
      <c r="I1100" s="109" t="n">
        <f aca="false">'[2]$ лето'!ay1100*1.1</f>
        <v>3326.4</v>
      </c>
      <c r="J1100" s="85" t="n">
        <v>2017</v>
      </c>
    </row>
    <row r="1101" customFormat="false" ht="15" hidden="true" customHeight="false" outlineLevel="0" collapsed="false">
      <c r="A1101" s="115" t="s">
        <v>1659</v>
      </c>
      <c r="B1101" s="115" t="s">
        <v>589</v>
      </c>
      <c r="C1101" s="107" t="s">
        <v>1680</v>
      </c>
      <c r="D1101" s="107"/>
      <c r="E1101" s="107"/>
      <c r="F1101" s="107"/>
      <c r="G1101" s="108"/>
      <c r="H1101" s="105" t="n">
        <f aca="false">'[2]$ лето'!j1101-'[2]$ лето'!au1101-'[2]$ лето'!at1101-'[2]$ лето'!as1101-'[2]$ лето'!ar1101-'[2]$ лето'!aq1101-'[2]$ лето'!ap1101-'[2]$ лето'!an1101-'[2]$ лето'!am1101-'[2]$ лето'!al1101-'[2]$ лето'!ak1101-'[2]$ лето'!aj1101-'[2]$ лето'!ah1101-'[2]$ лето'!ag1101-'[2]$ лето'!af1101-'[2]$ лето'!ae1101-'[2]$ лето'!ad1101-'[2]$ лето'!ab1101-'[2]$ лето'!aa1101-'[2]$ лето'!z1101-'[2]$ лето'!y1101-'[2]$ лето'!x1101-'[2]$ лето'!v1101-'[2]$ лето'!u1101-'[2]$ лето'!t1101-'[2]$ лето'!s1101-'[2]$ лето'!r1101-'[2]$ лето'!p1101-'[2]$ лето'!o1101-'[2]$ лето'!n1101-'[2]$ лето'!m1101-'[2]$ лето'!l1101+'[2]$ лето'!k1101+'[2]$ лето'!q1101+'[2]$ лето'!w1101+'[2]$ лето'!ac1101+'[2]$ лето'!ai1101+'[2]$ лето'!ao1101</f>
        <v>0</v>
      </c>
      <c r="I1101" s="109" t="n">
        <f aca="false">'[2]$ лето'!ay1101*1.1</f>
        <v>2926</v>
      </c>
    </row>
    <row r="1102" customFormat="false" ht="15" hidden="false" customHeight="false" outlineLevel="0" collapsed="false">
      <c r="A1102" s="115" t="s">
        <v>1659</v>
      </c>
      <c r="B1102" s="115" t="s">
        <v>564</v>
      </c>
      <c r="C1102" s="107" t="s">
        <v>1681</v>
      </c>
      <c r="D1102" s="107"/>
      <c r="E1102" s="116"/>
      <c r="F1102" s="116"/>
      <c r="G1102" s="108" t="s">
        <v>520</v>
      </c>
      <c r="H1102" s="105" t="n">
        <f aca="false">'[2]$ лето'!j1102-'[2]$ лето'!au1102-'[2]$ лето'!at1102-'[2]$ лето'!as1102-'[2]$ лето'!ar1102-'[2]$ лето'!aq1102-'[2]$ лето'!ap1102-'[2]$ лето'!an1102-'[2]$ лето'!am1102-'[2]$ лето'!al1102-'[2]$ лето'!ak1102-'[2]$ лето'!aj1102-'[2]$ лето'!ah1102-'[2]$ лето'!ag1102-'[2]$ лето'!af1102-'[2]$ лето'!ae1102-'[2]$ лето'!ad1102-'[2]$ лето'!ab1102-'[2]$ лето'!aa1102-'[2]$ лето'!z1102-'[2]$ лето'!y1102-'[2]$ лето'!x1102-'[2]$ лето'!v1102-'[2]$ лето'!u1102-'[2]$ лето'!t1102-'[2]$ лето'!s1102-'[2]$ лето'!r1102-'[2]$ лето'!p1102-'[2]$ лето'!o1102-'[2]$ лето'!n1102-'[2]$ лето'!m1102-'[2]$ лето'!l1102+'[2]$ лето'!k1102+'[2]$ лето'!q1102+'[2]$ лето'!w1102+'[2]$ лето'!ac1102+'[2]$ лето'!ai1102+'[2]$ лето'!ao1102</f>
        <v>8</v>
      </c>
      <c r="I1102" s="109" t="n">
        <f aca="false">'[2]$ лето'!ay1102*1.1</f>
        <v>1663.2</v>
      </c>
      <c r="J1102" s="85" t="n">
        <v>2017</v>
      </c>
    </row>
    <row r="1103" customFormat="false" ht="15" hidden="true" customHeight="false" outlineLevel="0" collapsed="false">
      <c r="A1103" s="115" t="s">
        <v>1659</v>
      </c>
      <c r="B1103" s="115" t="s">
        <v>981</v>
      </c>
      <c r="C1103" s="107" t="s">
        <v>1682</v>
      </c>
      <c r="D1103" s="107"/>
      <c r="E1103" s="107"/>
      <c r="F1103" s="107"/>
      <c r="G1103" s="108"/>
      <c r="H1103" s="105" t="n">
        <f aca="false">'[2]$ лето'!j1103-'[2]$ лето'!au1103-'[2]$ лето'!at1103-'[2]$ лето'!as1103-'[2]$ лето'!ar1103-'[2]$ лето'!aq1103-'[2]$ лето'!ap1103-'[2]$ лето'!an1103-'[2]$ лето'!am1103-'[2]$ лето'!al1103-'[2]$ лето'!ak1103-'[2]$ лето'!aj1103-'[2]$ лето'!ah1103-'[2]$ лето'!ag1103-'[2]$ лето'!af1103-'[2]$ лето'!ae1103-'[2]$ лето'!ad1103-'[2]$ лето'!ab1103-'[2]$ лето'!aa1103-'[2]$ лето'!z1103-'[2]$ лето'!y1103-'[2]$ лето'!x1103-'[2]$ лето'!v1103-'[2]$ лето'!u1103-'[2]$ лето'!t1103-'[2]$ лето'!s1103-'[2]$ лето'!r1103-'[2]$ лето'!p1103-'[2]$ лето'!o1103-'[2]$ лето'!n1103-'[2]$ лето'!m1103-'[2]$ лето'!l1103+'[2]$ лето'!k1103+'[2]$ лето'!q1103+'[2]$ лето'!w1103+'[2]$ лето'!ac1103+'[2]$ лето'!ai1103+'[2]$ лето'!ao1103</f>
        <v>0</v>
      </c>
      <c r="I1103" s="109" t="n">
        <f aca="false">'[2]$ лето'!ay1103*1.1</f>
        <v>3264.8</v>
      </c>
      <c r="J1103" s="85" t="n">
        <v>2017</v>
      </c>
    </row>
    <row r="1104" customFormat="false" ht="15" hidden="true" customHeight="false" outlineLevel="0" collapsed="false">
      <c r="A1104" s="115" t="s">
        <v>1683</v>
      </c>
      <c r="B1104" s="115" t="s">
        <v>991</v>
      </c>
      <c r="C1104" s="107" t="s">
        <v>1031</v>
      </c>
      <c r="D1104" s="107"/>
      <c r="E1104" s="107"/>
      <c r="F1104" s="107"/>
      <c r="G1104" s="108" t="s">
        <v>520</v>
      </c>
      <c r="H1104" s="105" t="n">
        <f aca="false">'[2]$ лето'!j1104-'[2]$ лето'!au1104-'[2]$ лето'!at1104-'[2]$ лето'!as1104-'[2]$ лето'!ar1104-'[2]$ лето'!aq1104-'[2]$ лето'!ap1104-'[2]$ лето'!an1104-'[2]$ лето'!am1104-'[2]$ лето'!al1104-'[2]$ лето'!ak1104-'[2]$ лето'!aj1104-'[2]$ лето'!ah1104-'[2]$ лето'!ag1104-'[2]$ лето'!af1104-'[2]$ лето'!ae1104-'[2]$ лето'!ad1104-'[2]$ лето'!ab1104-'[2]$ лето'!aa1104-'[2]$ лето'!z1104-'[2]$ лето'!y1104-'[2]$ лето'!x1104-'[2]$ лето'!v1104-'[2]$ лето'!u1104-'[2]$ лето'!t1104-'[2]$ лето'!s1104-'[2]$ лето'!r1104-'[2]$ лето'!p1104-'[2]$ лето'!o1104-'[2]$ лето'!n1104-'[2]$ лето'!m1104-'[2]$ лето'!l1104+'[2]$ лето'!k1104+'[2]$ лето'!q1104+'[2]$ лето'!w1104+'[2]$ лето'!ac1104+'[2]$ лето'!ai1104+'[2]$ лето'!ao1104</f>
        <v>0</v>
      </c>
      <c r="I1104" s="109" t="n">
        <f aca="false">'[2]$ лето'!ay1104*1.1</f>
        <v>1694</v>
      </c>
    </row>
    <row r="1105" customFormat="false" ht="15" hidden="false" customHeight="false" outlineLevel="0" collapsed="false">
      <c r="A1105" s="129" t="s">
        <v>1683</v>
      </c>
      <c r="B1105" s="129" t="s">
        <v>991</v>
      </c>
      <c r="C1105" s="130"/>
      <c r="D1105" s="130"/>
      <c r="E1105" s="131"/>
      <c r="F1105" s="131"/>
      <c r="G1105" s="132" t="s">
        <v>520</v>
      </c>
      <c r="H1105" s="105" t="n">
        <f aca="false">'[2]$ лето'!j1105-'[2]$ лето'!au1105-'[2]$ лето'!at1105-'[2]$ лето'!as1105-'[2]$ лето'!ar1105-'[2]$ лето'!aq1105-'[2]$ лето'!ap1105-'[2]$ лето'!an1105-'[2]$ лето'!am1105-'[2]$ лето'!al1105-'[2]$ лето'!ak1105-'[2]$ лето'!aj1105-'[2]$ лето'!ah1105-'[2]$ лето'!ag1105-'[2]$ лето'!af1105-'[2]$ лето'!ae1105-'[2]$ лето'!ad1105-'[2]$ лето'!ab1105-'[2]$ лето'!aa1105-'[2]$ лето'!z1105-'[2]$ лето'!y1105-'[2]$ лето'!x1105-'[2]$ лето'!v1105-'[2]$ лето'!u1105-'[2]$ лето'!t1105-'[2]$ лето'!s1105-'[2]$ лето'!r1105-'[2]$ лето'!p1105-'[2]$ лето'!o1105-'[2]$ лето'!n1105-'[2]$ лето'!m1105-'[2]$ лето'!l1105+'[2]$ лето'!k1105+'[2]$ лето'!q1105+'[2]$ лето'!w1105+'[2]$ лето'!ac1105+'[2]$ лето'!ai1105+'[2]$ лето'!ao1105</f>
        <v>2</v>
      </c>
      <c r="I1105" s="133" t="n">
        <f aca="false">'[2]$ лето'!ay1105*1.1</f>
        <v>550</v>
      </c>
    </row>
    <row r="1106" customFormat="false" ht="15" hidden="true" customHeight="false" outlineLevel="0" collapsed="false">
      <c r="A1106" s="115" t="s">
        <v>1683</v>
      </c>
      <c r="B1106" s="115" t="s">
        <v>568</v>
      </c>
      <c r="C1106" s="107" t="s">
        <v>1684</v>
      </c>
      <c r="D1106" s="107"/>
      <c r="E1106" s="107"/>
      <c r="F1106" s="107"/>
      <c r="G1106" s="108"/>
      <c r="H1106" s="105" t="n">
        <f aca="false">'[2]$ лето'!j1106-'[2]$ лето'!au1106-'[2]$ лето'!at1106-'[2]$ лето'!as1106-'[2]$ лето'!ar1106-'[2]$ лето'!aq1106-'[2]$ лето'!ap1106-'[2]$ лето'!an1106-'[2]$ лето'!am1106-'[2]$ лето'!al1106-'[2]$ лето'!ak1106-'[2]$ лето'!aj1106-'[2]$ лето'!ah1106-'[2]$ лето'!ag1106-'[2]$ лето'!af1106-'[2]$ лето'!ae1106-'[2]$ лето'!ad1106-'[2]$ лето'!ab1106-'[2]$ лето'!aa1106-'[2]$ лето'!z1106-'[2]$ лето'!y1106-'[2]$ лето'!x1106-'[2]$ лето'!v1106-'[2]$ лето'!u1106-'[2]$ лето'!t1106-'[2]$ лето'!s1106-'[2]$ лето'!r1106-'[2]$ лето'!p1106-'[2]$ лето'!o1106-'[2]$ лето'!n1106-'[2]$ лето'!m1106-'[2]$ лето'!l1106+'[2]$ лето'!k1106+'[2]$ лето'!q1106+'[2]$ лето'!w1106+'[2]$ лето'!ac1106+'[2]$ лето'!ai1106+'[2]$ лето'!ao1106</f>
        <v>0</v>
      </c>
      <c r="I1106" s="109" t="n">
        <f aca="false">'[2]$ лето'!ay1106*1.1</f>
        <v>2186.8</v>
      </c>
    </row>
    <row r="1107" customFormat="false" ht="15" hidden="true" customHeight="false" outlineLevel="0" collapsed="false">
      <c r="A1107" s="115" t="s">
        <v>1683</v>
      </c>
      <c r="B1107" s="115" t="s">
        <v>601</v>
      </c>
      <c r="C1107" s="107" t="s">
        <v>1661</v>
      </c>
      <c r="D1107" s="107"/>
      <c r="E1107" s="107"/>
      <c r="F1107" s="107"/>
      <c r="G1107" s="108"/>
      <c r="H1107" s="105" t="n">
        <f aca="false">'[2]$ лето'!j1107-'[2]$ лето'!au1107-'[2]$ лето'!at1107-'[2]$ лето'!as1107-'[2]$ лето'!ar1107-'[2]$ лето'!aq1107-'[2]$ лето'!ap1107-'[2]$ лето'!an1107-'[2]$ лето'!am1107-'[2]$ лето'!al1107-'[2]$ лето'!ak1107-'[2]$ лето'!aj1107-'[2]$ лето'!ah1107-'[2]$ лето'!ag1107-'[2]$ лето'!af1107-'[2]$ лето'!ae1107-'[2]$ лето'!ad1107-'[2]$ лето'!ab1107-'[2]$ лето'!aa1107-'[2]$ лето'!z1107-'[2]$ лето'!y1107-'[2]$ лето'!x1107-'[2]$ лето'!v1107-'[2]$ лето'!u1107-'[2]$ лето'!t1107-'[2]$ лето'!s1107-'[2]$ лето'!r1107-'[2]$ лето'!p1107-'[2]$ лето'!o1107-'[2]$ лето'!n1107-'[2]$ лето'!m1107-'[2]$ лето'!l1107+'[2]$ лето'!k1107+'[2]$ лето'!q1107+'[2]$ лето'!w1107+'[2]$ лето'!ac1107+'[2]$ лето'!ai1107+'[2]$ лето'!ao1107</f>
        <v>0</v>
      </c>
      <c r="I1107" s="109" t="n">
        <f aca="false">'[2]$ лето'!ay1107*1.1</f>
        <v>2956.8</v>
      </c>
    </row>
    <row r="1108" customFormat="false" ht="15" hidden="false" customHeight="false" outlineLevel="0" collapsed="false">
      <c r="A1108" s="115" t="s">
        <v>1683</v>
      </c>
      <c r="B1108" s="115" t="s">
        <v>658</v>
      </c>
      <c r="C1108" s="116" t="s">
        <v>1685</v>
      </c>
      <c r="D1108" s="116"/>
      <c r="E1108" s="116" t="n">
        <v>102</v>
      </c>
      <c r="F1108" s="116" t="s">
        <v>634</v>
      </c>
      <c r="G1108" s="108" t="s">
        <v>640</v>
      </c>
      <c r="H1108" s="105" t="n">
        <f aca="false">'[2]$ лето'!j1108-'[2]$ лето'!au1108-'[2]$ лето'!at1108-'[2]$ лето'!as1108-'[2]$ лето'!ar1108-'[2]$ лето'!aq1108-'[2]$ лето'!ap1108-'[2]$ лето'!an1108-'[2]$ лето'!am1108-'[2]$ лето'!al1108-'[2]$ лето'!ak1108-'[2]$ лето'!aj1108-'[2]$ лето'!ah1108-'[2]$ лето'!ag1108-'[2]$ лето'!af1108-'[2]$ лето'!ae1108-'[2]$ лето'!ad1108-'[2]$ лето'!ab1108-'[2]$ лето'!aa1108-'[2]$ лето'!z1108-'[2]$ лето'!y1108-'[2]$ лето'!x1108-'[2]$ лето'!v1108-'[2]$ лето'!u1108-'[2]$ лето'!t1108-'[2]$ лето'!s1108-'[2]$ лето'!r1108-'[2]$ лето'!p1108-'[2]$ лето'!o1108-'[2]$ лето'!n1108-'[2]$ лето'!m1108-'[2]$ лето'!l1108+'[2]$ лето'!k1108+'[2]$ лето'!q1108+'[2]$ лето'!w1108+'[2]$ лето'!ac1108+'[2]$ лето'!ai1108+'[2]$ лето'!ao1108</f>
        <v>8</v>
      </c>
      <c r="I1108" s="109" t="n">
        <f aca="false">'[2]$ лето'!ay1108*1.1</f>
        <v>3449.6</v>
      </c>
      <c r="J1108" s="85" t="n">
        <v>2018</v>
      </c>
    </row>
    <row r="1109" customFormat="false" ht="15" hidden="true" customHeight="false" outlineLevel="0" collapsed="false">
      <c r="A1109" s="115" t="s">
        <v>1683</v>
      </c>
      <c r="B1109" s="115" t="s">
        <v>744</v>
      </c>
      <c r="C1109" s="116" t="s">
        <v>1686</v>
      </c>
      <c r="D1109" s="116"/>
      <c r="E1109" s="116"/>
      <c r="F1109" s="116"/>
      <c r="G1109" s="108"/>
      <c r="H1109" s="105" t="n">
        <f aca="false">'[2]$ лето'!j1109-'[2]$ лето'!au1109-'[2]$ лето'!at1109-'[2]$ лето'!as1109-'[2]$ лето'!ar1109-'[2]$ лето'!aq1109-'[2]$ лето'!ap1109-'[2]$ лето'!an1109-'[2]$ лето'!am1109-'[2]$ лето'!al1109-'[2]$ лето'!ak1109-'[2]$ лето'!aj1109-'[2]$ лето'!ah1109-'[2]$ лето'!ag1109-'[2]$ лето'!af1109-'[2]$ лето'!ae1109-'[2]$ лето'!ad1109-'[2]$ лето'!ab1109-'[2]$ лето'!aa1109-'[2]$ лето'!z1109-'[2]$ лето'!y1109-'[2]$ лето'!x1109-'[2]$ лето'!v1109-'[2]$ лето'!u1109-'[2]$ лето'!t1109-'[2]$ лето'!s1109-'[2]$ лето'!r1109-'[2]$ лето'!p1109-'[2]$ лето'!o1109-'[2]$ лето'!n1109-'[2]$ лето'!m1109-'[2]$ лето'!l1109+'[2]$ лето'!k1109+'[2]$ лето'!q1109+'[2]$ лето'!w1109+'[2]$ лето'!ac1109+'[2]$ лето'!ai1109+'[2]$ лето'!ao1109</f>
        <v>0</v>
      </c>
      <c r="I1109" s="109" t="n">
        <f aca="false">'[2]$ лето'!ay1109*1.1</f>
        <v>2618</v>
      </c>
      <c r="J1109" s="85" t="n">
        <v>2017</v>
      </c>
    </row>
    <row r="1110" customFormat="false" ht="15" hidden="true" customHeight="false" outlineLevel="0" collapsed="false">
      <c r="A1110" s="115" t="s">
        <v>1683</v>
      </c>
      <c r="B1110" s="115" t="s">
        <v>606</v>
      </c>
      <c r="C1110" s="116" t="s">
        <v>1687</v>
      </c>
      <c r="D1110" s="116"/>
      <c r="E1110" s="116"/>
      <c r="F1110" s="116"/>
      <c r="G1110" s="108"/>
      <c r="H1110" s="105" t="n">
        <f aca="false">'[2]$ лето'!j1110-'[2]$ лето'!au1110-'[2]$ лето'!at1110-'[2]$ лето'!as1110-'[2]$ лето'!ar1110-'[2]$ лето'!aq1110-'[2]$ лето'!ap1110-'[2]$ лето'!an1110-'[2]$ лето'!am1110-'[2]$ лето'!al1110-'[2]$ лето'!ak1110-'[2]$ лето'!aj1110-'[2]$ лето'!ah1110-'[2]$ лето'!ag1110-'[2]$ лето'!af1110-'[2]$ лето'!ae1110-'[2]$ лето'!ad1110-'[2]$ лето'!ab1110-'[2]$ лето'!aa1110-'[2]$ лето'!z1110-'[2]$ лето'!y1110-'[2]$ лето'!x1110-'[2]$ лето'!v1110-'[2]$ лето'!u1110-'[2]$ лето'!t1110-'[2]$ лето'!s1110-'[2]$ лето'!r1110-'[2]$ лето'!p1110-'[2]$ лето'!o1110-'[2]$ лето'!n1110-'[2]$ лето'!m1110-'[2]$ лето'!l1110+'[2]$ лето'!k1110+'[2]$ лето'!q1110+'[2]$ лето'!w1110+'[2]$ лето'!ac1110+'[2]$ лето'!ai1110+'[2]$ лето'!ao1110</f>
        <v>0</v>
      </c>
      <c r="I1110" s="109" t="n">
        <f aca="false">'[2]$ лето'!ay1110*1.1</f>
        <v>2587.2</v>
      </c>
      <c r="J1110" s="85" t="n">
        <v>2017</v>
      </c>
    </row>
    <row r="1111" customFormat="false" ht="15" hidden="true" customHeight="false" outlineLevel="0" collapsed="false">
      <c r="A1111" s="115" t="s">
        <v>1683</v>
      </c>
      <c r="B1111" s="115" t="s">
        <v>1130</v>
      </c>
      <c r="C1111" s="116" t="s">
        <v>1688</v>
      </c>
      <c r="D1111" s="116"/>
      <c r="E1111" s="116"/>
      <c r="F1111" s="116"/>
      <c r="G1111" s="108"/>
      <c r="H1111" s="105" t="n">
        <f aca="false">'[2]$ лето'!j1111-'[2]$ лето'!au1111-'[2]$ лето'!at1111-'[2]$ лето'!as1111-'[2]$ лето'!ar1111-'[2]$ лето'!aq1111-'[2]$ лето'!ap1111-'[2]$ лето'!an1111-'[2]$ лето'!am1111-'[2]$ лето'!al1111-'[2]$ лето'!ak1111-'[2]$ лето'!aj1111-'[2]$ лето'!ah1111-'[2]$ лето'!ag1111-'[2]$ лето'!af1111-'[2]$ лето'!ae1111-'[2]$ лето'!ad1111-'[2]$ лето'!ab1111-'[2]$ лето'!aa1111-'[2]$ лето'!z1111-'[2]$ лето'!y1111-'[2]$ лето'!x1111-'[2]$ лето'!v1111-'[2]$ лето'!u1111-'[2]$ лето'!t1111-'[2]$ лето'!s1111-'[2]$ лето'!r1111-'[2]$ лето'!p1111-'[2]$ лето'!o1111-'[2]$ лето'!n1111-'[2]$ лето'!m1111-'[2]$ лето'!l1111+'[2]$ лето'!k1111+'[2]$ лето'!q1111+'[2]$ лето'!w1111+'[2]$ лето'!ac1111+'[2]$ лето'!ai1111+'[2]$ лето'!ao1111</f>
        <v>0</v>
      </c>
      <c r="I1111" s="109" t="n">
        <f aca="false">'[2]$ лето'!ay1111*1.1</f>
        <v>1570.8</v>
      </c>
    </row>
    <row r="1112" customFormat="false" ht="15" hidden="false" customHeight="false" outlineLevel="0" collapsed="false">
      <c r="A1112" s="115" t="s">
        <v>1683</v>
      </c>
      <c r="B1112" s="115" t="s">
        <v>668</v>
      </c>
      <c r="C1112" s="107" t="s">
        <v>1689</v>
      </c>
      <c r="D1112" s="107"/>
      <c r="E1112" s="116"/>
      <c r="F1112" s="116"/>
      <c r="G1112" s="108" t="s">
        <v>609</v>
      </c>
      <c r="H1112" s="105" t="n">
        <f aca="false">'[2]$ лето'!j1112-'[2]$ лето'!au1112-'[2]$ лето'!at1112-'[2]$ лето'!as1112-'[2]$ лето'!ar1112-'[2]$ лето'!aq1112-'[2]$ лето'!ap1112-'[2]$ лето'!an1112-'[2]$ лето'!am1112-'[2]$ лето'!al1112-'[2]$ лето'!ak1112-'[2]$ лето'!aj1112-'[2]$ лето'!ah1112-'[2]$ лето'!ag1112-'[2]$ лето'!af1112-'[2]$ лето'!ae1112-'[2]$ лето'!ad1112-'[2]$ лето'!ab1112-'[2]$ лето'!aa1112-'[2]$ лето'!z1112-'[2]$ лето'!y1112-'[2]$ лето'!x1112-'[2]$ лето'!v1112-'[2]$ лето'!u1112-'[2]$ лето'!t1112-'[2]$ лето'!s1112-'[2]$ лето'!r1112-'[2]$ лето'!p1112-'[2]$ лето'!o1112-'[2]$ лето'!n1112-'[2]$ лето'!m1112-'[2]$ лето'!l1112+'[2]$ лето'!k1112+'[2]$ лето'!q1112+'[2]$ лето'!w1112+'[2]$ лето'!ac1112+'[2]$ лето'!ai1112+'[2]$ лето'!ao1112</f>
        <v>8</v>
      </c>
      <c r="I1112" s="109" t="n">
        <f aca="false">'[2]$ лето'!ay1112*1.1</f>
        <v>2486</v>
      </c>
      <c r="J1112" s="85" t="n">
        <v>2017</v>
      </c>
    </row>
    <row r="1113" customFormat="false" ht="15" hidden="true" customHeight="false" outlineLevel="0" collapsed="false">
      <c r="A1113" s="115" t="s">
        <v>1683</v>
      </c>
      <c r="B1113" s="115" t="s">
        <v>574</v>
      </c>
      <c r="C1113" s="107" t="s">
        <v>1690</v>
      </c>
      <c r="D1113" s="107"/>
      <c r="E1113" s="107"/>
      <c r="F1113" s="107"/>
      <c r="G1113" s="108" t="s">
        <v>576</v>
      </c>
      <c r="H1113" s="105" t="n">
        <f aca="false">'[2]$ лето'!j1113-'[2]$ лето'!au1113-'[2]$ лето'!at1113-'[2]$ лето'!as1113-'[2]$ лето'!ar1113-'[2]$ лето'!aq1113-'[2]$ лето'!ap1113-'[2]$ лето'!an1113-'[2]$ лето'!am1113-'[2]$ лето'!al1113-'[2]$ лето'!ak1113-'[2]$ лето'!aj1113-'[2]$ лето'!ah1113-'[2]$ лето'!ag1113-'[2]$ лето'!af1113-'[2]$ лето'!ae1113-'[2]$ лето'!ad1113-'[2]$ лето'!ab1113-'[2]$ лето'!aa1113-'[2]$ лето'!z1113-'[2]$ лето'!y1113-'[2]$ лето'!x1113-'[2]$ лето'!v1113-'[2]$ лето'!u1113-'[2]$ лето'!t1113-'[2]$ лето'!s1113-'[2]$ лето'!r1113-'[2]$ лето'!p1113-'[2]$ лето'!o1113-'[2]$ лето'!n1113-'[2]$ лето'!m1113-'[2]$ лето'!l1113+'[2]$ лето'!k1113+'[2]$ лето'!q1113+'[2]$ лето'!w1113+'[2]$ лето'!ac1113+'[2]$ лето'!ai1113+'[2]$ лето'!ao1113</f>
        <v>0</v>
      </c>
      <c r="I1113" s="109" t="n">
        <f aca="false">'[2]$ лето'!ay1113*1.1</f>
        <v>2371.6</v>
      </c>
    </row>
    <row r="1114" customFormat="false" ht="15" hidden="true" customHeight="false" outlineLevel="0" collapsed="false">
      <c r="A1114" s="115" t="s">
        <v>1683</v>
      </c>
      <c r="B1114" s="115" t="s">
        <v>577</v>
      </c>
      <c r="C1114" s="116" t="s">
        <v>1316</v>
      </c>
      <c r="D1114" s="116"/>
      <c r="E1114" s="116"/>
      <c r="F1114" s="116"/>
      <c r="G1114" s="108" t="s">
        <v>563</v>
      </c>
      <c r="H1114" s="105" t="n">
        <f aca="false">'[2]$ лето'!j1114-'[2]$ лето'!au1114-'[2]$ лето'!at1114-'[2]$ лето'!as1114-'[2]$ лето'!ar1114-'[2]$ лето'!aq1114-'[2]$ лето'!ap1114-'[2]$ лето'!an1114-'[2]$ лето'!am1114-'[2]$ лето'!al1114-'[2]$ лето'!ak1114-'[2]$ лето'!aj1114-'[2]$ лето'!ah1114-'[2]$ лето'!ag1114-'[2]$ лето'!af1114-'[2]$ лето'!ae1114-'[2]$ лето'!ad1114-'[2]$ лето'!ab1114-'[2]$ лето'!aa1114-'[2]$ лето'!z1114-'[2]$ лето'!y1114-'[2]$ лето'!x1114-'[2]$ лето'!v1114-'[2]$ лето'!u1114-'[2]$ лето'!t1114-'[2]$ лето'!s1114-'[2]$ лето'!r1114-'[2]$ лето'!p1114-'[2]$ лето'!o1114-'[2]$ лето'!n1114-'[2]$ лето'!m1114-'[2]$ лето'!l1114+'[2]$ лето'!k1114+'[2]$ лето'!q1114+'[2]$ лето'!w1114+'[2]$ лето'!ac1114+'[2]$ лето'!ai1114+'[2]$ лето'!ao1114</f>
        <v>0</v>
      </c>
      <c r="I1114" s="109" t="n">
        <f aca="false">'[2]$ лето'!ay1114*1.1</f>
        <v>2340.8</v>
      </c>
      <c r="J1114" s="85" t="n">
        <v>2017</v>
      </c>
    </row>
    <row r="1115" customFormat="false" ht="15" hidden="true" customHeight="false" outlineLevel="0" collapsed="false">
      <c r="A1115" s="115" t="s">
        <v>1683</v>
      </c>
      <c r="B1115" s="115" t="s">
        <v>1471</v>
      </c>
      <c r="C1115" s="116" t="s">
        <v>1691</v>
      </c>
      <c r="D1115" s="116"/>
      <c r="E1115" s="116"/>
      <c r="F1115" s="116"/>
      <c r="G1115" s="108"/>
      <c r="H1115" s="105" t="n">
        <f aca="false">'[2]$ лето'!j1115-'[2]$ лето'!au1115-'[2]$ лето'!at1115-'[2]$ лето'!as1115-'[2]$ лето'!ar1115-'[2]$ лето'!aq1115-'[2]$ лето'!ap1115-'[2]$ лето'!an1115-'[2]$ лето'!am1115-'[2]$ лето'!al1115-'[2]$ лето'!ak1115-'[2]$ лето'!aj1115-'[2]$ лето'!ah1115-'[2]$ лето'!ag1115-'[2]$ лето'!af1115-'[2]$ лето'!ae1115-'[2]$ лето'!ad1115-'[2]$ лето'!ab1115-'[2]$ лето'!aa1115-'[2]$ лето'!z1115-'[2]$ лето'!y1115-'[2]$ лето'!x1115-'[2]$ лето'!v1115-'[2]$ лето'!u1115-'[2]$ лето'!t1115-'[2]$ лето'!s1115-'[2]$ лето'!r1115-'[2]$ лето'!p1115-'[2]$ лето'!o1115-'[2]$ лето'!n1115-'[2]$ лето'!m1115-'[2]$ лето'!l1115+'[2]$ лето'!k1115+'[2]$ лето'!q1115+'[2]$ лето'!w1115+'[2]$ лето'!ac1115+'[2]$ лето'!ai1115+'[2]$ лето'!ao1115</f>
        <v>0</v>
      </c>
      <c r="I1115" s="109" t="n">
        <f aca="false">'[2]$ лето'!ay1115*1.1</f>
        <v>2340.8</v>
      </c>
    </row>
    <row r="1116" customFormat="false" ht="15" hidden="false" customHeight="false" outlineLevel="0" collapsed="false">
      <c r="A1116" s="115" t="s">
        <v>1683</v>
      </c>
      <c r="B1116" s="115" t="s">
        <v>583</v>
      </c>
      <c r="C1116" s="107" t="s">
        <v>1692</v>
      </c>
      <c r="D1116" s="107"/>
      <c r="E1116" s="116"/>
      <c r="F1116" s="116"/>
      <c r="G1116" s="108" t="s">
        <v>640</v>
      </c>
      <c r="H1116" s="105" t="n">
        <f aca="false">'[2]$ лето'!j1116-'[2]$ лето'!au1116-'[2]$ лето'!at1116-'[2]$ лето'!as1116-'[2]$ лето'!ar1116-'[2]$ лето'!aq1116-'[2]$ лето'!ap1116-'[2]$ лето'!an1116-'[2]$ лето'!am1116-'[2]$ лето'!al1116-'[2]$ лето'!ak1116-'[2]$ лето'!aj1116-'[2]$ лето'!ah1116-'[2]$ лето'!ag1116-'[2]$ лето'!af1116-'[2]$ лето'!ae1116-'[2]$ лето'!ad1116-'[2]$ лето'!ab1116-'[2]$ лето'!aa1116-'[2]$ лето'!z1116-'[2]$ лето'!y1116-'[2]$ лето'!x1116-'[2]$ лето'!v1116-'[2]$ лето'!u1116-'[2]$ лето'!t1116-'[2]$ лето'!s1116-'[2]$ лето'!r1116-'[2]$ лето'!p1116-'[2]$ лето'!o1116-'[2]$ лето'!n1116-'[2]$ лето'!m1116-'[2]$ лето'!l1116+'[2]$ лето'!k1116+'[2]$ лето'!q1116+'[2]$ лето'!w1116+'[2]$ лето'!ac1116+'[2]$ лето'!ai1116+'[2]$ лето'!ao1116</f>
        <v>4</v>
      </c>
      <c r="I1116" s="109" t="n">
        <f aca="false">'[2]$ лето'!ay1116*1.1</f>
        <v>2433.2</v>
      </c>
      <c r="J1116" s="85" t="n">
        <v>2018</v>
      </c>
    </row>
    <row r="1117" customFormat="false" ht="15" hidden="true" customHeight="false" outlineLevel="0" collapsed="false">
      <c r="A1117" s="115" t="s">
        <v>1683</v>
      </c>
      <c r="B1117" s="115" t="s">
        <v>593</v>
      </c>
      <c r="C1117" s="116" t="s">
        <v>1693</v>
      </c>
      <c r="D1117" s="116"/>
      <c r="E1117" s="116"/>
      <c r="F1117" s="116"/>
      <c r="G1117" s="108"/>
      <c r="H1117" s="105" t="n">
        <f aca="false">'[2]$ лето'!j1117-'[2]$ лето'!au1117-'[2]$ лето'!at1117-'[2]$ лето'!as1117-'[2]$ лето'!ar1117-'[2]$ лето'!aq1117-'[2]$ лето'!ap1117-'[2]$ лето'!an1117-'[2]$ лето'!am1117-'[2]$ лето'!al1117-'[2]$ лето'!ak1117-'[2]$ лето'!aj1117-'[2]$ лето'!ah1117-'[2]$ лето'!ag1117-'[2]$ лето'!af1117-'[2]$ лето'!ae1117-'[2]$ лето'!ad1117-'[2]$ лето'!ab1117-'[2]$ лето'!aa1117-'[2]$ лето'!z1117-'[2]$ лето'!y1117-'[2]$ лето'!x1117-'[2]$ лето'!v1117-'[2]$ лето'!u1117-'[2]$ лето'!t1117-'[2]$ лето'!s1117-'[2]$ лето'!r1117-'[2]$ лето'!p1117-'[2]$ лето'!o1117-'[2]$ лето'!n1117-'[2]$ лето'!m1117-'[2]$ лето'!l1117+'[2]$ лето'!k1117+'[2]$ лето'!q1117+'[2]$ лето'!w1117+'[2]$ лето'!ac1117+'[2]$ лето'!ai1117+'[2]$ лето'!ao1117</f>
        <v>0</v>
      </c>
      <c r="I1117" s="109" t="n">
        <f aca="false">'[2]$ лето'!ay1117*1.1</f>
        <v>3264.8</v>
      </c>
      <c r="J1117" s="85" t="n">
        <v>2017</v>
      </c>
    </row>
    <row r="1118" customFormat="false" ht="15" hidden="false" customHeight="false" outlineLevel="0" collapsed="false">
      <c r="A1118" s="115" t="s">
        <v>1683</v>
      </c>
      <c r="B1118" s="115" t="s">
        <v>593</v>
      </c>
      <c r="C1118" s="116" t="s">
        <v>1694</v>
      </c>
      <c r="D1118" s="116"/>
      <c r="E1118" s="116"/>
      <c r="F1118" s="116"/>
      <c r="G1118" s="108" t="s">
        <v>933</v>
      </c>
      <c r="H1118" s="105" t="n">
        <f aca="false">'[2]$ лето'!j1118-'[2]$ лето'!au1118-'[2]$ лето'!at1118-'[2]$ лето'!as1118-'[2]$ лето'!ar1118-'[2]$ лето'!aq1118-'[2]$ лето'!ap1118-'[2]$ лето'!an1118-'[2]$ лето'!am1118-'[2]$ лето'!al1118-'[2]$ лето'!ak1118-'[2]$ лето'!aj1118-'[2]$ лето'!ah1118-'[2]$ лето'!ag1118-'[2]$ лето'!af1118-'[2]$ лето'!ae1118-'[2]$ лето'!ad1118-'[2]$ лето'!ab1118-'[2]$ лето'!aa1118-'[2]$ лето'!z1118-'[2]$ лето'!y1118-'[2]$ лето'!x1118-'[2]$ лето'!v1118-'[2]$ лето'!u1118-'[2]$ лето'!t1118-'[2]$ лето'!s1118-'[2]$ лето'!r1118-'[2]$ лето'!p1118-'[2]$ лето'!o1118-'[2]$ лето'!n1118-'[2]$ лето'!m1118-'[2]$ лето'!l1118+'[2]$ лето'!k1118+'[2]$ лето'!q1118+'[2]$ лето'!w1118+'[2]$ лето'!ac1118+'[2]$ лето'!ai1118+'[2]$ лето'!ao1118</f>
        <v>4</v>
      </c>
      <c r="I1118" s="109" t="n">
        <f aca="false">'[2]$ лето'!ay1118*1.1</f>
        <v>3696</v>
      </c>
      <c r="J1118" s="85" t="n">
        <v>2017</v>
      </c>
    </row>
    <row r="1119" customFormat="false" ht="15" hidden="false" customHeight="false" outlineLevel="0" collapsed="false">
      <c r="A1119" s="115" t="s">
        <v>1683</v>
      </c>
      <c r="B1119" s="115" t="s">
        <v>593</v>
      </c>
      <c r="C1119" s="116" t="s">
        <v>1695</v>
      </c>
      <c r="D1119" s="116"/>
      <c r="E1119" s="116"/>
      <c r="F1119" s="116"/>
      <c r="G1119" s="108" t="s">
        <v>663</v>
      </c>
      <c r="H1119" s="105" t="n">
        <f aca="false">'[2]$ лето'!j1119-'[2]$ лето'!au1119-'[2]$ лето'!at1119-'[2]$ лето'!as1119-'[2]$ лето'!ar1119-'[2]$ лето'!aq1119-'[2]$ лето'!ap1119-'[2]$ лето'!an1119-'[2]$ лето'!am1119-'[2]$ лето'!al1119-'[2]$ лето'!ak1119-'[2]$ лето'!aj1119-'[2]$ лето'!ah1119-'[2]$ лето'!ag1119-'[2]$ лето'!af1119-'[2]$ лето'!ae1119-'[2]$ лето'!ad1119-'[2]$ лето'!ab1119-'[2]$ лето'!aa1119-'[2]$ лето'!z1119-'[2]$ лето'!y1119-'[2]$ лето'!x1119-'[2]$ лето'!v1119-'[2]$ лето'!u1119-'[2]$ лето'!t1119-'[2]$ лето'!s1119-'[2]$ лето'!r1119-'[2]$ лето'!p1119-'[2]$ лето'!o1119-'[2]$ лето'!n1119-'[2]$ лето'!m1119-'[2]$ лето'!l1119+'[2]$ лето'!k1119+'[2]$ лето'!q1119+'[2]$ лето'!w1119+'[2]$ лето'!ac1119+'[2]$ лето'!ai1119+'[2]$ лето'!ao1119</f>
        <v>4</v>
      </c>
      <c r="I1119" s="109" t="n">
        <f aca="false">'[2]$ лето'!ay1119*1.1</f>
        <v>3726.8</v>
      </c>
      <c r="J1119" s="85" t="n">
        <v>2017</v>
      </c>
    </row>
    <row r="1120" customFormat="false" ht="15" hidden="false" customHeight="false" outlineLevel="0" collapsed="false">
      <c r="A1120" s="115" t="s">
        <v>1683</v>
      </c>
      <c r="B1120" s="115" t="s">
        <v>593</v>
      </c>
      <c r="C1120" s="116" t="s">
        <v>1695</v>
      </c>
      <c r="D1120" s="116"/>
      <c r="E1120" s="116"/>
      <c r="F1120" s="116"/>
      <c r="G1120" s="108" t="s">
        <v>663</v>
      </c>
      <c r="H1120" s="105" t="n">
        <f aca="false">'[2]$ лето'!j1120-'[2]$ лето'!au1120-'[2]$ лето'!at1120-'[2]$ лето'!as1120-'[2]$ лето'!ar1120-'[2]$ лето'!aq1120-'[2]$ лето'!ap1120-'[2]$ лето'!an1120-'[2]$ лето'!am1120-'[2]$ лето'!al1120-'[2]$ лето'!ak1120-'[2]$ лето'!aj1120-'[2]$ лето'!ah1120-'[2]$ лето'!ag1120-'[2]$ лето'!af1120-'[2]$ лето'!ae1120-'[2]$ лето'!ad1120-'[2]$ лето'!ab1120-'[2]$ лето'!aa1120-'[2]$ лето'!z1120-'[2]$ лето'!y1120-'[2]$ лето'!x1120-'[2]$ лето'!v1120-'[2]$ лето'!u1120-'[2]$ лето'!t1120-'[2]$ лето'!s1120-'[2]$ лето'!r1120-'[2]$ лето'!p1120-'[2]$ лето'!o1120-'[2]$ лето'!n1120-'[2]$ лето'!m1120-'[2]$ лето'!l1120+'[2]$ лето'!k1120+'[2]$ лето'!q1120+'[2]$ лето'!w1120+'[2]$ лето'!ac1120+'[2]$ лето'!ai1120+'[2]$ лето'!ao1120</f>
        <v>2</v>
      </c>
      <c r="I1120" s="109" t="n">
        <f aca="false">'[2]$ лето'!ay1120*1.1</f>
        <v>3942.4</v>
      </c>
      <c r="J1120" s="85" t="n">
        <v>2018</v>
      </c>
    </row>
    <row r="1121" customFormat="false" ht="15" hidden="true" customHeight="false" outlineLevel="0" collapsed="false">
      <c r="A1121" s="115" t="s">
        <v>1683</v>
      </c>
      <c r="B1121" s="115" t="s">
        <v>586</v>
      </c>
      <c r="C1121" s="116" t="s">
        <v>1696</v>
      </c>
      <c r="D1121" s="116"/>
      <c r="E1121" s="116"/>
      <c r="F1121" s="116"/>
      <c r="G1121" s="108" t="s">
        <v>520</v>
      </c>
      <c r="H1121" s="105" t="n">
        <f aca="false">'[2]$ лето'!j1121-'[2]$ лето'!au1121-'[2]$ лето'!at1121-'[2]$ лето'!as1121-'[2]$ лето'!ar1121-'[2]$ лето'!aq1121-'[2]$ лето'!ap1121-'[2]$ лето'!an1121-'[2]$ лето'!am1121-'[2]$ лето'!al1121-'[2]$ лето'!ak1121-'[2]$ лето'!aj1121-'[2]$ лето'!ah1121-'[2]$ лето'!ag1121-'[2]$ лето'!af1121-'[2]$ лето'!ae1121-'[2]$ лето'!ad1121-'[2]$ лето'!ab1121-'[2]$ лето'!aa1121-'[2]$ лето'!z1121-'[2]$ лето'!y1121-'[2]$ лето'!x1121-'[2]$ лето'!v1121-'[2]$ лето'!u1121-'[2]$ лето'!t1121-'[2]$ лето'!s1121-'[2]$ лето'!r1121-'[2]$ лето'!p1121-'[2]$ лето'!o1121-'[2]$ лето'!n1121-'[2]$ лето'!m1121-'[2]$ лето'!l1121+'[2]$ лето'!k1121+'[2]$ лето'!q1121+'[2]$ лето'!w1121+'[2]$ лето'!ac1121+'[2]$ лето'!ai1121+'[2]$ лето'!ao1121</f>
        <v>0</v>
      </c>
      <c r="I1121" s="109" t="n">
        <f aca="false">'[2]$ лето'!ay1121*1.1</f>
        <v>1540</v>
      </c>
    </row>
    <row r="1122" customFormat="false" ht="15" hidden="true" customHeight="false" outlineLevel="0" collapsed="false">
      <c r="A1122" s="115" t="s">
        <v>1683</v>
      </c>
      <c r="B1122" s="115" t="s">
        <v>615</v>
      </c>
      <c r="C1122" s="116" t="s">
        <v>1697</v>
      </c>
      <c r="D1122" s="116"/>
      <c r="E1122" s="116"/>
      <c r="F1122" s="116"/>
      <c r="G1122" s="108"/>
      <c r="H1122" s="105" t="n">
        <f aca="false">'[2]$ лето'!j1122-'[2]$ лето'!au1122-'[2]$ лето'!at1122-'[2]$ лето'!as1122-'[2]$ лето'!ar1122-'[2]$ лето'!aq1122-'[2]$ лето'!ap1122-'[2]$ лето'!an1122-'[2]$ лето'!am1122-'[2]$ лето'!al1122-'[2]$ лето'!ak1122-'[2]$ лето'!aj1122-'[2]$ лето'!ah1122-'[2]$ лето'!ag1122-'[2]$ лето'!af1122-'[2]$ лето'!ae1122-'[2]$ лето'!ad1122-'[2]$ лето'!ab1122-'[2]$ лето'!aa1122-'[2]$ лето'!z1122-'[2]$ лето'!y1122-'[2]$ лето'!x1122-'[2]$ лето'!v1122-'[2]$ лето'!u1122-'[2]$ лето'!t1122-'[2]$ лето'!s1122-'[2]$ лето'!r1122-'[2]$ лето'!p1122-'[2]$ лето'!o1122-'[2]$ лето'!n1122-'[2]$ лето'!m1122-'[2]$ лето'!l1122+'[2]$ лето'!k1122+'[2]$ лето'!q1122+'[2]$ лето'!w1122+'[2]$ лето'!ac1122+'[2]$ лето'!ai1122+'[2]$ лето'!ao1122</f>
        <v>0</v>
      </c>
      <c r="I1122" s="109" t="n">
        <f aca="false">'[2]$ лето'!ay1122*1.1</f>
        <v>2094.4</v>
      </c>
    </row>
    <row r="1123" customFormat="false" ht="15" hidden="true" customHeight="false" outlineLevel="0" collapsed="false">
      <c r="A1123" s="115" t="s">
        <v>1683</v>
      </c>
      <c r="B1123" s="115" t="s">
        <v>615</v>
      </c>
      <c r="C1123" s="116" t="s">
        <v>1698</v>
      </c>
      <c r="D1123" s="116"/>
      <c r="E1123" s="116"/>
      <c r="F1123" s="116"/>
      <c r="G1123" s="108"/>
      <c r="H1123" s="105" t="n">
        <f aca="false">'[2]$ лето'!j1123-'[2]$ лето'!au1123-'[2]$ лето'!at1123-'[2]$ лето'!as1123-'[2]$ лето'!ar1123-'[2]$ лето'!aq1123-'[2]$ лето'!ap1123-'[2]$ лето'!an1123-'[2]$ лето'!am1123-'[2]$ лето'!al1123-'[2]$ лето'!ak1123-'[2]$ лето'!aj1123-'[2]$ лето'!ah1123-'[2]$ лето'!ag1123-'[2]$ лето'!af1123-'[2]$ лето'!ae1123-'[2]$ лето'!ad1123-'[2]$ лето'!ab1123-'[2]$ лето'!aa1123-'[2]$ лето'!z1123-'[2]$ лето'!y1123-'[2]$ лето'!x1123-'[2]$ лето'!v1123-'[2]$ лето'!u1123-'[2]$ лето'!t1123-'[2]$ лето'!s1123-'[2]$ лето'!r1123-'[2]$ лето'!p1123-'[2]$ лето'!o1123-'[2]$ лето'!n1123-'[2]$ лето'!m1123-'[2]$ лето'!l1123+'[2]$ лето'!k1123+'[2]$ лето'!q1123+'[2]$ лето'!w1123+'[2]$ лето'!ac1123+'[2]$ лето'!ai1123+'[2]$ лето'!ao1123</f>
        <v>0</v>
      </c>
      <c r="I1123" s="109" t="n">
        <f aca="false">'[2]$ лето'!ay1123*1.1</f>
        <v>2002</v>
      </c>
      <c r="J1123" s="85" t="n">
        <v>2016</v>
      </c>
    </row>
    <row r="1124" customFormat="false" ht="15" hidden="true" customHeight="false" outlineLevel="0" collapsed="false">
      <c r="A1124" s="115" t="s">
        <v>1683</v>
      </c>
      <c r="B1124" s="115" t="s">
        <v>615</v>
      </c>
      <c r="C1124" s="116" t="s">
        <v>1699</v>
      </c>
      <c r="D1124" s="116"/>
      <c r="E1124" s="116"/>
      <c r="F1124" s="116"/>
      <c r="G1124" s="108"/>
      <c r="H1124" s="105" t="n">
        <f aca="false">'[2]$ лето'!j1124-'[2]$ лето'!au1124-'[2]$ лето'!at1124-'[2]$ лето'!as1124-'[2]$ лето'!ar1124-'[2]$ лето'!aq1124-'[2]$ лето'!ap1124-'[2]$ лето'!an1124-'[2]$ лето'!am1124-'[2]$ лето'!al1124-'[2]$ лето'!ak1124-'[2]$ лето'!aj1124-'[2]$ лето'!ah1124-'[2]$ лето'!ag1124-'[2]$ лето'!af1124-'[2]$ лето'!ae1124-'[2]$ лето'!ad1124-'[2]$ лето'!ab1124-'[2]$ лето'!aa1124-'[2]$ лето'!z1124-'[2]$ лето'!y1124-'[2]$ лето'!x1124-'[2]$ лето'!v1124-'[2]$ лето'!u1124-'[2]$ лето'!t1124-'[2]$ лето'!s1124-'[2]$ лето'!r1124-'[2]$ лето'!p1124-'[2]$ лето'!o1124-'[2]$ лето'!n1124-'[2]$ лето'!m1124-'[2]$ лето'!l1124+'[2]$ лето'!k1124+'[2]$ лето'!q1124+'[2]$ лето'!w1124+'[2]$ лето'!ac1124+'[2]$ лето'!ai1124+'[2]$ лето'!ao1124</f>
        <v>0</v>
      </c>
      <c r="I1124" s="109" t="n">
        <f aca="false">'[2]$ лето'!ay1124*1.1</f>
        <v>2002</v>
      </c>
      <c r="J1124" s="85" t="n">
        <v>2016</v>
      </c>
    </row>
    <row r="1125" customFormat="false" ht="15" hidden="false" customHeight="false" outlineLevel="0" collapsed="false">
      <c r="A1125" s="115" t="s">
        <v>1683</v>
      </c>
      <c r="B1125" s="115" t="s">
        <v>617</v>
      </c>
      <c r="C1125" s="116" t="s">
        <v>1700</v>
      </c>
      <c r="D1125" s="116"/>
      <c r="E1125" s="116"/>
      <c r="F1125" s="116"/>
      <c r="G1125" s="108"/>
      <c r="H1125" s="105" t="n">
        <f aca="false">'[2]$ лето'!j1125-'[2]$ лето'!au1125-'[2]$ лето'!at1125-'[2]$ лето'!as1125-'[2]$ лето'!ar1125-'[2]$ лето'!aq1125-'[2]$ лето'!ap1125-'[2]$ лето'!an1125-'[2]$ лето'!am1125-'[2]$ лето'!al1125-'[2]$ лето'!ak1125-'[2]$ лето'!aj1125-'[2]$ лето'!ah1125-'[2]$ лето'!ag1125-'[2]$ лето'!af1125-'[2]$ лето'!ae1125-'[2]$ лето'!ad1125-'[2]$ лето'!ab1125-'[2]$ лето'!aa1125-'[2]$ лето'!z1125-'[2]$ лето'!y1125-'[2]$ лето'!x1125-'[2]$ лето'!v1125-'[2]$ лето'!u1125-'[2]$ лето'!t1125-'[2]$ лето'!s1125-'[2]$ лето'!r1125-'[2]$ лето'!p1125-'[2]$ лето'!o1125-'[2]$ лето'!n1125-'[2]$ лето'!m1125-'[2]$ лето'!l1125+'[2]$ лето'!k1125+'[2]$ лето'!q1125+'[2]$ лето'!w1125+'[2]$ лето'!ac1125+'[2]$ лето'!ai1125+'[2]$ лето'!ao1125</f>
        <v>4</v>
      </c>
      <c r="I1125" s="109" t="n">
        <f aca="false">'[2]$ лето'!ay1125*1.1</f>
        <v>2094.4</v>
      </c>
      <c r="J1125" s="85" t="n">
        <v>2018</v>
      </c>
    </row>
    <row r="1126" customFormat="false" ht="15" hidden="false" customHeight="false" outlineLevel="0" collapsed="false">
      <c r="A1126" s="115" t="s">
        <v>1683</v>
      </c>
      <c r="B1126" s="115" t="s">
        <v>677</v>
      </c>
      <c r="C1126" s="116" t="s">
        <v>1701</v>
      </c>
      <c r="D1126" s="116"/>
      <c r="E1126" s="116"/>
      <c r="F1126" s="116"/>
      <c r="G1126" s="108"/>
      <c r="H1126" s="105" t="n">
        <f aca="false">'[2]$ лето'!j1126-'[2]$ лето'!au1126-'[2]$ лето'!at1126-'[2]$ лето'!as1126-'[2]$ лето'!ar1126-'[2]$ лето'!aq1126-'[2]$ лето'!ap1126-'[2]$ лето'!an1126-'[2]$ лето'!am1126-'[2]$ лето'!al1126-'[2]$ лето'!ak1126-'[2]$ лето'!aj1126-'[2]$ лето'!ah1126-'[2]$ лето'!ag1126-'[2]$ лето'!af1126-'[2]$ лето'!ae1126-'[2]$ лето'!ad1126-'[2]$ лето'!ab1126-'[2]$ лето'!aa1126-'[2]$ лето'!z1126-'[2]$ лето'!y1126-'[2]$ лето'!x1126-'[2]$ лето'!v1126-'[2]$ лето'!u1126-'[2]$ лето'!t1126-'[2]$ лето'!s1126-'[2]$ лето'!r1126-'[2]$ лето'!p1126-'[2]$ лето'!o1126-'[2]$ лето'!n1126-'[2]$ лето'!m1126-'[2]$ лето'!l1126+'[2]$ лето'!k1126+'[2]$ лето'!q1126+'[2]$ лето'!w1126+'[2]$ лето'!ac1126+'[2]$ лето'!ai1126+'[2]$ лето'!ao1126</f>
        <v>2</v>
      </c>
      <c r="I1126" s="109" t="n">
        <f aca="false">'[2]$ лето'!ay1126*1.1</f>
        <v>1694</v>
      </c>
    </row>
    <row r="1127" customFormat="false" ht="15" hidden="false" customHeight="false" outlineLevel="0" collapsed="false">
      <c r="A1127" s="115" t="s">
        <v>1683</v>
      </c>
      <c r="B1127" s="115" t="s">
        <v>762</v>
      </c>
      <c r="C1127" s="116" t="s">
        <v>1702</v>
      </c>
      <c r="D1127" s="116" t="s">
        <v>1327</v>
      </c>
      <c r="E1127" s="116" t="n">
        <v>102</v>
      </c>
      <c r="F1127" s="116" t="s">
        <v>634</v>
      </c>
      <c r="G1127" s="108" t="s">
        <v>843</v>
      </c>
      <c r="H1127" s="105" t="n">
        <f aca="false">'[2]$ лето'!j1127-'[2]$ лето'!au1127-'[2]$ лето'!at1127-'[2]$ лето'!as1127-'[2]$ лето'!ar1127-'[2]$ лето'!aq1127-'[2]$ лето'!ap1127-'[2]$ лето'!an1127-'[2]$ лето'!am1127-'[2]$ лето'!al1127-'[2]$ лето'!ak1127-'[2]$ лето'!aj1127-'[2]$ лето'!ah1127-'[2]$ лето'!ag1127-'[2]$ лето'!af1127-'[2]$ лето'!ae1127-'[2]$ лето'!ad1127-'[2]$ лето'!ab1127-'[2]$ лето'!aa1127-'[2]$ лето'!z1127-'[2]$ лето'!y1127-'[2]$ лето'!x1127-'[2]$ лето'!v1127-'[2]$ лето'!u1127-'[2]$ лето'!t1127-'[2]$ лето'!s1127-'[2]$ лето'!r1127-'[2]$ лето'!p1127-'[2]$ лето'!o1127-'[2]$ лето'!n1127-'[2]$ лето'!m1127-'[2]$ лето'!l1127+'[2]$ лето'!k1127+'[2]$ лето'!q1127+'[2]$ лето'!w1127+'[2]$ лето'!ac1127+'[2]$ лето'!ai1127+'[2]$ лето'!ao1127</f>
        <v>4</v>
      </c>
      <c r="I1127" s="109" t="n">
        <f aca="false">'[2]$ лето'!ay1127*1.1</f>
        <v>2156</v>
      </c>
    </row>
    <row r="1128" customFormat="false" ht="15" hidden="true" customHeight="false" outlineLevel="0" collapsed="false">
      <c r="A1128" s="115" t="s">
        <v>1683</v>
      </c>
      <c r="B1128" s="115" t="s">
        <v>623</v>
      </c>
      <c r="C1128" s="116" t="s">
        <v>1703</v>
      </c>
      <c r="D1128" s="116"/>
      <c r="E1128" s="116"/>
      <c r="F1128" s="116"/>
      <c r="G1128" s="108"/>
      <c r="H1128" s="105" t="n">
        <f aca="false">'[2]$ лето'!j1128-'[2]$ лето'!au1128-'[2]$ лето'!at1128-'[2]$ лето'!as1128-'[2]$ лето'!ar1128-'[2]$ лето'!aq1128-'[2]$ лето'!ap1128-'[2]$ лето'!an1128-'[2]$ лето'!am1128-'[2]$ лето'!al1128-'[2]$ лето'!ak1128-'[2]$ лето'!aj1128-'[2]$ лето'!ah1128-'[2]$ лето'!ag1128-'[2]$ лето'!af1128-'[2]$ лето'!ae1128-'[2]$ лето'!ad1128-'[2]$ лето'!ab1128-'[2]$ лето'!aa1128-'[2]$ лето'!z1128-'[2]$ лето'!y1128-'[2]$ лето'!x1128-'[2]$ лето'!v1128-'[2]$ лето'!u1128-'[2]$ лето'!t1128-'[2]$ лето'!s1128-'[2]$ лето'!r1128-'[2]$ лето'!p1128-'[2]$ лето'!o1128-'[2]$ лето'!n1128-'[2]$ лето'!m1128-'[2]$ лето'!l1128+'[2]$ лето'!k1128+'[2]$ лето'!q1128+'[2]$ лето'!w1128+'[2]$ лето'!ac1128+'[2]$ лето'!ai1128+'[2]$ лето'!ao1128</f>
        <v>0</v>
      </c>
      <c r="I1128" s="109" t="n">
        <f aca="false">'[2]$ лето'!ay1128*1.1</f>
        <v>1971.2</v>
      </c>
    </row>
    <row r="1129" customFormat="false" ht="15" hidden="false" customHeight="false" outlineLevel="0" collapsed="false">
      <c r="A1129" s="115" t="s">
        <v>1683</v>
      </c>
      <c r="B1129" s="115" t="s">
        <v>589</v>
      </c>
      <c r="C1129" s="116" t="s">
        <v>1704</v>
      </c>
      <c r="D1129" s="116"/>
      <c r="E1129" s="116"/>
      <c r="F1129" s="116"/>
      <c r="G1129" s="108" t="s">
        <v>626</v>
      </c>
      <c r="H1129" s="105" t="n">
        <f aca="false">'[2]$ лето'!j1129-'[2]$ лето'!au1129-'[2]$ лето'!at1129-'[2]$ лето'!as1129-'[2]$ лето'!ar1129-'[2]$ лето'!aq1129-'[2]$ лето'!ap1129-'[2]$ лето'!an1129-'[2]$ лето'!am1129-'[2]$ лето'!al1129-'[2]$ лето'!ak1129-'[2]$ лето'!aj1129-'[2]$ лето'!ah1129-'[2]$ лето'!ag1129-'[2]$ лето'!af1129-'[2]$ лето'!ae1129-'[2]$ лето'!ad1129-'[2]$ лето'!ab1129-'[2]$ лето'!aa1129-'[2]$ лето'!z1129-'[2]$ лето'!y1129-'[2]$ лето'!x1129-'[2]$ лето'!v1129-'[2]$ лето'!u1129-'[2]$ лето'!t1129-'[2]$ лето'!s1129-'[2]$ лето'!r1129-'[2]$ лето'!p1129-'[2]$ лето'!o1129-'[2]$ лето'!n1129-'[2]$ лето'!m1129-'[2]$ лето'!l1129+'[2]$ лето'!k1129+'[2]$ лето'!q1129+'[2]$ лето'!w1129+'[2]$ лето'!ac1129+'[2]$ лето'!ai1129+'[2]$ лето'!ao1129</f>
        <v>4</v>
      </c>
      <c r="I1129" s="109" t="n">
        <f aca="false">'[2]$ лето'!ay1129*1.1</f>
        <v>3248.96</v>
      </c>
      <c r="J1129" s="85" t="n">
        <v>2017</v>
      </c>
    </row>
    <row r="1130" customFormat="false" ht="15" hidden="false" customHeight="false" outlineLevel="0" collapsed="false">
      <c r="A1130" s="115" t="s">
        <v>1683</v>
      </c>
      <c r="B1130" s="115" t="s">
        <v>564</v>
      </c>
      <c r="C1130" s="116" t="s">
        <v>1705</v>
      </c>
      <c r="D1130" s="116"/>
      <c r="E1130" s="116"/>
      <c r="F1130" s="116"/>
      <c r="G1130" s="108" t="s">
        <v>520</v>
      </c>
      <c r="H1130" s="105" t="n">
        <f aca="false">'[2]$ лето'!j1130-'[2]$ лето'!au1130-'[2]$ лето'!at1130-'[2]$ лето'!as1130-'[2]$ лето'!ar1130-'[2]$ лето'!aq1130-'[2]$ лето'!ap1130-'[2]$ лето'!an1130-'[2]$ лето'!am1130-'[2]$ лето'!al1130-'[2]$ лето'!ak1130-'[2]$ лето'!aj1130-'[2]$ лето'!ah1130-'[2]$ лето'!ag1130-'[2]$ лето'!af1130-'[2]$ лето'!ae1130-'[2]$ лето'!ad1130-'[2]$ лето'!ab1130-'[2]$ лето'!aa1130-'[2]$ лето'!z1130-'[2]$ лето'!y1130-'[2]$ лето'!x1130-'[2]$ лето'!v1130-'[2]$ лето'!u1130-'[2]$ лето'!t1130-'[2]$ лето'!s1130-'[2]$ лето'!r1130-'[2]$ лето'!p1130-'[2]$ лето'!o1130-'[2]$ лето'!n1130-'[2]$ лето'!m1130-'[2]$ лето'!l1130+'[2]$ лето'!k1130+'[2]$ лето'!q1130+'[2]$ лето'!w1130+'[2]$ лето'!ac1130+'[2]$ лето'!ai1130+'[2]$ лето'!ao1130</f>
        <v>8</v>
      </c>
      <c r="I1130" s="109" t="n">
        <f aca="false">'[2]$ лето'!ay1130*1.1</f>
        <v>1632.4</v>
      </c>
      <c r="J1130" s="85" t="n">
        <v>2017</v>
      </c>
    </row>
    <row r="1131" customFormat="false" ht="15" hidden="true" customHeight="false" outlineLevel="0" collapsed="false">
      <c r="A1131" s="115" t="s">
        <v>1683</v>
      </c>
      <c r="B1131" s="115" t="s">
        <v>770</v>
      </c>
      <c r="C1131" s="116" t="s">
        <v>1706</v>
      </c>
      <c r="D1131" s="116"/>
      <c r="E1131" s="116"/>
      <c r="F1131" s="116"/>
      <c r="G1131" s="108"/>
      <c r="H1131" s="105" t="n">
        <f aca="false">'[2]$ лето'!j1131-'[2]$ лето'!au1131-'[2]$ лето'!at1131-'[2]$ лето'!as1131-'[2]$ лето'!ar1131-'[2]$ лето'!aq1131-'[2]$ лето'!ap1131-'[2]$ лето'!an1131-'[2]$ лето'!am1131-'[2]$ лето'!al1131-'[2]$ лето'!ak1131-'[2]$ лето'!aj1131-'[2]$ лето'!ah1131-'[2]$ лето'!ag1131-'[2]$ лето'!af1131-'[2]$ лето'!ae1131-'[2]$ лето'!ad1131-'[2]$ лето'!ab1131-'[2]$ лето'!aa1131-'[2]$ лето'!z1131-'[2]$ лето'!y1131-'[2]$ лето'!x1131-'[2]$ лето'!v1131-'[2]$ лето'!u1131-'[2]$ лето'!t1131-'[2]$ лето'!s1131-'[2]$ лето'!r1131-'[2]$ лето'!p1131-'[2]$ лето'!o1131-'[2]$ лето'!n1131-'[2]$ лето'!m1131-'[2]$ лето'!l1131+'[2]$ лето'!k1131+'[2]$ лето'!q1131+'[2]$ лето'!w1131+'[2]$ лето'!ac1131+'[2]$ лето'!ai1131+'[2]$ лето'!ao1131</f>
        <v>0</v>
      </c>
      <c r="I1131" s="109" t="n">
        <f aca="false">'[2]$ лето'!ay1131*1.1</f>
        <v>2525.6</v>
      </c>
    </row>
    <row r="1132" customFormat="false" ht="15" hidden="true" customHeight="false" outlineLevel="0" collapsed="false">
      <c r="A1132" s="115" t="s">
        <v>1707</v>
      </c>
      <c r="B1132" s="115" t="s">
        <v>1528</v>
      </c>
      <c r="C1132" s="116" t="s">
        <v>1708</v>
      </c>
      <c r="D1132" s="116"/>
      <c r="E1132" s="116"/>
      <c r="F1132" s="116"/>
      <c r="G1132" s="108" t="s">
        <v>563</v>
      </c>
      <c r="H1132" s="105" t="n">
        <f aca="false">'[2]$ лето'!j1132-'[2]$ лето'!au1132-'[2]$ лето'!at1132-'[2]$ лето'!as1132-'[2]$ лето'!ar1132-'[2]$ лето'!aq1132-'[2]$ лето'!ap1132-'[2]$ лето'!an1132-'[2]$ лето'!am1132-'[2]$ лето'!al1132-'[2]$ лето'!ak1132-'[2]$ лето'!aj1132-'[2]$ лето'!ah1132-'[2]$ лето'!ag1132-'[2]$ лето'!af1132-'[2]$ лето'!ae1132-'[2]$ лето'!ad1132-'[2]$ лето'!ab1132-'[2]$ лето'!aa1132-'[2]$ лето'!z1132-'[2]$ лето'!y1132-'[2]$ лето'!x1132-'[2]$ лето'!v1132-'[2]$ лето'!u1132-'[2]$ лето'!t1132-'[2]$ лето'!s1132-'[2]$ лето'!r1132-'[2]$ лето'!p1132-'[2]$ лето'!o1132-'[2]$ лето'!n1132-'[2]$ лето'!m1132-'[2]$ лето'!l1132+'[2]$ лето'!k1132+'[2]$ лето'!q1132+'[2]$ лето'!w1132+'[2]$ лето'!ac1132+'[2]$ лето'!ai1132+'[2]$ лето'!ao1132</f>
        <v>0</v>
      </c>
      <c r="I1132" s="109" t="n">
        <f aca="false">'[2]$ лето'!ay1132*1.1</f>
        <v>1694</v>
      </c>
    </row>
    <row r="1133" customFormat="false" ht="15" hidden="true" customHeight="false" outlineLevel="0" collapsed="false">
      <c r="A1133" s="115" t="s">
        <v>1707</v>
      </c>
      <c r="B1133" s="115" t="s">
        <v>991</v>
      </c>
      <c r="C1133" s="107" t="s">
        <v>1266</v>
      </c>
      <c r="D1133" s="107"/>
      <c r="E1133" s="107"/>
      <c r="F1133" s="107"/>
      <c r="G1133" s="108" t="s">
        <v>520</v>
      </c>
      <c r="H1133" s="105" t="n">
        <f aca="false">'[2]$ лето'!j1133-'[2]$ лето'!au1133-'[2]$ лето'!at1133-'[2]$ лето'!as1133-'[2]$ лето'!ar1133-'[2]$ лето'!aq1133-'[2]$ лето'!ap1133-'[2]$ лето'!an1133-'[2]$ лето'!am1133-'[2]$ лето'!al1133-'[2]$ лето'!ak1133-'[2]$ лето'!aj1133-'[2]$ лето'!ah1133-'[2]$ лето'!ag1133-'[2]$ лето'!af1133-'[2]$ лето'!ae1133-'[2]$ лето'!ad1133-'[2]$ лето'!ab1133-'[2]$ лето'!aa1133-'[2]$ лето'!z1133-'[2]$ лето'!y1133-'[2]$ лето'!x1133-'[2]$ лето'!v1133-'[2]$ лето'!u1133-'[2]$ лето'!t1133-'[2]$ лето'!s1133-'[2]$ лето'!r1133-'[2]$ лето'!p1133-'[2]$ лето'!o1133-'[2]$ лето'!n1133-'[2]$ лето'!m1133-'[2]$ лето'!l1133+'[2]$ лето'!k1133+'[2]$ лето'!q1133+'[2]$ лето'!w1133+'[2]$ лето'!ac1133+'[2]$ лето'!ai1133+'[2]$ лето'!ao1133</f>
        <v>0</v>
      </c>
      <c r="I1133" s="109" t="n">
        <f aca="false">'[2]$ лето'!ay1133*1.1</f>
        <v>1632.4</v>
      </c>
    </row>
    <row r="1134" customFormat="false" ht="15" hidden="true" customHeight="false" outlineLevel="0" collapsed="false">
      <c r="A1134" s="115" t="s">
        <v>1707</v>
      </c>
      <c r="B1134" s="115" t="s">
        <v>568</v>
      </c>
      <c r="C1134" s="107" t="s">
        <v>1709</v>
      </c>
      <c r="D1134" s="107"/>
      <c r="E1134" s="107"/>
      <c r="F1134" s="107"/>
      <c r="G1134" s="108"/>
      <c r="H1134" s="105" t="n">
        <f aca="false">'[2]$ лето'!j1134-'[2]$ лето'!au1134-'[2]$ лето'!at1134-'[2]$ лето'!as1134-'[2]$ лето'!ar1134-'[2]$ лето'!aq1134-'[2]$ лето'!ap1134-'[2]$ лето'!an1134-'[2]$ лето'!am1134-'[2]$ лето'!al1134-'[2]$ лето'!ak1134-'[2]$ лето'!aj1134-'[2]$ лето'!ah1134-'[2]$ лето'!ag1134-'[2]$ лето'!af1134-'[2]$ лето'!ae1134-'[2]$ лето'!ad1134-'[2]$ лето'!ab1134-'[2]$ лето'!aa1134-'[2]$ лето'!z1134-'[2]$ лето'!y1134-'[2]$ лето'!x1134-'[2]$ лето'!v1134-'[2]$ лето'!u1134-'[2]$ лето'!t1134-'[2]$ лето'!s1134-'[2]$ лето'!r1134-'[2]$ лето'!p1134-'[2]$ лето'!o1134-'[2]$ лето'!n1134-'[2]$ лето'!m1134-'[2]$ лето'!l1134+'[2]$ лето'!k1134+'[2]$ лето'!q1134+'[2]$ лето'!w1134+'[2]$ лето'!ac1134+'[2]$ лето'!ai1134+'[2]$ лето'!ao1134</f>
        <v>0</v>
      </c>
      <c r="I1134" s="109" t="n">
        <f aca="false">'[2]$ лето'!ay1134*1.1</f>
        <v>1940.4</v>
      </c>
    </row>
    <row r="1135" customFormat="false" ht="15" hidden="true" customHeight="false" outlineLevel="0" collapsed="false">
      <c r="A1135" s="115" t="s">
        <v>1707</v>
      </c>
      <c r="B1135" s="115" t="s">
        <v>658</v>
      </c>
      <c r="C1135" s="116" t="s">
        <v>1534</v>
      </c>
      <c r="D1135" s="116"/>
      <c r="E1135" s="116"/>
      <c r="F1135" s="116"/>
      <c r="G1135" s="108"/>
      <c r="H1135" s="105" t="n">
        <f aca="false">'[2]$ лето'!j1135-'[2]$ лето'!au1135-'[2]$ лето'!at1135-'[2]$ лето'!as1135-'[2]$ лето'!ar1135-'[2]$ лето'!aq1135-'[2]$ лето'!ap1135-'[2]$ лето'!an1135-'[2]$ лето'!am1135-'[2]$ лето'!al1135-'[2]$ лето'!ak1135-'[2]$ лето'!aj1135-'[2]$ лето'!ah1135-'[2]$ лето'!ag1135-'[2]$ лето'!af1135-'[2]$ лето'!ae1135-'[2]$ лето'!ad1135-'[2]$ лето'!ab1135-'[2]$ лето'!aa1135-'[2]$ лето'!z1135-'[2]$ лето'!y1135-'[2]$ лето'!x1135-'[2]$ лето'!v1135-'[2]$ лето'!u1135-'[2]$ лето'!t1135-'[2]$ лето'!s1135-'[2]$ лето'!r1135-'[2]$ лето'!p1135-'[2]$ лето'!o1135-'[2]$ лето'!n1135-'[2]$ лето'!m1135-'[2]$ лето'!l1135+'[2]$ лето'!k1135+'[2]$ лето'!q1135+'[2]$ лето'!w1135+'[2]$ лето'!ac1135+'[2]$ лето'!ai1135+'[2]$ лето'!ao1135</f>
        <v>0</v>
      </c>
      <c r="I1135" s="109" t="n">
        <f aca="false">'[2]$ лето'!ay1135*1.1</f>
        <v>3234</v>
      </c>
      <c r="J1135" s="85" t="n">
        <v>2018</v>
      </c>
    </row>
    <row r="1136" customFormat="false" ht="15" hidden="true" customHeight="false" outlineLevel="0" collapsed="false">
      <c r="A1136" s="115" t="s">
        <v>1707</v>
      </c>
      <c r="B1136" s="115" t="s">
        <v>658</v>
      </c>
      <c r="C1136" s="116" t="s">
        <v>1710</v>
      </c>
      <c r="D1136" s="116"/>
      <c r="E1136" s="116"/>
      <c r="F1136" s="116"/>
      <c r="G1136" s="108"/>
      <c r="H1136" s="105" t="n">
        <f aca="false">'[2]$ лето'!j1136-'[2]$ лето'!au1136-'[2]$ лето'!at1136-'[2]$ лето'!as1136-'[2]$ лето'!ar1136-'[2]$ лето'!aq1136-'[2]$ лето'!ap1136-'[2]$ лето'!an1136-'[2]$ лето'!am1136-'[2]$ лето'!al1136-'[2]$ лето'!ak1136-'[2]$ лето'!aj1136-'[2]$ лето'!ah1136-'[2]$ лето'!ag1136-'[2]$ лето'!af1136-'[2]$ лето'!ae1136-'[2]$ лето'!ad1136-'[2]$ лето'!ab1136-'[2]$ лето'!aa1136-'[2]$ лето'!z1136-'[2]$ лето'!y1136-'[2]$ лето'!x1136-'[2]$ лето'!v1136-'[2]$ лето'!u1136-'[2]$ лето'!t1136-'[2]$ лето'!s1136-'[2]$ лето'!r1136-'[2]$ лето'!p1136-'[2]$ лето'!o1136-'[2]$ лето'!n1136-'[2]$ лето'!m1136-'[2]$ лето'!l1136+'[2]$ лето'!k1136+'[2]$ лето'!q1136+'[2]$ лето'!w1136+'[2]$ лето'!ac1136+'[2]$ лето'!ai1136+'[2]$ лето'!ao1136</f>
        <v>0</v>
      </c>
      <c r="I1136" s="109" t="n">
        <f aca="false">'[2]$ лето'!ay1136*1.1</f>
        <v>3080</v>
      </c>
      <c r="J1136" s="85" t="n">
        <v>2018</v>
      </c>
    </row>
    <row r="1137" customFormat="false" ht="15" hidden="true" customHeight="false" outlineLevel="0" collapsed="false">
      <c r="A1137" s="115" t="s">
        <v>1707</v>
      </c>
      <c r="B1137" s="115" t="s">
        <v>658</v>
      </c>
      <c r="C1137" s="116" t="s">
        <v>1711</v>
      </c>
      <c r="D1137" s="116"/>
      <c r="E1137" s="116"/>
      <c r="F1137" s="116"/>
      <c r="G1137" s="108" t="s">
        <v>631</v>
      </c>
      <c r="H1137" s="105" t="n">
        <f aca="false">'[2]$ лето'!j1137-'[2]$ лето'!au1137-'[2]$ лето'!at1137-'[2]$ лето'!as1137-'[2]$ лето'!ar1137-'[2]$ лето'!aq1137-'[2]$ лето'!ap1137-'[2]$ лето'!an1137-'[2]$ лето'!am1137-'[2]$ лето'!al1137-'[2]$ лето'!ak1137-'[2]$ лето'!aj1137-'[2]$ лето'!ah1137-'[2]$ лето'!ag1137-'[2]$ лето'!af1137-'[2]$ лето'!ae1137-'[2]$ лето'!ad1137-'[2]$ лето'!ab1137-'[2]$ лето'!aa1137-'[2]$ лето'!z1137-'[2]$ лето'!y1137-'[2]$ лето'!x1137-'[2]$ лето'!v1137-'[2]$ лето'!u1137-'[2]$ лето'!t1137-'[2]$ лето'!s1137-'[2]$ лето'!r1137-'[2]$ лето'!p1137-'[2]$ лето'!o1137-'[2]$ лето'!n1137-'[2]$ лето'!m1137-'[2]$ лето'!l1137+'[2]$ лето'!k1137+'[2]$ лето'!q1137+'[2]$ лето'!w1137+'[2]$ лето'!ac1137+'[2]$ лето'!ai1137+'[2]$ лето'!ao1137</f>
        <v>0</v>
      </c>
      <c r="I1137" s="109" t="n">
        <f aca="false">'[2]$ лето'!ay1137*1.1</f>
        <v>2926</v>
      </c>
      <c r="J1137" s="85" t="n">
        <v>2018</v>
      </c>
    </row>
    <row r="1138" customFormat="false" ht="15" hidden="false" customHeight="false" outlineLevel="0" collapsed="false">
      <c r="A1138" s="115" t="s">
        <v>1707</v>
      </c>
      <c r="B1138" s="115" t="s">
        <v>604</v>
      </c>
      <c r="C1138" s="116" t="s">
        <v>1712</v>
      </c>
      <c r="D1138" s="116"/>
      <c r="E1138" s="116"/>
      <c r="F1138" s="116"/>
      <c r="G1138" s="108" t="s">
        <v>585</v>
      </c>
      <c r="H1138" s="105" t="n">
        <f aca="false">'[2]$ лето'!j1138-'[2]$ лето'!au1138-'[2]$ лето'!at1138-'[2]$ лето'!as1138-'[2]$ лето'!ar1138-'[2]$ лето'!aq1138-'[2]$ лето'!ap1138-'[2]$ лето'!an1138-'[2]$ лето'!am1138-'[2]$ лето'!al1138-'[2]$ лето'!ak1138-'[2]$ лето'!aj1138-'[2]$ лето'!ah1138-'[2]$ лето'!ag1138-'[2]$ лето'!af1138-'[2]$ лето'!ae1138-'[2]$ лето'!ad1138-'[2]$ лето'!ab1138-'[2]$ лето'!aa1138-'[2]$ лето'!z1138-'[2]$ лето'!y1138-'[2]$ лето'!x1138-'[2]$ лето'!v1138-'[2]$ лето'!u1138-'[2]$ лето'!t1138-'[2]$ лето'!s1138-'[2]$ лето'!r1138-'[2]$ лето'!p1138-'[2]$ лето'!o1138-'[2]$ лето'!n1138-'[2]$ лето'!m1138-'[2]$ лето'!l1138+'[2]$ лето'!k1138+'[2]$ лето'!q1138+'[2]$ лето'!w1138+'[2]$ лето'!ac1138+'[2]$ лето'!ai1138+'[2]$ лето'!ao1138</f>
        <v>2</v>
      </c>
      <c r="I1138" s="109" t="n">
        <f aca="false">'[2]$ лето'!ay1138*1.1</f>
        <v>2248.4</v>
      </c>
      <c r="J1138" s="85" t="n">
        <v>2016</v>
      </c>
    </row>
    <row r="1139" customFormat="false" ht="15" hidden="false" customHeight="false" outlineLevel="0" collapsed="false">
      <c r="A1139" s="115" t="s">
        <v>1707</v>
      </c>
      <c r="B1139" s="115" t="s">
        <v>606</v>
      </c>
      <c r="C1139" s="107" t="s">
        <v>1713</v>
      </c>
      <c r="D1139" s="107"/>
      <c r="E1139" s="116"/>
      <c r="F1139" s="116"/>
      <c r="G1139" s="108" t="s">
        <v>849</v>
      </c>
      <c r="H1139" s="105" t="n">
        <f aca="false">'[2]$ лето'!j1139-'[2]$ лето'!au1139-'[2]$ лето'!at1139-'[2]$ лето'!as1139-'[2]$ лето'!ar1139-'[2]$ лето'!aq1139-'[2]$ лето'!ap1139-'[2]$ лето'!an1139-'[2]$ лето'!am1139-'[2]$ лето'!al1139-'[2]$ лето'!ak1139-'[2]$ лето'!aj1139-'[2]$ лето'!ah1139-'[2]$ лето'!ag1139-'[2]$ лето'!af1139-'[2]$ лето'!ae1139-'[2]$ лето'!ad1139-'[2]$ лето'!ab1139-'[2]$ лето'!aa1139-'[2]$ лето'!z1139-'[2]$ лето'!y1139-'[2]$ лето'!x1139-'[2]$ лето'!v1139-'[2]$ лето'!u1139-'[2]$ лето'!t1139-'[2]$ лето'!s1139-'[2]$ лето'!r1139-'[2]$ лето'!p1139-'[2]$ лето'!o1139-'[2]$ лето'!n1139-'[2]$ лето'!m1139-'[2]$ лето'!l1139+'[2]$ лето'!k1139+'[2]$ лето'!q1139+'[2]$ лето'!w1139+'[2]$ лето'!ac1139+'[2]$ лето'!ai1139+'[2]$ лето'!ao1139</f>
        <v>4</v>
      </c>
      <c r="I1139" s="109" t="n">
        <f aca="false">'[2]$ лето'!ay1139*1.1</f>
        <v>2525.6</v>
      </c>
      <c r="J1139" s="85" t="n">
        <v>2018</v>
      </c>
    </row>
    <row r="1140" customFormat="false" ht="15" hidden="true" customHeight="false" outlineLevel="0" collapsed="false">
      <c r="A1140" s="115" t="s">
        <v>1707</v>
      </c>
      <c r="B1140" s="115" t="s">
        <v>666</v>
      </c>
      <c r="C1140" s="107" t="s">
        <v>1714</v>
      </c>
      <c r="D1140" s="107"/>
      <c r="E1140" s="107"/>
      <c r="F1140" s="107"/>
      <c r="G1140" s="108"/>
      <c r="H1140" s="105" t="n">
        <f aca="false">'[2]$ лето'!j1140-'[2]$ лето'!au1140-'[2]$ лето'!at1140-'[2]$ лето'!as1140-'[2]$ лето'!ar1140-'[2]$ лето'!aq1140-'[2]$ лето'!ap1140-'[2]$ лето'!an1140-'[2]$ лето'!am1140-'[2]$ лето'!al1140-'[2]$ лето'!ak1140-'[2]$ лето'!aj1140-'[2]$ лето'!ah1140-'[2]$ лето'!ag1140-'[2]$ лето'!af1140-'[2]$ лето'!ae1140-'[2]$ лето'!ad1140-'[2]$ лето'!ab1140-'[2]$ лето'!aa1140-'[2]$ лето'!z1140-'[2]$ лето'!y1140-'[2]$ лето'!x1140-'[2]$ лето'!v1140-'[2]$ лето'!u1140-'[2]$ лето'!t1140-'[2]$ лето'!s1140-'[2]$ лето'!r1140-'[2]$ лето'!p1140-'[2]$ лето'!o1140-'[2]$ лето'!n1140-'[2]$ лето'!m1140-'[2]$ лето'!l1140+'[2]$ лето'!k1140+'[2]$ лето'!q1140+'[2]$ лето'!w1140+'[2]$ лето'!ac1140+'[2]$ лето'!ai1140+'[2]$ лето'!ao1140</f>
        <v>0</v>
      </c>
      <c r="I1140" s="109" t="n">
        <f aca="false">'[2]$ лето'!ay1140*1.1</f>
        <v>2063.6</v>
      </c>
      <c r="J1140" s="85" t="n">
        <v>2016</v>
      </c>
    </row>
    <row r="1141" customFormat="false" ht="15" hidden="false" customHeight="false" outlineLevel="0" collapsed="false">
      <c r="A1141" s="115" t="s">
        <v>1707</v>
      </c>
      <c r="B1141" s="115" t="s">
        <v>668</v>
      </c>
      <c r="C1141" s="116" t="s">
        <v>1611</v>
      </c>
      <c r="D1141" s="116"/>
      <c r="E1141" s="116"/>
      <c r="F1141" s="116"/>
      <c r="G1141" s="108" t="s">
        <v>609</v>
      </c>
      <c r="H1141" s="105" t="n">
        <f aca="false">'[2]$ лето'!j1141-'[2]$ лето'!au1141-'[2]$ лето'!at1141-'[2]$ лето'!as1141-'[2]$ лето'!ar1141-'[2]$ лето'!aq1141-'[2]$ лето'!ap1141-'[2]$ лето'!an1141-'[2]$ лето'!am1141-'[2]$ лето'!al1141-'[2]$ лето'!ak1141-'[2]$ лето'!aj1141-'[2]$ лето'!ah1141-'[2]$ лето'!ag1141-'[2]$ лето'!af1141-'[2]$ лето'!ae1141-'[2]$ лето'!ad1141-'[2]$ лето'!ab1141-'[2]$ лето'!aa1141-'[2]$ лето'!z1141-'[2]$ лето'!y1141-'[2]$ лето'!x1141-'[2]$ лето'!v1141-'[2]$ лето'!u1141-'[2]$ лето'!t1141-'[2]$ лето'!s1141-'[2]$ лето'!r1141-'[2]$ лето'!p1141-'[2]$ лето'!o1141-'[2]$ лето'!n1141-'[2]$ лето'!m1141-'[2]$ лето'!l1141+'[2]$ лето'!k1141+'[2]$ лето'!q1141+'[2]$ лето'!w1141+'[2]$ лето'!ac1141+'[2]$ лето'!ai1141+'[2]$ лето'!ao1141</f>
        <v>4</v>
      </c>
      <c r="I1141" s="109" t="n">
        <f aca="false">'[2]$ лето'!ay1141*1.1</f>
        <v>2332</v>
      </c>
      <c r="J1141" s="85" t="n">
        <v>2017</v>
      </c>
    </row>
    <row r="1142" customFormat="false" ht="15" hidden="false" customHeight="false" outlineLevel="0" collapsed="false">
      <c r="A1142" s="115" t="s">
        <v>1707</v>
      </c>
      <c r="B1142" s="115" t="s">
        <v>583</v>
      </c>
      <c r="C1142" s="107" t="s">
        <v>1715</v>
      </c>
      <c r="D1142" s="107"/>
      <c r="E1142" s="116"/>
      <c r="F1142" s="116"/>
      <c r="G1142" s="108" t="s">
        <v>631</v>
      </c>
      <c r="H1142" s="105" t="n">
        <f aca="false">'[2]$ лето'!j1142-'[2]$ лето'!au1142-'[2]$ лето'!at1142-'[2]$ лето'!as1142-'[2]$ лето'!ar1142-'[2]$ лето'!aq1142-'[2]$ лето'!ap1142-'[2]$ лето'!an1142-'[2]$ лето'!am1142-'[2]$ лето'!al1142-'[2]$ лето'!ak1142-'[2]$ лето'!aj1142-'[2]$ лето'!ah1142-'[2]$ лето'!ag1142-'[2]$ лето'!af1142-'[2]$ лето'!ae1142-'[2]$ лето'!ad1142-'[2]$ лето'!ab1142-'[2]$ лето'!aa1142-'[2]$ лето'!z1142-'[2]$ лето'!y1142-'[2]$ лето'!x1142-'[2]$ лето'!v1142-'[2]$ лето'!u1142-'[2]$ лето'!t1142-'[2]$ лето'!s1142-'[2]$ лето'!r1142-'[2]$ лето'!p1142-'[2]$ лето'!o1142-'[2]$ лето'!n1142-'[2]$ лето'!m1142-'[2]$ лето'!l1142+'[2]$ лето'!k1142+'[2]$ лето'!q1142+'[2]$ лето'!w1142+'[2]$ лето'!ac1142+'[2]$ лето'!ai1142+'[2]$ лето'!ao1142</f>
        <v>2</v>
      </c>
      <c r="I1142" s="109" t="n">
        <f aca="false">'[2]$ лето'!ay1142*1.1</f>
        <v>1724.8</v>
      </c>
      <c r="J1142" s="85" t="n">
        <v>2018</v>
      </c>
    </row>
    <row r="1143" customFormat="false" ht="15" hidden="true" customHeight="false" outlineLevel="0" collapsed="false">
      <c r="A1143" s="115" t="s">
        <v>1707</v>
      </c>
      <c r="B1143" s="115" t="s">
        <v>593</v>
      </c>
      <c r="C1143" s="114" t="s">
        <v>1716</v>
      </c>
      <c r="D1143" s="114"/>
      <c r="E1143" s="114"/>
      <c r="F1143" s="114"/>
      <c r="G1143" s="108"/>
      <c r="H1143" s="105" t="n">
        <f aca="false">'[2]$ лето'!j1143-'[2]$ лето'!au1143-'[2]$ лето'!at1143-'[2]$ лето'!as1143-'[2]$ лето'!ar1143-'[2]$ лето'!aq1143-'[2]$ лето'!ap1143-'[2]$ лето'!an1143-'[2]$ лето'!am1143-'[2]$ лето'!al1143-'[2]$ лето'!ak1143-'[2]$ лето'!aj1143-'[2]$ лето'!ah1143-'[2]$ лето'!ag1143-'[2]$ лето'!af1143-'[2]$ лето'!ae1143-'[2]$ лето'!ad1143-'[2]$ лето'!ab1143-'[2]$ лето'!aa1143-'[2]$ лето'!z1143-'[2]$ лето'!y1143-'[2]$ лето'!x1143-'[2]$ лето'!v1143-'[2]$ лето'!u1143-'[2]$ лето'!t1143-'[2]$ лето'!s1143-'[2]$ лето'!r1143-'[2]$ лето'!p1143-'[2]$ лето'!o1143-'[2]$ лето'!n1143-'[2]$ лето'!m1143-'[2]$ лето'!l1143+'[2]$ лето'!k1143+'[2]$ лето'!q1143+'[2]$ лето'!w1143+'[2]$ лето'!ac1143+'[2]$ лето'!ai1143+'[2]$ лето'!ao1143</f>
        <v>0</v>
      </c>
      <c r="I1143" s="109" t="n">
        <f aca="false">'[2]$ лето'!ay1143*1.1</f>
        <v>3080</v>
      </c>
      <c r="J1143" s="85" t="n">
        <v>2017</v>
      </c>
    </row>
    <row r="1144" customFormat="false" ht="15" hidden="true" customHeight="false" outlineLevel="0" collapsed="false">
      <c r="A1144" s="115" t="s">
        <v>1707</v>
      </c>
      <c r="B1144" s="115" t="s">
        <v>593</v>
      </c>
      <c r="C1144" s="107" t="s">
        <v>1717</v>
      </c>
      <c r="D1144" s="107"/>
      <c r="E1144" s="107"/>
      <c r="F1144" s="107"/>
      <c r="G1144" s="108"/>
      <c r="H1144" s="105" t="n">
        <f aca="false">'[2]$ лето'!j1144-'[2]$ лето'!au1144-'[2]$ лето'!at1144-'[2]$ лето'!as1144-'[2]$ лето'!ar1144-'[2]$ лето'!aq1144-'[2]$ лето'!ap1144-'[2]$ лето'!an1144-'[2]$ лето'!am1144-'[2]$ лето'!al1144-'[2]$ лето'!ak1144-'[2]$ лето'!aj1144-'[2]$ лето'!ah1144-'[2]$ лето'!ag1144-'[2]$ лето'!af1144-'[2]$ лето'!ae1144-'[2]$ лето'!ad1144-'[2]$ лето'!ab1144-'[2]$ лето'!aa1144-'[2]$ лето'!z1144-'[2]$ лето'!y1144-'[2]$ лето'!x1144-'[2]$ лето'!v1144-'[2]$ лето'!u1144-'[2]$ лето'!t1144-'[2]$ лето'!s1144-'[2]$ лето'!r1144-'[2]$ лето'!p1144-'[2]$ лето'!o1144-'[2]$ лето'!n1144-'[2]$ лето'!m1144-'[2]$ лето'!l1144+'[2]$ лето'!k1144+'[2]$ лето'!q1144+'[2]$ лето'!w1144+'[2]$ лето'!ac1144+'[2]$ лето'!ai1144+'[2]$ лето'!ao1144</f>
        <v>0</v>
      </c>
      <c r="I1144" s="109" t="n">
        <f aca="false">'[2]$ лето'!ay1144*1.1</f>
        <v>3264.8</v>
      </c>
    </row>
    <row r="1145" customFormat="false" ht="15" hidden="false" customHeight="false" outlineLevel="0" collapsed="false">
      <c r="A1145" s="123" t="s">
        <v>1707</v>
      </c>
      <c r="B1145" s="115" t="s">
        <v>615</v>
      </c>
      <c r="C1145" s="116" t="s">
        <v>1064</v>
      </c>
      <c r="D1145" s="116"/>
      <c r="E1145" s="116"/>
      <c r="F1145" s="116"/>
      <c r="G1145" s="108" t="s">
        <v>609</v>
      </c>
      <c r="H1145" s="105" t="n">
        <f aca="false">'[2]$ лето'!j1145-'[2]$ лето'!au1145-'[2]$ лето'!at1145-'[2]$ лето'!as1145-'[2]$ лето'!ar1145-'[2]$ лето'!aq1145-'[2]$ лето'!ap1145-'[2]$ лето'!an1145-'[2]$ лето'!am1145-'[2]$ лето'!al1145-'[2]$ лето'!ak1145-'[2]$ лето'!aj1145-'[2]$ лето'!ah1145-'[2]$ лето'!ag1145-'[2]$ лето'!af1145-'[2]$ лето'!ae1145-'[2]$ лето'!ad1145-'[2]$ лето'!ab1145-'[2]$ лето'!aa1145-'[2]$ лето'!z1145-'[2]$ лето'!y1145-'[2]$ лето'!x1145-'[2]$ лето'!v1145-'[2]$ лето'!u1145-'[2]$ лето'!t1145-'[2]$ лето'!s1145-'[2]$ лето'!r1145-'[2]$ лето'!p1145-'[2]$ лето'!o1145-'[2]$ лето'!n1145-'[2]$ лето'!m1145-'[2]$ лето'!l1145+'[2]$ лето'!k1145+'[2]$ лето'!q1145+'[2]$ лето'!w1145+'[2]$ лето'!ac1145+'[2]$ лето'!ai1145+'[2]$ лето'!ao1145</f>
        <v>2</v>
      </c>
      <c r="I1145" s="109" t="n">
        <f aca="false">'[2]$ лето'!ay1145*1.1</f>
        <v>1540</v>
      </c>
      <c r="J1145" s="85" t="n">
        <v>2007</v>
      </c>
    </row>
    <row r="1146" customFormat="false" ht="15" hidden="true" customHeight="false" outlineLevel="0" collapsed="false">
      <c r="A1146" s="123" t="s">
        <v>1707</v>
      </c>
      <c r="B1146" s="115" t="s">
        <v>762</v>
      </c>
      <c r="C1146" s="116" t="s">
        <v>1718</v>
      </c>
      <c r="D1146" s="116"/>
      <c r="E1146" s="116"/>
      <c r="F1146" s="116"/>
      <c r="G1146" s="108"/>
      <c r="H1146" s="105" t="n">
        <f aca="false">'[2]$ лето'!j1146-'[2]$ лето'!au1146-'[2]$ лето'!at1146-'[2]$ лето'!as1146-'[2]$ лето'!ar1146-'[2]$ лето'!aq1146-'[2]$ лето'!ap1146-'[2]$ лето'!an1146-'[2]$ лето'!am1146-'[2]$ лето'!al1146-'[2]$ лето'!ak1146-'[2]$ лето'!aj1146-'[2]$ лето'!ah1146-'[2]$ лето'!ag1146-'[2]$ лето'!af1146-'[2]$ лето'!ae1146-'[2]$ лето'!ad1146-'[2]$ лето'!ab1146-'[2]$ лето'!aa1146-'[2]$ лето'!z1146-'[2]$ лето'!y1146-'[2]$ лето'!x1146-'[2]$ лето'!v1146-'[2]$ лето'!u1146-'[2]$ лето'!t1146-'[2]$ лето'!s1146-'[2]$ лето'!r1146-'[2]$ лето'!p1146-'[2]$ лето'!o1146-'[2]$ лето'!n1146-'[2]$ лето'!m1146-'[2]$ лето'!l1146+'[2]$ лето'!k1146+'[2]$ лето'!q1146+'[2]$ лето'!w1146+'[2]$ лето'!ac1146+'[2]$ лето'!ai1146+'[2]$ лето'!ao1146</f>
        <v>0</v>
      </c>
      <c r="I1146" s="109" t="n">
        <f aca="false">'[2]$ лето'!ay1146*1.1</f>
        <v>1540</v>
      </c>
    </row>
    <row r="1147" customFormat="false" ht="15" hidden="false" customHeight="false" outlineLevel="0" collapsed="false">
      <c r="A1147" s="123" t="s">
        <v>1707</v>
      </c>
      <c r="B1147" s="115" t="s">
        <v>617</v>
      </c>
      <c r="C1147" s="116" t="s">
        <v>1719</v>
      </c>
      <c r="D1147" s="116"/>
      <c r="E1147" s="116"/>
      <c r="F1147" s="116"/>
      <c r="G1147" s="108"/>
      <c r="H1147" s="105" t="n">
        <f aca="false">'[2]$ лето'!j1147-'[2]$ лето'!au1147-'[2]$ лето'!at1147-'[2]$ лето'!as1147-'[2]$ лето'!ar1147-'[2]$ лето'!aq1147-'[2]$ лето'!ap1147-'[2]$ лето'!an1147-'[2]$ лето'!am1147-'[2]$ лето'!al1147-'[2]$ лето'!ak1147-'[2]$ лето'!aj1147-'[2]$ лето'!ah1147-'[2]$ лето'!ag1147-'[2]$ лето'!af1147-'[2]$ лето'!ae1147-'[2]$ лето'!ad1147-'[2]$ лето'!ab1147-'[2]$ лето'!aa1147-'[2]$ лето'!z1147-'[2]$ лето'!y1147-'[2]$ лето'!x1147-'[2]$ лето'!v1147-'[2]$ лето'!u1147-'[2]$ лето'!t1147-'[2]$ лето'!s1147-'[2]$ лето'!r1147-'[2]$ лето'!p1147-'[2]$ лето'!o1147-'[2]$ лето'!n1147-'[2]$ лето'!m1147-'[2]$ лето'!l1147+'[2]$ лето'!k1147+'[2]$ лето'!q1147+'[2]$ лето'!w1147+'[2]$ лето'!ac1147+'[2]$ лето'!ai1147+'[2]$ лето'!ao1147</f>
        <v>4</v>
      </c>
      <c r="I1147" s="109" t="n">
        <f aca="false">'[2]$ лето'!ay1147*1.1</f>
        <v>1485</v>
      </c>
    </row>
    <row r="1148" customFormat="false" ht="15" hidden="false" customHeight="false" outlineLevel="0" collapsed="false">
      <c r="A1148" s="123" t="s">
        <v>1707</v>
      </c>
      <c r="B1148" s="115" t="s">
        <v>80</v>
      </c>
      <c r="C1148" s="107" t="s">
        <v>1720</v>
      </c>
      <c r="D1148" s="107"/>
      <c r="E1148" s="116"/>
      <c r="F1148" s="116"/>
      <c r="G1148" s="108"/>
      <c r="H1148" s="105" t="n">
        <f aca="false">'[2]$ лето'!j1148-'[2]$ лето'!au1148-'[2]$ лето'!at1148-'[2]$ лето'!as1148-'[2]$ лето'!ar1148-'[2]$ лето'!aq1148-'[2]$ лето'!ap1148-'[2]$ лето'!an1148-'[2]$ лето'!am1148-'[2]$ лето'!al1148-'[2]$ лето'!ak1148-'[2]$ лето'!aj1148-'[2]$ лето'!ah1148-'[2]$ лето'!ag1148-'[2]$ лето'!af1148-'[2]$ лето'!ae1148-'[2]$ лето'!ad1148-'[2]$ лето'!ab1148-'[2]$ лето'!aa1148-'[2]$ лето'!z1148-'[2]$ лето'!y1148-'[2]$ лето'!x1148-'[2]$ лето'!v1148-'[2]$ лето'!u1148-'[2]$ лето'!t1148-'[2]$ лето'!s1148-'[2]$ лето'!r1148-'[2]$ лето'!p1148-'[2]$ лето'!o1148-'[2]$ лето'!n1148-'[2]$ лето'!m1148-'[2]$ лето'!l1148+'[2]$ лето'!k1148+'[2]$ лето'!q1148+'[2]$ лето'!w1148+'[2]$ лето'!ac1148+'[2]$ лето'!ai1148+'[2]$ лето'!ao1148</f>
        <v>4</v>
      </c>
      <c r="I1148" s="109" t="n">
        <f aca="false">'[2]$ лето'!ay1148*1.1</f>
        <v>1430</v>
      </c>
    </row>
    <row r="1149" customFormat="false" ht="15" hidden="false" customHeight="false" outlineLevel="0" collapsed="false">
      <c r="A1149" s="123" t="s">
        <v>1707</v>
      </c>
      <c r="B1149" s="115" t="s">
        <v>621</v>
      </c>
      <c r="C1149" s="107" t="s">
        <v>1259</v>
      </c>
      <c r="D1149" s="107"/>
      <c r="E1149" s="116"/>
      <c r="F1149" s="116"/>
      <c r="G1149" s="108" t="s">
        <v>520</v>
      </c>
      <c r="H1149" s="105" t="n">
        <f aca="false">'[2]$ лето'!j1149-'[2]$ лето'!au1149-'[2]$ лето'!at1149-'[2]$ лето'!as1149-'[2]$ лето'!ar1149-'[2]$ лето'!aq1149-'[2]$ лето'!ap1149-'[2]$ лето'!an1149-'[2]$ лето'!am1149-'[2]$ лето'!al1149-'[2]$ лето'!ak1149-'[2]$ лето'!aj1149-'[2]$ лето'!ah1149-'[2]$ лето'!ag1149-'[2]$ лето'!af1149-'[2]$ лето'!ae1149-'[2]$ лето'!ad1149-'[2]$ лето'!ab1149-'[2]$ лето'!aa1149-'[2]$ лето'!z1149-'[2]$ лето'!y1149-'[2]$ лето'!x1149-'[2]$ лето'!v1149-'[2]$ лето'!u1149-'[2]$ лето'!t1149-'[2]$ лето'!s1149-'[2]$ лето'!r1149-'[2]$ лето'!p1149-'[2]$ лето'!o1149-'[2]$ лето'!n1149-'[2]$ лето'!m1149-'[2]$ лето'!l1149+'[2]$ лето'!k1149+'[2]$ лето'!q1149+'[2]$ лето'!w1149+'[2]$ лето'!ac1149+'[2]$ лето'!ai1149+'[2]$ лето'!ao1149</f>
        <v>2</v>
      </c>
      <c r="I1149" s="109" t="n">
        <f aca="false">'[2]$ лето'!ay1149*1.1</f>
        <v>1478.4</v>
      </c>
    </row>
    <row r="1150" customFormat="false" ht="15" hidden="false" customHeight="false" outlineLevel="0" collapsed="false">
      <c r="A1150" s="123" t="s">
        <v>1707</v>
      </c>
      <c r="B1150" s="115" t="s">
        <v>589</v>
      </c>
      <c r="C1150" s="107" t="s">
        <v>1721</v>
      </c>
      <c r="D1150" s="107"/>
      <c r="E1150" s="116"/>
      <c r="F1150" s="116"/>
      <c r="G1150" s="108" t="s">
        <v>626</v>
      </c>
      <c r="H1150" s="105" t="n">
        <f aca="false">'[2]$ лето'!j1150-'[2]$ лето'!au1150-'[2]$ лето'!at1150-'[2]$ лето'!as1150-'[2]$ лето'!ar1150-'[2]$ лето'!aq1150-'[2]$ лето'!ap1150-'[2]$ лето'!an1150-'[2]$ лето'!am1150-'[2]$ лето'!al1150-'[2]$ лето'!ak1150-'[2]$ лето'!aj1150-'[2]$ лето'!ah1150-'[2]$ лето'!ag1150-'[2]$ лето'!af1150-'[2]$ лето'!ae1150-'[2]$ лето'!ad1150-'[2]$ лето'!ab1150-'[2]$ лето'!aa1150-'[2]$ лето'!z1150-'[2]$ лето'!y1150-'[2]$ лето'!x1150-'[2]$ лето'!v1150-'[2]$ лето'!u1150-'[2]$ лето'!t1150-'[2]$ лето'!s1150-'[2]$ лето'!r1150-'[2]$ лето'!p1150-'[2]$ лето'!o1150-'[2]$ лето'!n1150-'[2]$ лето'!m1150-'[2]$ лето'!l1150+'[2]$ лето'!k1150+'[2]$ лето'!q1150+'[2]$ лето'!w1150+'[2]$ лето'!ac1150+'[2]$ лето'!ai1150+'[2]$ лето'!ao1150</f>
        <v>4</v>
      </c>
      <c r="I1150" s="109" t="n">
        <f aca="false">'[2]$ лето'!ay1150*1.1</f>
        <v>2686.64</v>
      </c>
      <c r="J1150" s="85" t="n">
        <v>2017</v>
      </c>
    </row>
    <row r="1151" customFormat="false" ht="15" hidden="true" customHeight="false" outlineLevel="0" collapsed="false">
      <c r="A1151" s="123" t="s">
        <v>1707</v>
      </c>
      <c r="B1151" s="115" t="s">
        <v>589</v>
      </c>
      <c r="C1151" s="107" t="s">
        <v>1722</v>
      </c>
      <c r="D1151" s="107"/>
      <c r="E1151" s="107"/>
      <c r="F1151" s="107"/>
      <c r="G1151" s="108"/>
      <c r="H1151" s="105" t="n">
        <f aca="false">'[2]$ лето'!j1151-'[2]$ лето'!au1151-'[2]$ лето'!at1151-'[2]$ лето'!as1151-'[2]$ лето'!ar1151-'[2]$ лето'!aq1151-'[2]$ лето'!ap1151-'[2]$ лето'!an1151-'[2]$ лето'!am1151-'[2]$ лето'!al1151-'[2]$ лето'!ak1151-'[2]$ лето'!aj1151-'[2]$ лето'!ah1151-'[2]$ лето'!ag1151-'[2]$ лето'!af1151-'[2]$ лето'!ae1151-'[2]$ лето'!ad1151-'[2]$ лето'!ab1151-'[2]$ лето'!aa1151-'[2]$ лето'!z1151-'[2]$ лето'!y1151-'[2]$ лето'!x1151-'[2]$ лето'!v1151-'[2]$ лето'!u1151-'[2]$ лето'!t1151-'[2]$ лето'!s1151-'[2]$ лето'!r1151-'[2]$ лето'!p1151-'[2]$ лето'!o1151-'[2]$ лето'!n1151-'[2]$ лето'!m1151-'[2]$ лето'!l1151+'[2]$ лето'!k1151+'[2]$ лето'!q1151+'[2]$ лето'!w1151+'[2]$ лето'!ac1151+'[2]$ лето'!ai1151+'[2]$ лето'!ao1151</f>
        <v>0</v>
      </c>
      <c r="I1151" s="109" t="n">
        <f aca="false">'[2]$ лето'!ay1151*1.1</f>
        <v>2710.4</v>
      </c>
    </row>
    <row r="1152" customFormat="false" ht="15" hidden="true" customHeight="false" outlineLevel="0" collapsed="false">
      <c r="A1152" s="123" t="s">
        <v>1723</v>
      </c>
      <c r="B1152" s="115" t="s">
        <v>1724</v>
      </c>
      <c r="C1152" s="116" t="s">
        <v>1725</v>
      </c>
      <c r="D1152" s="116"/>
      <c r="E1152" s="116"/>
      <c r="F1152" s="116"/>
      <c r="G1152" s="108"/>
      <c r="H1152" s="105" t="n">
        <f aca="false">'[2]$ лето'!j1152-'[2]$ лето'!au1152-'[2]$ лето'!at1152-'[2]$ лето'!as1152-'[2]$ лето'!ar1152-'[2]$ лето'!aq1152-'[2]$ лето'!ap1152-'[2]$ лето'!an1152-'[2]$ лето'!am1152-'[2]$ лето'!al1152-'[2]$ лето'!ak1152-'[2]$ лето'!aj1152-'[2]$ лето'!ah1152-'[2]$ лето'!ag1152-'[2]$ лето'!af1152-'[2]$ лето'!ae1152-'[2]$ лето'!ad1152-'[2]$ лето'!ab1152-'[2]$ лето'!aa1152-'[2]$ лето'!z1152-'[2]$ лето'!y1152-'[2]$ лето'!x1152-'[2]$ лето'!v1152-'[2]$ лето'!u1152-'[2]$ лето'!t1152-'[2]$ лето'!s1152-'[2]$ лето'!r1152-'[2]$ лето'!p1152-'[2]$ лето'!o1152-'[2]$ лето'!n1152-'[2]$ лето'!m1152-'[2]$ лето'!l1152+'[2]$ лето'!k1152+'[2]$ лето'!q1152+'[2]$ лето'!w1152+'[2]$ лето'!ac1152+'[2]$ лето'!ai1152+'[2]$ лето'!ao1152</f>
        <v>0</v>
      </c>
      <c r="I1152" s="109" t="n">
        <f aca="false">'[2]$ лето'!ay1152*1.1</f>
        <v>2002</v>
      </c>
    </row>
    <row r="1153" customFormat="false" ht="15" hidden="false" customHeight="false" outlineLevel="0" collapsed="false">
      <c r="A1153" s="123" t="s">
        <v>1723</v>
      </c>
      <c r="B1153" s="115" t="s">
        <v>948</v>
      </c>
      <c r="C1153" s="116" t="s">
        <v>1726</v>
      </c>
      <c r="D1153" s="116"/>
      <c r="E1153" s="116" t="n">
        <v>96</v>
      </c>
      <c r="F1153" s="116" t="s">
        <v>1727</v>
      </c>
      <c r="G1153" s="108" t="s">
        <v>843</v>
      </c>
      <c r="H1153" s="105" t="n">
        <f aca="false">'[2]$ лето'!j1153-'[2]$ лето'!au1153-'[2]$ лето'!at1153-'[2]$ лето'!as1153-'[2]$ лето'!ar1153-'[2]$ лето'!aq1153-'[2]$ лето'!ap1153-'[2]$ лето'!an1153-'[2]$ лето'!am1153-'[2]$ лето'!al1153-'[2]$ лето'!ak1153-'[2]$ лето'!aj1153-'[2]$ лето'!ah1153-'[2]$ лето'!ag1153-'[2]$ лето'!af1153-'[2]$ лето'!ae1153-'[2]$ лето'!ad1153-'[2]$ лето'!ab1153-'[2]$ лето'!aa1153-'[2]$ лето'!z1153-'[2]$ лето'!y1153-'[2]$ лето'!x1153-'[2]$ лето'!v1153-'[2]$ лето'!u1153-'[2]$ лето'!t1153-'[2]$ лето'!s1153-'[2]$ лето'!r1153-'[2]$ лето'!p1153-'[2]$ лето'!o1153-'[2]$ лето'!n1153-'[2]$ лето'!m1153-'[2]$ лето'!l1153+'[2]$ лето'!k1153+'[2]$ лето'!q1153+'[2]$ лето'!w1153+'[2]$ лето'!ac1153+'[2]$ лето'!ai1153+'[2]$ лето'!ao1153</f>
        <v>4</v>
      </c>
      <c r="I1153" s="109" t="n">
        <f aca="false">'[2]$ лето'!ay1153*1.1</f>
        <v>4004</v>
      </c>
      <c r="J1153" s="85" t="n">
        <v>2018</v>
      </c>
    </row>
    <row r="1154" customFormat="false" ht="15" hidden="true" customHeight="false" outlineLevel="0" collapsed="false">
      <c r="A1154" s="123" t="s">
        <v>1723</v>
      </c>
      <c r="B1154" s="123" t="s">
        <v>668</v>
      </c>
      <c r="C1154" s="107" t="s">
        <v>1611</v>
      </c>
      <c r="D1154" s="107"/>
      <c r="E1154" s="107"/>
      <c r="F1154" s="107"/>
      <c r="G1154" s="108" t="s">
        <v>609</v>
      </c>
      <c r="H1154" s="105" t="n">
        <f aca="false">'[2]$ лето'!j1154-'[2]$ лето'!au1154-'[2]$ лето'!at1154-'[2]$ лето'!as1154-'[2]$ лето'!ar1154-'[2]$ лето'!aq1154-'[2]$ лето'!ap1154-'[2]$ лето'!an1154-'[2]$ лето'!am1154-'[2]$ лето'!al1154-'[2]$ лето'!ak1154-'[2]$ лето'!aj1154-'[2]$ лето'!ah1154-'[2]$ лето'!ag1154-'[2]$ лето'!af1154-'[2]$ лето'!ae1154-'[2]$ лето'!ad1154-'[2]$ лето'!ab1154-'[2]$ лето'!aa1154-'[2]$ лето'!z1154-'[2]$ лето'!y1154-'[2]$ лето'!x1154-'[2]$ лето'!v1154-'[2]$ лето'!u1154-'[2]$ лето'!t1154-'[2]$ лето'!s1154-'[2]$ лето'!r1154-'[2]$ лето'!p1154-'[2]$ лето'!o1154-'[2]$ лето'!n1154-'[2]$ лето'!m1154-'[2]$ лето'!l1154+'[2]$ лето'!k1154+'[2]$ лето'!q1154+'[2]$ лето'!w1154+'[2]$ лето'!ac1154+'[2]$ лето'!ai1154+'[2]$ лето'!ao1154</f>
        <v>0</v>
      </c>
      <c r="I1154" s="109" t="n">
        <f aca="false">'[2]$ лето'!ay1154*1.1</f>
        <v>2970</v>
      </c>
      <c r="J1154" s="85" t="n">
        <v>2017</v>
      </c>
    </row>
    <row r="1155" customFormat="false" ht="15" hidden="true" customHeight="false" outlineLevel="0" collapsed="false">
      <c r="A1155" s="115" t="s">
        <v>1723</v>
      </c>
      <c r="B1155" s="115" t="s">
        <v>593</v>
      </c>
      <c r="C1155" s="107" t="s">
        <v>1728</v>
      </c>
      <c r="D1155" s="107"/>
      <c r="E1155" s="107"/>
      <c r="F1155" s="107"/>
      <c r="G1155" s="108"/>
      <c r="H1155" s="105" t="n">
        <f aca="false">'[2]$ лето'!j1155-'[2]$ лето'!au1155-'[2]$ лето'!at1155-'[2]$ лето'!as1155-'[2]$ лето'!ar1155-'[2]$ лето'!aq1155-'[2]$ лето'!ap1155-'[2]$ лето'!an1155-'[2]$ лето'!am1155-'[2]$ лето'!al1155-'[2]$ лето'!ak1155-'[2]$ лето'!aj1155-'[2]$ лето'!ah1155-'[2]$ лето'!ag1155-'[2]$ лето'!af1155-'[2]$ лето'!ae1155-'[2]$ лето'!ad1155-'[2]$ лето'!ab1155-'[2]$ лето'!aa1155-'[2]$ лето'!z1155-'[2]$ лето'!y1155-'[2]$ лето'!x1155-'[2]$ лето'!v1155-'[2]$ лето'!u1155-'[2]$ лето'!t1155-'[2]$ лето'!s1155-'[2]$ лето'!r1155-'[2]$ лето'!p1155-'[2]$ лето'!o1155-'[2]$ лето'!n1155-'[2]$ лето'!m1155-'[2]$ лето'!l1155+'[2]$ лето'!k1155+'[2]$ лето'!q1155+'[2]$ лето'!w1155+'[2]$ лето'!ac1155+'[2]$ лето'!ai1155+'[2]$ лето'!ao1155</f>
        <v>0</v>
      </c>
      <c r="I1155" s="109" t="n">
        <f aca="false">'[2]$ лето'!ay1155*1.1</f>
        <v>4158</v>
      </c>
    </row>
    <row r="1156" customFormat="false" ht="15" hidden="false" customHeight="false" outlineLevel="0" collapsed="false">
      <c r="A1156" s="115" t="s">
        <v>1723</v>
      </c>
      <c r="B1156" s="115" t="s">
        <v>615</v>
      </c>
      <c r="C1156" s="107" t="s">
        <v>1729</v>
      </c>
      <c r="D1156" s="107"/>
      <c r="E1156" s="116"/>
      <c r="F1156" s="116"/>
      <c r="G1156" s="108"/>
      <c r="H1156" s="105" t="n">
        <f aca="false">'[2]$ лето'!j1156-'[2]$ лето'!au1156-'[2]$ лето'!at1156-'[2]$ лето'!as1156-'[2]$ лето'!ar1156-'[2]$ лето'!aq1156-'[2]$ лето'!ap1156-'[2]$ лето'!an1156-'[2]$ лето'!am1156-'[2]$ лето'!al1156-'[2]$ лето'!ak1156-'[2]$ лето'!aj1156-'[2]$ лето'!ah1156-'[2]$ лето'!ag1156-'[2]$ лето'!af1156-'[2]$ лето'!ae1156-'[2]$ лето'!ad1156-'[2]$ лето'!ab1156-'[2]$ лето'!aa1156-'[2]$ лето'!z1156-'[2]$ лето'!y1156-'[2]$ лето'!x1156-'[2]$ лето'!v1156-'[2]$ лето'!u1156-'[2]$ лето'!t1156-'[2]$ лето'!s1156-'[2]$ лето'!r1156-'[2]$ лето'!p1156-'[2]$ лето'!o1156-'[2]$ лето'!n1156-'[2]$ лето'!m1156-'[2]$ лето'!l1156+'[2]$ лето'!k1156+'[2]$ лето'!q1156+'[2]$ лето'!w1156+'[2]$ лето'!ac1156+'[2]$ лето'!ai1156+'[2]$ лето'!ao1156</f>
        <v>4</v>
      </c>
      <c r="I1156" s="109" t="n">
        <f aca="false">'[2]$ лето'!ay1156*1.1</f>
        <v>2741.2</v>
      </c>
      <c r="J1156" s="85" t="n">
        <v>2018</v>
      </c>
    </row>
    <row r="1157" customFormat="false" ht="15" hidden="true" customHeight="false" outlineLevel="0" collapsed="false">
      <c r="A1157" s="115" t="s">
        <v>1723</v>
      </c>
      <c r="B1157" s="115" t="s">
        <v>589</v>
      </c>
      <c r="C1157" s="107" t="s">
        <v>1730</v>
      </c>
      <c r="D1157" s="107"/>
      <c r="E1157" s="107"/>
      <c r="F1157" s="107"/>
      <c r="G1157" s="108"/>
      <c r="H1157" s="105" t="n">
        <f aca="false">'[2]$ лето'!j1157-'[2]$ лето'!au1157-'[2]$ лето'!at1157-'[2]$ лето'!as1157-'[2]$ лето'!ar1157-'[2]$ лето'!aq1157-'[2]$ лето'!ap1157-'[2]$ лето'!an1157-'[2]$ лето'!am1157-'[2]$ лето'!al1157-'[2]$ лето'!ak1157-'[2]$ лето'!aj1157-'[2]$ лето'!ah1157-'[2]$ лето'!ag1157-'[2]$ лето'!af1157-'[2]$ лето'!ae1157-'[2]$ лето'!ad1157-'[2]$ лето'!ab1157-'[2]$ лето'!aa1157-'[2]$ лето'!z1157-'[2]$ лето'!y1157-'[2]$ лето'!x1157-'[2]$ лето'!v1157-'[2]$ лето'!u1157-'[2]$ лето'!t1157-'[2]$ лето'!s1157-'[2]$ лето'!r1157-'[2]$ лето'!p1157-'[2]$ лето'!o1157-'[2]$ лето'!n1157-'[2]$ лето'!m1157-'[2]$ лето'!l1157+'[2]$ лето'!k1157+'[2]$ лето'!q1157+'[2]$ лето'!w1157+'[2]$ лето'!ac1157+'[2]$ лето'!ai1157+'[2]$ лето'!ao1157</f>
        <v>0</v>
      </c>
      <c r="I1157" s="109" t="n">
        <f aca="false">'[2]$ лето'!ay1157*1.1</f>
        <v>0</v>
      </c>
    </row>
    <row r="1158" customFormat="false" ht="15" hidden="true" customHeight="false" outlineLevel="0" collapsed="false">
      <c r="A1158" s="115" t="s">
        <v>1723</v>
      </c>
      <c r="B1158" s="115" t="s">
        <v>564</v>
      </c>
      <c r="C1158" s="107" t="s">
        <v>1731</v>
      </c>
      <c r="D1158" s="107"/>
      <c r="E1158" s="107"/>
      <c r="F1158" s="107"/>
      <c r="G1158" s="108" t="s">
        <v>520</v>
      </c>
      <c r="H1158" s="105" t="n">
        <f aca="false">'[2]$ лето'!j1158-'[2]$ лето'!au1158-'[2]$ лето'!at1158-'[2]$ лето'!as1158-'[2]$ лето'!ar1158-'[2]$ лето'!aq1158-'[2]$ лето'!ap1158-'[2]$ лето'!an1158-'[2]$ лето'!am1158-'[2]$ лето'!al1158-'[2]$ лето'!ak1158-'[2]$ лето'!aj1158-'[2]$ лето'!ah1158-'[2]$ лето'!ag1158-'[2]$ лето'!af1158-'[2]$ лето'!ae1158-'[2]$ лето'!ad1158-'[2]$ лето'!ab1158-'[2]$ лето'!aa1158-'[2]$ лето'!z1158-'[2]$ лето'!y1158-'[2]$ лето'!x1158-'[2]$ лето'!v1158-'[2]$ лето'!u1158-'[2]$ лето'!t1158-'[2]$ лето'!s1158-'[2]$ лето'!r1158-'[2]$ лето'!p1158-'[2]$ лето'!o1158-'[2]$ лето'!n1158-'[2]$ лето'!m1158-'[2]$ лето'!l1158+'[2]$ лето'!k1158+'[2]$ лето'!q1158+'[2]$ лето'!w1158+'[2]$ лето'!ac1158+'[2]$ лето'!ai1158+'[2]$ лето'!ao1158</f>
        <v>0</v>
      </c>
      <c r="I1158" s="109" t="n">
        <f aca="false">'[2]$ лето'!ay1158*1.1</f>
        <v>1694</v>
      </c>
      <c r="J1158" s="85" t="n">
        <v>2017</v>
      </c>
    </row>
    <row r="1159" customFormat="false" ht="15" hidden="true" customHeight="false" outlineLevel="0" collapsed="false">
      <c r="A1159" s="115" t="s">
        <v>1723</v>
      </c>
      <c r="B1159" s="115" t="s">
        <v>1028</v>
      </c>
      <c r="C1159" s="107" t="s">
        <v>1732</v>
      </c>
      <c r="D1159" s="107"/>
      <c r="E1159" s="107"/>
      <c r="F1159" s="107"/>
      <c r="G1159" s="108"/>
      <c r="H1159" s="105" t="n">
        <f aca="false">'[2]$ лето'!j1159-'[2]$ лето'!au1159-'[2]$ лето'!at1159-'[2]$ лето'!as1159-'[2]$ лето'!ar1159-'[2]$ лето'!aq1159-'[2]$ лето'!ap1159-'[2]$ лето'!an1159-'[2]$ лето'!am1159-'[2]$ лето'!al1159-'[2]$ лето'!ak1159-'[2]$ лето'!aj1159-'[2]$ лето'!ah1159-'[2]$ лето'!ag1159-'[2]$ лето'!af1159-'[2]$ лето'!ae1159-'[2]$ лето'!ad1159-'[2]$ лето'!ab1159-'[2]$ лето'!aa1159-'[2]$ лето'!z1159-'[2]$ лето'!y1159-'[2]$ лето'!x1159-'[2]$ лето'!v1159-'[2]$ лето'!u1159-'[2]$ лето'!t1159-'[2]$ лето'!s1159-'[2]$ лето'!r1159-'[2]$ лето'!p1159-'[2]$ лето'!o1159-'[2]$ лето'!n1159-'[2]$ лето'!m1159-'[2]$ лето'!l1159+'[2]$ лето'!k1159+'[2]$ лето'!q1159+'[2]$ лето'!w1159+'[2]$ лето'!ac1159+'[2]$ лето'!ai1159+'[2]$ лето'!ao1159</f>
        <v>0</v>
      </c>
      <c r="I1159" s="109" t="n">
        <f aca="false">'[2]$ лето'!ay1159*1.1</f>
        <v>3388</v>
      </c>
    </row>
    <row r="1160" customFormat="false" ht="15" hidden="true" customHeight="false" outlineLevel="0" collapsed="false">
      <c r="A1160" s="115" t="s">
        <v>1733</v>
      </c>
      <c r="B1160" s="115" t="s">
        <v>991</v>
      </c>
      <c r="C1160" s="107" t="s">
        <v>1266</v>
      </c>
      <c r="D1160" s="107"/>
      <c r="E1160" s="107"/>
      <c r="F1160" s="107"/>
      <c r="G1160" s="108" t="s">
        <v>520</v>
      </c>
      <c r="H1160" s="105" t="n">
        <f aca="false">'[2]$ лето'!j1160-'[2]$ лето'!au1160-'[2]$ лето'!at1160-'[2]$ лето'!as1160-'[2]$ лето'!ar1160-'[2]$ лето'!aq1160-'[2]$ лето'!ap1160-'[2]$ лето'!an1160-'[2]$ лето'!am1160-'[2]$ лето'!al1160-'[2]$ лето'!ak1160-'[2]$ лето'!aj1160-'[2]$ лето'!ah1160-'[2]$ лето'!ag1160-'[2]$ лето'!af1160-'[2]$ лето'!ae1160-'[2]$ лето'!ad1160-'[2]$ лето'!ab1160-'[2]$ лето'!aa1160-'[2]$ лето'!z1160-'[2]$ лето'!y1160-'[2]$ лето'!x1160-'[2]$ лето'!v1160-'[2]$ лето'!u1160-'[2]$ лето'!t1160-'[2]$ лето'!s1160-'[2]$ лето'!r1160-'[2]$ лето'!p1160-'[2]$ лето'!o1160-'[2]$ лето'!n1160-'[2]$ лето'!m1160-'[2]$ лето'!l1160+'[2]$ лето'!k1160+'[2]$ лето'!q1160+'[2]$ лето'!w1160+'[2]$ лето'!ac1160+'[2]$ лето'!ai1160+'[2]$ лето'!ao1160</f>
        <v>0</v>
      </c>
      <c r="I1160" s="109" t="n">
        <f aca="false">'[2]$ лето'!ay1160*1.1</f>
        <v>1971.2</v>
      </c>
    </row>
    <row r="1161" customFormat="false" ht="15" hidden="true" customHeight="false" outlineLevel="0" collapsed="false">
      <c r="A1161" s="115" t="s">
        <v>1733</v>
      </c>
      <c r="B1161" s="115" t="s">
        <v>568</v>
      </c>
      <c r="C1161" s="107" t="s">
        <v>1734</v>
      </c>
      <c r="D1161" s="107"/>
      <c r="E1161" s="107"/>
      <c r="F1161" s="107"/>
      <c r="G1161" s="108"/>
      <c r="H1161" s="105" t="n">
        <f aca="false">'[2]$ лето'!j1161-'[2]$ лето'!au1161-'[2]$ лето'!at1161-'[2]$ лето'!as1161-'[2]$ лето'!ar1161-'[2]$ лето'!aq1161-'[2]$ лето'!ap1161-'[2]$ лето'!an1161-'[2]$ лето'!am1161-'[2]$ лето'!al1161-'[2]$ лето'!ak1161-'[2]$ лето'!aj1161-'[2]$ лето'!ah1161-'[2]$ лето'!ag1161-'[2]$ лето'!af1161-'[2]$ лето'!ae1161-'[2]$ лето'!ad1161-'[2]$ лето'!ab1161-'[2]$ лето'!aa1161-'[2]$ лето'!z1161-'[2]$ лето'!y1161-'[2]$ лето'!x1161-'[2]$ лето'!v1161-'[2]$ лето'!u1161-'[2]$ лето'!t1161-'[2]$ лето'!s1161-'[2]$ лето'!r1161-'[2]$ лето'!p1161-'[2]$ лето'!o1161-'[2]$ лето'!n1161-'[2]$ лето'!m1161-'[2]$ лето'!l1161+'[2]$ лето'!k1161+'[2]$ лето'!q1161+'[2]$ лето'!w1161+'[2]$ лето'!ac1161+'[2]$ лето'!ai1161+'[2]$ лето'!ao1161</f>
        <v>0</v>
      </c>
      <c r="I1161" s="109" t="n">
        <f aca="false">'[2]$ лето'!ay1161*1.1</f>
        <v>2556.4</v>
      </c>
      <c r="J1161" s="85" t="n">
        <v>2016</v>
      </c>
    </row>
    <row r="1162" customFormat="false" ht="15" hidden="true" customHeight="false" outlineLevel="0" collapsed="false">
      <c r="A1162" s="115" t="s">
        <v>1733</v>
      </c>
      <c r="B1162" s="115" t="s">
        <v>601</v>
      </c>
      <c r="C1162" s="107" t="s">
        <v>1735</v>
      </c>
      <c r="D1162" s="107"/>
      <c r="E1162" s="107"/>
      <c r="F1162" s="107"/>
      <c r="G1162" s="108"/>
      <c r="H1162" s="105" t="n">
        <f aca="false">'[2]$ лето'!j1162-'[2]$ лето'!au1162-'[2]$ лето'!at1162-'[2]$ лето'!as1162-'[2]$ лето'!ar1162-'[2]$ лето'!aq1162-'[2]$ лето'!ap1162-'[2]$ лето'!an1162-'[2]$ лето'!am1162-'[2]$ лето'!al1162-'[2]$ лето'!ak1162-'[2]$ лето'!aj1162-'[2]$ лето'!ah1162-'[2]$ лето'!ag1162-'[2]$ лето'!af1162-'[2]$ лето'!ae1162-'[2]$ лето'!ad1162-'[2]$ лето'!ab1162-'[2]$ лето'!aa1162-'[2]$ лето'!z1162-'[2]$ лето'!y1162-'[2]$ лето'!x1162-'[2]$ лето'!v1162-'[2]$ лето'!u1162-'[2]$ лето'!t1162-'[2]$ лето'!s1162-'[2]$ лето'!r1162-'[2]$ лето'!p1162-'[2]$ лето'!o1162-'[2]$ лето'!n1162-'[2]$ лето'!m1162-'[2]$ лето'!l1162+'[2]$ лето'!k1162+'[2]$ лето'!q1162+'[2]$ лето'!w1162+'[2]$ лето'!ac1162+'[2]$ лето'!ai1162+'[2]$ лето'!ao1162</f>
        <v>0</v>
      </c>
      <c r="I1162" s="109" t="n">
        <f aca="false">'[2]$ лето'!ay1162*1.1</f>
        <v>3264.8</v>
      </c>
    </row>
    <row r="1163" customFormat="false" ht="15" hidden="true" customHeight="false" outlineLevel="0" collapsed="false">
      <c r="A1163" s="115" t="s">
        <v>1733</v>
      </c>
      <c r="B1163" s="115" t="s">
        <v>658</v>
      </c>
      <c r="C1163" s="107" t="s">
        <v>1736</v>
      </c>
      <c r="D1163" s="107"/>
      <c r="E1163" s="107"/>
      <c r="F1163" s="107"/>
      <c r="G1163" s="108"/>
      <c r="H1163" s="105" t="n">
        <f aca="false">'[2]$ лето'!j1163-'[2]$ лето'!au1163-'[2]$ лето'!at1163-'[2]$ лето'!as1163-'[2]$ лето'!ar1163-'[2]$ лето'!aq1163-'[2]$ лето'!ap1163-'[2]$ лето'!an1163-'[2]$ лето'!am1163-'[2]$ лето'!al1163-'[2]$ лето'!ak1163-'[2]$ лето'!aj1163-'[2]$ лето'!ah1163-'[2]$ лето'!ag1163-'[2]$ лето'!af1163-'[2]$ лето'!ae1163-'[2]$ лето'!ad1163-'[2]$ лето'!ab1163-'[2]$ лето'!aa1163-'[2]$ лето'!z1163-'[2]$ лето'!y1163-'[2]$ лето'!x1163-'[2]$ лето'!v1163-'[2]$ лето'!u1163-'[2]$ лето'!t1163-'[2]$ лето'!s1163-'[2]$ лето'!r1163-'[2]$ лето'!p1163-'[2]$ лето'!o1163-'[2]$ лето'!n1163-'[2]$ лето'!m1163-'[2]$ лето'!l1163+'[2]$ лето'!k1163+'[2]$ лето'!q1163+'[2]$ лето'!w1163+'[2]$ лето'!ac1163+'[2]$ лето'!ai1163+'[2]$ лето'!ao1163</f>
        <v>0</v>
      </c>
      <c r="I1163" s="109" t="n">
        <f aca="false">'[2]$ лето'!ay1163*1.1</f>
        <v>3757.6</v>
      </c>
      <c r="J1163" s="85" t="n">
        <v>2017</v>
      </c>
    </row>
    <row r="1164" customFormat="false" ht="15" hidden="false" customHeight="false" outlineLevel="0" collapsed="false">
      <c r="A1164" s="115" t="s">
        <v>1733</v>
      </c>
      <c r="B1164" s="115" t="s">
        <v>658</v>
      </c>
      <c r="C1164" s="116" t="s">
        <v>1737</v>
      </c>
      <c r="D1164" s="116"/>
      <c r="E1164" s="116"/>
      <c r="F1164" s="116"/>
      <c r="G1164" s="108" t="s">
        <v>933</v>
      </c>
      <c r="H1164" s="105" t="n">
        <f aca="false">'[2]$ лето'!j1164-'[2]$ лето'!au1164-'[2]$ лето'!at1164-'[2]$ лето'!as1164-'[2]$ лето'!ar1164-'[2]$ лето'!aq1164-'[2]$ лето'!ap1164-'[2]$ лето'!an1164-'[2]$ лето'!am1164-'[2]$ лето'!al1164-'[2]$ лето'!ak1164-'[2]$ лето'!aj1164-'[2]$ лето'!ah1164-'[2]$ лето'!ag1164-'[2]$ лето'!af1164-'[2]$ лето'!ae1164-'[2]$ лето'!ad1164-'[2]$ лето'!ab1164-'[2]$ лето'!aa1164-'[2]$ лето'!z1164-'[2]$ лето'!y1164-'[2]$ лето'!x1164-'[2]$ лето'!v1164-'[2]$ лето'!u1164-'[2]$ лето'!t1164-'[2]$ лето'!s1164-'[2]$ лето'!r1164-'[2]$ лето'!p1164-'[2]$ лето'!o1164-'[2]$ лето'!n1164-'[2]$ лето'!m1164-'[2]$ лето'!l1164+'[2]$ лето'!k1164+'[2]$ лето'!q1164+'[2]$ лето'!w1164+'[2]$ лето'!ac1164+'[2]$ лето'!ai1164+'[2]$ лето'!ao1164</f>
        <v>4</v>
      </c>
      <c r="I1164" s="109" t="n">
        <f aca="false">'[2]$ лето'!ay1164*1.1</f>
        <v>3850</v>
      </c>
      <c r="J1164" s="85" t="n">
        <v>2018</v>
      </c>
    </row>
    <row r="1165" customFormat="false" ht="15" hidden="true" customHeight="false" outlineLevel="0" collapsed="false">
      <c r="A1165" s="115" t="s">
        <v>1733</v>
      </c>
      <c r="B1165" s="115" t="s">
        <v>604</v>
      </c>
      <c r="C1165" s="116" t="s">
        <v>1738</v>
      </c>
      <c r="D1165" s="116"/>
      <c r="E1165" s="116"/>
      <c r="F1165" s="116"/>
      <c r="G1165" s="108" t="s">
        <v>843</v>
      </c>
      <c r="H1165" s="105" t="n">
        <f aca="false">'[2]$ лето'!j1165-'[2]$ лето'!au1165-'[2]$ лето'!at1165-'[2]$ лето'!as1165-'[2]$ лето'!ar1165-'[2]$ лето'!aq1165-'[2]$ лето'!ap1165-'[2]$ лето'!an1165-'[2]$ лето'!am1165-'[2]$ лето'!al1165-'[2]$ лето'!ak1165-'[2]$ лето'!aj1165-'[2]$ лето'!ah1165-'[2]$ лето'!ag1165-'[2]$ лето'!af1165-'[2]$ лето'!ae1165-'[2]$ лето'!ad1165-'[2]$ лето'!ab1165-'[2]$ лето'!aa1165-'[2]$ лето'!z1165-'[2]$ лето'!y1165-'[2]$ лето'!x1165-'[2]$ лето'!v1165-'[2]$ лето'!u1165-'[2]$ лето'!t1165-'[2]$ лето'!s1165-'[2]$ лето'!r1165-'[2]$ лето'!p1165-'[2]$ лето'!o1165-'[2]$ лето'!n1165-'[2]$ лето'!m1165-'[2]$ лето'!l1165+'[2]$ лето'!k1165+'[2]$ лето'!q1165+'[2]$ лето'!w1165+'[2]$ лето'!ac1165+'[2]$ лето'!ai1165+'[2]$ лето'!ao1165</f>
        <v>0</v>
      </c>
      <c r="I1165" s="109" t="n">
        <f aca="false">'[2]$ лето'!ay1165*1.1</f>
        <v>3542</v>
      </c>
      <c r="J1165" s="85" t="n">
        <v>2018</v>
      </c>
    </row>
    <row r="1166" customFormat="false" ht="15" hidden="true" customHeight="false" outlineLevel="0" collapsed="false">
      <c r="A1166" s="115" t="s">
        <v>1733</v>
      </c>
      <c r="B1166" s="115" t="s">
        <v>606</v>
      </c>
      <c r="C1166" s="116" t="s">
        <v>1739</v>
      </c>
      <c r="D1166" s="116"/>
      <c r="E1166" s="116"/>
      <c r="F1166" s="116"/>
      <c r="G1166" s="108"/>
      <c r="H1166" s="105" t="n">
        <f aca="false">'[2]$ лето'!j1166-'[2]$ лето'!au1166-'[2]$ лето'!at1166-'[2]$ лето'!as1166-'[2]$ лето'!ar1166-'[2]$ лето'!aq1166-'[2]$ лето'!ap1166-'[2]$ лето'!an1166-'[2]$ лето'!am1166-'[2]$ лето'!al1166-'[2]$ лето'!ak1166-'[2]$ лето'!aj1166-'[2]$ лето'!ah1166-'[2]$ лето'!ag1166-'[2]$ лето'!af1166-'[2]$ лето'!ae1166-'[2]$ лето'!ad1166-'[2]$ лето'!ab1166-'[2]$ лето'!aa1166-'[2]$ лето'!z1166-'[2]$ лето'!y1166-'[2]$ лето'!x1166-'[2]$ лето'!v1166-'[2]$ лето'!u1166-'[2]$ лето'!t1166-'[2]$ лето'!s1166-'[2]$ лето'!r1166-'[2]$ лето'!p1166-'[2]$ лето'!o1166-'[2]$ лето'!n1166-'[2]$ лето'!m1166-'[2]$ лето'!l1166+'[2]$ лето'!k1166+'[2]$ лето'!q1166+'[2]$ лето'!w1166+'[2]$ лето'!ac1166+'[2]$ лето'!ai1166+'[2]$ лето'!ao1166</f>
        <v>0</v>
      </c>
      <c r="I1166" s="109" t="n">
        <f aca="false">'[2]$ лето'!ay1166*1.1</f>
        <v>3141.6</v>
      </c>
    </row>
    <row r="1167" customFormat="false" ht="15" hidden="true" customHeight="false" outlineLevel="0" collapsed="false">
      <c r="A1167" s="115" t="s">
        <v>1733</v>
      </c>
      <c r="B1167" s="115" t="s">
        <v>606</v>
      </c>
      <c r="C1167" s="116" t="s">
        <v>1740</v>
      </c>
      <c r="D1167" s="116"/>
      <c r="E1167" s="116"/>
      <c r="F1167" s="116"/>
      <c r="G1167" s="108"/>
      <c r="H1167" s="105" t="n">
        <f aca="false">'[2]$ лето'!j1167-'[2]$ лето'!au1167-'[2]$ лето'!at1167-'[2]$ лето'!as1167-'[2]$ лето'!ar1167-'[2]$ лето'!aq1167-'[2]$ лето'!ap1167-'[2]$ лето'!an1167-'[2]$ лето'!am1167-'[2]$ лето'!al1167-'[2]$ лето'!ak1167-'[2]$ лето'!aj1167-'[2]$ лето'!ah1167-'[2]$ лето'!ag1167-'[2]$ лето'!af1167-'[2]$ лето'!ae1167-'[2]$ лето'!ad1167-'[2]$ лето'!ab1167-'[2]$ лето'!aa1167-'[2]$ лето'!z1167-'[2]$ лето'!y1167-'[2]$ лето'!x1167-'[2]$ лето'!v1167-'[2]$ лето'!u1167-'[2]$ лето'!t1167-'[2]$ лето'!s1167-'[2]$ лето'!r1167-'[2]$ лето'!p1167-'[2]$ лето'!o1167-'[2]$ лето'!n1167-'[2]$ лето'!m1167-'[2]$ лето'!l1167+'[2]$ лето'!k1167+'[2]$ лето'!q1167+'[2]$ лето'!w1167+'[2]$ лето'!ac1167+'[2]$ лето'!ai1167+'[2]$ лето'!ao1167</f>
        <v>0</v>
      </c>
      <c r="I1167" s="109" t="n">
        <f aca="false">'[2]$ лето'!ay1167*1.1</f>
        <v>3141.6</v>
      </c>
    </row>
    <row r="1168" customFormat="false" ht="15" hidden="true" customHeight="false" outlineLevel="0" collapsed="false">
      <c r="A1168" s="115" t="s">
        <v>1733</v>
      </c>
      <c r="B1168" s="115" t="s">
        <v>1130</v>
      </c>
      <c r="C1168" s="116" t="s">
        <v>1741</v>
      </c>
      <c r="D1168" s="116"/>
      <c r="E1168" s="116"/>
      <c r="F1168" s="116"/>
      <c r="G1168" s="108"/>
      <c r="H1168" s="105" t="n">
        <f aca="false">'[2]$ лето'!j1168-'[2]$ лето'!au1168-'[2]$ лето'!at1168-'[2]$ лето'!as1168-'[2]$ лето'!ar1168-'[2]$ лето'!aq1168-'[2]$ лето'!ap1168-'[2]$ лето'!an1168-'[2]$ лето'!am1168-'[2]$ лето'!al1168-'[2]$ лето'!ak1168-'[2]$ лето'!aj1168-'[2]$ лето'!ah1168-'[2]$ лето'!ag1168-'[2]$ лето'!af1168-'[2]$ лето'!ae1168-'[2]$ лето'!ad1168-'[2]$ лето'!ab1168-'[2]$ лето'!aa1168-'[2]$ лето'!z1168-'[2]$ лето'!y1168-'[2]$ лето'!x1168-'[2]$ лето'!v1168-'[2]$ лето'!u1168-'[2]$ лето'!t1168-'[2]$ лето'!s1168-'[2]$ лето'!r1168-'[2]$ лето'!p1168-'[2]$ лето'!o1168-'[2]$ лето'!n1168-'[2]$ лето'!m1168-'[2]$ лето'!l1168+'[2]$ лето'!k1168+'[2]$ лето'!q1168+'[2]$ лето'!w1168+'[2]$ лето'!ac1168+'[2]$ лето'!ai1168+'[2]$ лето'!ao1168</f>
        <v>0</v>
      </c>
      <c r="I1168" s="109" t="n">
        <f aca="false">'[2]$ лето'!ay1168*1.1</f>
        <v>1755.6</v>
      </c>
    </row>
    <row r="1169" customFormat="false" ht="15" hidden="false" customHeight="false" outlineLevel="0" collapsed="false">
      <c r="A1169" s="115" t="s">
        <v>1733</v>
      </c>
      <c r="B1169" s="115" t="s">
        <v>1130</v>
      </c>
      <c r="C1169" s="116" t="s">
        <v>1742</v>
      </c>
      <c r="D1169" s="116"/>
      <c r="E1169" s="116"/>
      <c r="F1169" s="116"/>
      <c r="G1169" s="108"/>
      <c r="H1169" s="105" t="n">
        <f aca="false">'[2]$ лето'!j1169-'[2]$ лето'!au1169-'[2]$ лето'!at1169-'[2]$ лето'!as1169-'[2]$ лето'!ar1169-'[2]$ лето'!aq1169-'[2]$ лето'!ap1169-'[2]$ лето'!an1169-'[2]$ лето'!am1169-'[2]$ лето'!al1169-'[2]$ лето'!ak1169-'[2]$ лето'!aj1169-'[2]$ лето'!ah1169-'[2]$ лето'!ag1169-'[2]$ лето'!af1169-'[2]$ лето'!ae1169-'[2]$ лето'!ad1169-'[2]$ лето'!ab1169-'[2]$ лето'!aa1169-'[2]$ лето'!z1169-'[2]$ лето'!y1169-'[2]$ лето'!x1169-'[2]$ лето'!v1169-'[2]$ лето'!u1169-'[2]$ лето'!t1169-'[2]$ лето'!s1169-'[2]$ лето'!r1169-'[2]$ лето'!p1169-'[2]$ лето'!o1169-'[2]$ лето'!n1169-'[2]$ лето'!m1169-'[2]$ лето'!l1169+'[2]$ лето'!k1169+'[2]$ лето'!q1169+'[2]$ лето'!w1169+'[2]$ лето'!ac1169+'[2]$ лето'!ai1169+'[2]$ лето'!ao1169</f>
        <v>4</v>
      </c>
      <c r="I1169" s="109" t="n">
        <f aca="false">'[2]$ лето'!ay1169*1.1</f>
        <v>1694</v>
      </c>
    </row>
    <row r="1170" customFormat="false" ht="15" hidden="false" customHeight="false" outlineLevel="0" collapsed="false">
      <c r="A1170" s="115" t="s">
        <v>1733</v>
      </c>
      <c r="B1170" s="115" t="s">
        <v>668</v>
      </c>
      <c r="C1170" s="107" t="s">
        <v>1743</v>
      </c>
      <c r="D1170" s="107"/>
      <c r="E1170" s="116"/>
      <c r="F1170" s="116"/>
      <c r="G1170" s="108" t="s">
        <v>609</v>
      </c>
      <c r="H1170" s="105" t="n">
        <f aca="false">'[2]$ лето'!j1170-'[2]$ лето'!au1170-'[2]$ лето'!at1170-'[2]$ лето'!as1170-'[2]$ лето'!ar1170-'[2]$ лето'!aq1170-'[2]$ лето'!ap1170-'[2]$ лето'!an1170-'[2]$ лето'!am1170-'[2]$ лето'!al1170-'[2]$ лето'!ak1170-'[2]$ лето'!aj1170-'[2]$ лето'!ah1170-'[2]$ лето'!ag1170-'[2]$ лето'!af1170-'[2]$ лето'!ae1170-'[2]$ лето'!ad1170-'[2]$ лето'!ab1170-'[2]$ лето'!aa1170-'[2]$ лето'!z1170-'[2]$ лето'!y1170-'[2]$ лето'!x1170-'[2]$ лето'!v1170-'[2]$ лето'!u1170-'[2]$ лето'!t1170-'[2]$ лето'!s1170-'[2]$ лето'!r1170-'[2]$ лето'!p1170-'[2]$ лето'!o1170-'[2]$ лето'!n1170-'[2]$ лето'!m1170-'[2]$ лето'!l1170+'[2]$ лето'!k1170+'[2]$ лето'!q1170+'[2]$ лето'!w1170+'[2]$ лето'!ac1170+'[2]$ лето'!ai1170+'[2]$ лето'!ao1170</f>
        <v>4</v>
      </c>
      <c r="I1170" s="109" t="n">
        <f aca="false">'[2]$ лето'!ay1170*1.1</f>
        <v>2464</v>
      </c>
      <c r="J1170" s="85" t="n">
        <v>2017</v>
      </c>
    </row>
    <row r="1171" customFormat="false" ht="15" hidden="true" customHeight="false" outlineLevel="0" collapsed="false">
      <c r="A1171" s="115" t="s">
        <v>1733</v>
      </c>
      <c r="B1171" s="115" t="s">
        <v>668</v>
      </c>
      <c r="C1171" s="107" t="s">
        <v>1744</v>
      </c>
      <c r="D1171" s="107"/>
      <c r="E1171" s="107"/>
      <c r="F1171" s="107"/>
      <c r="G1171" s="108" t="s">
        <v>609</v>
      </c>
      <c r="H1171" s="105" t="n">
        <f aca="false">'[2]$ лето'!j1171-'[2]$ лето'!au1171-'[2]$ лето'!at1171-'[2]$ лето'!as1171-'[2]$ лето'!ar1171-'[2]$ лето'!aq1171-'[2]$ лето'!ap1171-'[2]$ лето'!an1171-'[2]$ лето'!am1171-'[2]$ лето'!al1171-'[2]$ лето'!ak1171-'[2]$ лето'!aj1171-'[2]$ лето'!ah1171-'[2]$ лето'!ag1171-'[2]$ лето'!af1171-'[2]$ лето'!ae1171-'[2]$ лето'!ad1171-'[2]$ лето'!ab1171-'[2]$ лето'!aa1171-'[2]$ лето'!z1171-'[2]$ лето'!y1171-'[2]$ лето'!x1171-'[2]$ лето'!v1171-'[2]$ лето'!u1171-'[2]$ лето'!t1171-'[2]$ лето'!s1171-'[2]$ лето'!r1171-'[2]$ лето'!p1171-'[2]$ лето'!o1171-'[2]$ лето'!n1171-'[2]$ лето'!m1171-'[2]$ лето'!l1171+'[2]$ лето'!k1171+'[2]$ лето'!q1171+'[2]$ лето'!w1171+'[2]$ лето'!ac1171+'[2]$ лето'!ai1171+'[2]$ лето'!ao1171</f>
        <v>0</v>
      </c>
      <c r="I1171" s="109" t="n">
        <f aca="false">'[2]$ лето'!ay1171*1.1</f>
        <v>2248.4</v>
      </c>
    </row>
    <row r="1172" customFormat="false" ht="15" hidden="true" customHeight="false" outlineLevel="0" collapsed="false">
      <c r="A1172" s="115" t="s">
        <v>1733</v>
      </c>
      <c r="B1172" s="115" t="s">
        <v>574</v>
      </c>
      <c r="C1172" s="107" t="s">
        <v>1745</v>
      </c>
      <c r="D1172" s="107"/>
      <c r="E1172" s="107"/>
      <c r="F1172" s="107"/>
      <c r="G1172" s="108" t="s">
        <v>576</v>
      </c>
      <c r="H1172" s="105" t="n">
        <f aca="false">'[2]$ лето'!j1172-'[2]$ лето'!au1172-'[2]$ лето'!at1172-'[2]$ лето'!as1172-'[2]$ лето'!ar1172-'[2]$ лето'!aq1172-'[2]$ лето'!ap1172-'[2]$ лето'!an1172-'[2]$ лето'!am1172-'[2]$ лето'!al1172-'[2]$ лето'!ak1172-'[2]$ лето'!aj1172-'[2]$ лето'!ah1172-'[2]$ лето'!ag1172-'[2]$ лето'!af1172-'[2]$ лето'!ae1172-'[2]$ лето'!ad1172-'[2]$ лето'!ab1172-'[2]$ лето'!aa1172-'[2]$ лето'!z1172-'[2]$ лето'!y1172-'[2]$ лето'!x1172-'[2]$ лето'!v1172-'[2]$ лето'!u1172-'[2]$ лето'!t1172-'[2]$ лето'!s1172-'[2]$ лето'!r1172-'[2]$ лето'!p1172-'[2]$ лето'!o1172-'[2]$ лето'!n1172-'[2]$ лето'!m1172-'[2]$ лето'!l1172+'[2]$ лето'!k1172+'[2]$ лето'!q1172+'[2]$ лето'!w1172+'[2]$ лето'!ac1172+'[2]$ лето'!ai1172+'[2]$ лето'!ao1172</f>
        <v>0</v>
      </c>
      <c r="I1172" s="109" t="n">
        <f aca="false">'[2]$ лето'!ay1172*1.1</f>
        <v>2648.8</v>
      </c>
      <c r="J1172" s="85" t="n">
        <v>2018</v>
      </c>
    </row>
    <row r="1173" customFormat="false" ht="15" hidden="false" customHeight="false" outlineLevel="0" collapsed="false">
      <c r="A1173" s="115" t="s">
        <v>1733</v>
      </c>
      <c r="B1173" s="115" t="s">
        <v>583</v>
      </c>
      <c r="C1173" s="107" t="s">
        <v>1746</v>
      </c>
      <c r="D1173" s="107"/>
      <c r="E1173" s="116"/>
      <c r="F1173" s="116"/>
      <c r="G1173" s="108" t="s">
        <v>585</v>
      </c>
      <c r="H1173" s="105" t="n">
        <f aca="false">'[2]$ лето'!j1173-'[2]$ лето'!au1173-'[2]$ лето'!at1173-'[2]$ лето'!as1173-'[2]$ лето'!ar1173-'[2]$ лето'!aq1173-'[2]$ лето'!ap1173-'[2]$ лето'!an1173-'[2]$ лето'!am1173-'[2]$ лето'!al1173-'[2]$ лето'!ak1173-'[2]$ лето'!aj1173-'[2]$ лето'!ah1173-'[2]$ лето'!ag1173-'[2]$ лето'!af1173-'[2]$ лето'!ae1173-'[2]$ лето'!ad1173-'[2]$ лето'!ab1173-'[2]$ лето'!aa1173-'[2]$ лето'!z1173-'[2]$ лето'!y1173-'[2]$ лето'!x1173-'[2]$ лето'!v1173-'[2]$ лето'!u1173-'[2]$ лето'!t1173-'[2]$ лето'!s1173-'[2]$ лето'!r1173-'[2]$ лето'!p1173-'[2]$ лето'!o1173-'[2]$ лето'!n1173-'[2]$ лето'!m1173-'[2]$ лето'!l1173+'[2]$ лето'!k1173+'[2]$ лето'!q1173+'[2]$ лето'!w1173+'[2]$ лето'!ac1173+'[2]$ лето'!ai1173+'[2]$ лето'!ao1173</f>
        <v>10</v>
      </c>
      <c r="I1173" s="109" t="n">
        <f aca="false">'[2]$ лето'!ay1173*1.1</f>
        <v>2710.4</v>
      </c>
      <c r="J1173" s="85" t="n">
        <v>2018</v>
      </c>
    </row>
    <row r="1174" customFormat="false" ht="15" hidden="true" customHeight="false" outlineLevel="0" collapsed="false">
      <c r="A1174" s="115" t="s">
        <v>1733</v>
      </c>
      <c r="B1174" s="115" t="s">
        <v>1471</v>
      </c>
      <c r="C1174" s="116" t="s">
        <v>1747</v>
      </c>
      <c r="D1174" s="116"/>
      <c r="E1174" s="116"/>
      <c r="F1174" s="116"/>
      <c r="G1174" s="108"/>
      <c r="H1174" s="105" t="n">
        <f aca="false">'[2]$ лето'!j1174-'[2]$ лето'!au1174-'[2]$ лето'!at1174-'[2]$ лето'!as1174-'[2]$ лето'!ar1174-'[2]$ лето'!aq1174-'[2]$ лето'!ap1174-'[2]$ лето'!an1174-'[2]$ лето'!am1174-'[2]$ лето'!al1174-'[2]$ лето'!ak1174-'[2]$ лето'!aj1174-'[2]$ лето'!ah1174-'[2]$ лето'!ag1174-'[2]$ лето'!af1174-'[2]$ лето'!ae1174-'[2]$ лето'!ad1174-'[2]$ лето'!ab1174-'[2]$ лето'!aa1174-'[2]$ лето'!z1174-'[2]$ лето'!y1174-'[2]$ лето'!x1174-'[2]$ лето'!v1174-'[2]$ лето'!u1174-'[2]$ лето'!t1174-'[2]$ лето'!s1174-'[2]$ лето'!r1174-'[2]$ лето'!p1174-'[2]$ лето'!o1174-'[2]$ лето'!n1174-'[2]$ лето'!m1174-'[2]$ лето'!l1174+'[2]$ лето'!k1174+'[2]$ лето'!q1174+'[2]$ лето'!w1174+'[2]$ лето'!ac1174+'[2]$ лето'!ai1174+'[2]$ лето'!ao1174</f>
        <v>0</v>
      </c>
      <c r="I1174" s="109" t="n">
        <f aca="false">'[2]$ лето'!ay1174*1.1</f>
        <v>2864.4</v>
      </c>
    </row>
    <row r="1175" customFormat="false" ht="15" hidden="true" customHeight="false" outlineLevel="0" collapsed="false">
      <c r="A1175" s="115" t="s">
        <v>1733</v>
      </c>
      <c r="B1175" s="115" t="s">
        <v>593</v>
      </c>
      <c r="C1175" s="116" t="s">
        <v>1748</v>
      </c>
      <c r="D1175" s="116"/>
      <c r="E1175" s="116"/>
      <c r="F1175" s="116"/>
      <c r="G1175" s="108"/>
      <c r="H1175" s="105" t="n">
        <f aca="false">'[2]$ лето'!j1175-'[2]$ лето'!au1175-'[2]$ лето'!at1175-'[2]$ лето'!as1175-'[2]$ лето'!ar1175-'[2]$ лето'!aq1175-'[2]$ лето'!ap1175-'[2]$ лето'!an1175-'[2]$ лето'!am1175-'[2]$ лето'!al1175-'[2]$ лето'!ak1175-'[2]$ лето'!aj1175-'[2]$ лето'!ah1175-'[2]$ лето'!ag1175-'[2]$ лето'!af1175-'[2]$ лето'!ae1175-'[2]$ лето'!ad1175-'[2]$ лето'!ab1175-'[2]$ лето'!aa1175-'[2]$ лето'!z1175-'[2]$ лето'!y1175-'[2]$ лето'!x1175-'[2]$ лето'!v1175-'[2]$ лето'!u1175-'[2]$ лето'!t1175-'[2]$ лето'!s1175-'[2]$ лето'!r1175-'[2]$ лето'!p1175-'[2]$ лето'!o1175-'[2]$ лето'!n1175-'[2]$ лето'!m1175-'[2]$ лето'!l1175+'[2]$ лето'!k1175+'[2]$ лето'!q1175+'[2]$ лето'!w1175+'[2]$ лето'!ac1175+'[2]$ лето'!ai1175+'[2]$ лето'!ao1175</f>
        <v>0</v>
      </c>
      <c r="I1175" s="109" t="n">
        <f aca="false">'[2]$ лето'!ay1175*1.1</f>
        <v>0</v>
      </c>
    </row>
    <row r="1176" customFormat="false" ht="15" hidden="true" customHeight="false" outlineLevel="0" collapsed="false">
      <c r="A1176" s="115" t="s">
        <v>1733</v>
      </c>
      <c r="B1176" s="115" t="s">
        <v>593</v>
      </c>
      <c r="C1176" s="116" t="s">
        <v>1749</v>
      </c>
      <c r="D1176" s="116"/>
      <c r="E1176" s="116"/>
      <c r="F1176" s="116"/>
      <c r="G1176" s="108"/>
      <c r="H1176" s="105" t="n">
        <f aca="false">'[2]$ лето'!j1176-'[2]$ лето'!au1176-'[2]$ лето'!at1176-'[2]$ лето'!as1176-'[2]$ лето'!ar1176-'[2]$ лето'!aq1176-'[2]$ лето'!ap1176-'[2]$ лето'!an1176-'[2]$ лето'!am1176-'[2]$ лето'!al1176-'[2]$ лето'!ak1176-'[2]$ лето'!aj1176-'[2]$ лето'!ah1176-'[2]$ лето'!ag1176-'[2]$ лето'!af1176-'[2]$ лето'!ae1176-'[2]$ лето'!ad1176-'[2]$ лето'!ab1176-'[2]$ лето'!aa1176-'[2]$ лето'!z1176-'[2]$ лето'!y1176-'[2]$ лето'!x1176-'[2]$ лето'!v1176-'[2]$ лето'!u1176-'[2]$ лето'!t1176-'[2]$ лето'!s1176-'[2]$ лето'!r1176-'[2]$ лето'!p1176-'[2]$ лето'!o1176-'[2]$ лето'!n1176-'[2]$ лето'!m1176-'[2]$ лето'!l1176+'[2]$ лето'!k1176+'[2]$ лето'!q1176+'[2]$ лето'!w1176+'[2]$ лето'!ac1176+'[2]$ лето'!ai1176+'[2]$ лето'!ao1176</f>
        <v>0</v>
      </c>
      <c r="I1176" s="109" t="n">
        <f aca="false">'[2]$ лето'!ay1176*1.1</f>
        <v>4373.6</v>
      </c>
      <c r="J1176" s="85" t="n">
        <v>2017</v>
      </c>
    </row>
    <row r="1177" customFormat="false" ht="15" hidden="true" customHeight="false" outlineLevel="0" collapsed="false">
      <c r="A1177" s="115" t="s">
        <v>1733</v>
      </c>
      <c r="B1177" s="115" t="s">
        <v>593</v>
      </c>
      <c r="C1177" s="116" t="s">
        <v>1750</v>
      </c>
      <c r="D1177" s="116"/>
      <c r="E1177" s="116"/>
      <c r="F1177" s="116"/>
      <c r="G1177" s="108" t="s">
        <v>843</v>
      </c>
      <c r="H1177" s="105" t="n">
        <f aca="false">'[2]$ лето'!j1177-'[2]$ лето'!au1177-'[2]$ лето'!at1177-'[2]$ лето'!as1177-'[2]$ лето'!ar1177-'[2]$ лето'!aq1177-'[2]$ лето'!ap1177-'[2]$ лето'!an1177-'[2]$ лето'!am1177-'[2]$ лето'!al1177-'[2]$ лето'!ak1177-'[2]$ лето'!aj1177-'[2]$ лето'!ah1177-'[2]$ лето'!ag1177-'[2]$ лето'!af1177-'[2]$ лето'!ae1177-'[2]$ лето'!ad1177-'[2]$ лето'!ab1177-'[2]$ лето'!aa1177-'[2]$ лето'!z1177-'[2]$ лето'!y1177-'[2]$ лето'!x1177-'[2]$ лето'!v1177-'[2]$ лето'!u1177-'[2]$ лето'!t1177-'[2]$ лето'!s1177-'[2]$ лето'!r1177-'[2]$ лето'!p1177-'[2]$ лето'!o1177-'[2]$ лето'!n1177-'[2]$ лето'!m1177-'[2]$ лето'!l1177+'[2]$ лето'!k1177+'[2]$ лето'!q1177+'[2]$ лето'!w1177+'[2]$ лето'!ac1177+'[2]$ лето'!ai1177+'[2]$ лето'!ao1177</f>
        <v>0</v>
      </c>
      <c r="I1177" s="109" t="n">
        <f aca="false">'[2]$ лето'!ay1177*1.1</f>
        <v>4312</v>
      </c>
      <c r="J1177" s="85" t="n">
        <v>2018</v>
      </c>
    </row>
    <row r="1178" customFormat="false" ht="15" hidden="false" customHeight="false" outlineLevel="0" collapsed="false">
      <c r="A1178" s="129" t="s">
        <v>1733</v>
      </c>
      <c r="B1178" s="129" t="s">
        <v>593</v>
      </c>
      <c r="C1178" s="131" t="s">
        <v>1751</v>
      </c>
      <c r="D1178" s="131"/>
      <c r="E1178" s="131"/>
      <c r="F1178" s="131"/>
      <c r="G1178" s="132"/>
      <c r="H1178" s="105" t="n">
        <f aca="false">'[2]$ лето'!j1178-'[2]$ лето'!au1178-'[2]$ лето'!at1178-'[2]$ лето'!as1178-'[2]$ лето'!ar1178-'[2]$ лето'!aq1178-'[2]$ лето'!ap1178-'[2]$ лето'!an1178-'[2]$ лето'!am1178-'[2]$ лето'!al1178-'[2]$ лето'!ak1178-'[2]$ лето'!aj1178-'[2]$ лето'!ah1178-'[2]$ лето'!ag1178-'[2]$ лето'!af1178-'[2]$ лето'!ae1178-'[2]$ лето'!ad1178-'[2]$ лето'!ab1178-'[2]$ лето'!aa1178-'[2]$ лето'!z1178-'[2]$ лето'!y1178-'[2]$ лето'!x1178-'[2]$ лето'!v1178-'[2]$ лето'!u1178-'[2]$ лето'!t1178-'[2]$ лето'!s1178-'[2]$ лето'!r1178-'[2]$ лето'!p1178-'[2]$ лето'!o1178-'[2]$ лето'!n1178-'[2]$ лето'!m1178-'[2]$ лето'!l1178+'[2]$ лето'!k1178+'[2]$ лето'!q1178+'[2]$ лето'!w1178+'[2]$ лето'!ac1178+'[2]$ лето'!ai1178+'[2]$ лето'!ao1178</f>
        <v>3</v>
      </c>
      <c r="I1178" s="133" t="n">
        <f aca="false">'[2]$ лето'!ay1178*1.1</f>
        <v>1320</v>
      </c>
    </row>
    <row r="1179" customFormat="false" ht="15" hidden="false" customHeight="false" outlineLevel="0" collapsed="false">
      <c r="A1179" s="129" t="s">
        <v>1733</v>
      </c>
      <c r="B1179" s="129" t="s">
        <v>593</v>
      </c>
      <c r="C1179" s="131" t="s">
        <v>1752</v>
      </c>
      <c r="D1179" s="131"/>
      <c r="E1179" s="131"/>
      <c r="F1179" s="131"/>
      <c r="G1179" s="132"/>
      <c r="H1179" s="105" t="n">
        <f aca="false">'[2]$ лето'!j1179-'[2]$ лето'!au1179-'[2]$ лето'!at1179-'[2]$ лето'!as1179-'[2]$ лето'!ar1179-'[2]$ лето'!aq1179-'[2]$ лето'!ap1179-'[2]$ лето'!an1179-'[2]$ лето'!am1179-'[2]$ лето'!al1179-'[2]$ лето'!ak1179-'[2]$ лето'!aj1179-'[2]$ лето'!ah1179-'[2]$ лето'!ag1179-'[2]$ лето'!af1179-'[2]$ лето'!ae1179-'[2]$ лето'!ad1179-'[2]$ лето'!ab1179-'[2]$ лето'!aa1179-'[2]$ лето'!z1179-'[2]$ лето'!y1179-'[2]$ лето'!x1179-'[2]$ лето'!v1179-'[2]$ лето'!u1179-'[2]$ лето'!t1179-'[2]$ лето'!s1179-'[2]$ лето'!r1179-'[2]$ лето'!p1179-'[2]$ лето'!o1179-'[2]$ лето'!n1179-'[2]$ лето'!m1179-'[2]$ лето'!l1179+'[2]$ лето'!k1179+'[2]$ лето'!q1179+'[2]$ лето'!w1179+'[2]$ лето'!ac1179+'[2]$ лето'!ai1179+'[2]$ лето'!ao1179</f>
        <v>2</v>
      </c>
      <c r="I1179" s="133" t="n">
        <f aca="false">'[2]$ лето'!ay1179*1.1</f>
        <v>1320</v>
      </c>
    </row>
    <row r="1180" customFormat="false" ht="15" hidden="false" customHeight="false" outlineLevel="0" collapsed="false">
      <c r="A1180" s="115" t="s">
        <v>1733</v>
      </c>
      <c r="B1180" s="115" t="s">
        <v>586</v>
      </c>
      <c r="C1180" s="107" t="s">
        <v>1753</v>
      </c>
      <c r="D1180" s="107"/>
      <c r="E1180" s="116"/>
      <c r="F1180" s="116"/>
      <c r="G1180" s="108" t="s">
        <v>520</v>
      </c>
      <c r="H1180" s="105" t="n">
        <f aca="false">'[2]$ лето'!j1180-'[2]$ лето'!au1180-'[2]$ лето'!at1180-'[2]$ лето'!as1180-'[2]$ лето'!ar1180-'[2]$ лето'!aq1180-'[2]$ лето'!ap1180-'[2]$ лето'!an1180-'[2]$ лето'!am1180-'[2]$ лето'!al1180-'[2]$ лето'!ak1180-'[2]$ лето'!aj1180-'[2]$ лето'!ah1180-'[2]$ лето'!ag1180-'[2]$ лето'!af1180-'[2]$ лето'!ae1180-'[2]$ лето'!ad1180-'[2]$ лето'!ab1180-'[2]$ лето'!aa1180-'[2]$ лето'!z1180-'[2]$ лето'!y1180-'[2]$ лето'!x1180-'[2]$ лето'!v1180-'[2]$ лето'!u1180-'[2]$ лето'!t1180-'[2]$ лето'!s1180-'[2]$ лето'!r1180-'[2]$ лето'!p1180-'[2]$ лето'!o1180-'[2]$ лето'!n1180-'[2]$ лето'!m1180-'[2]$ лето'!l1180+'[2]$ лето'!k1180+'[2]$ лето'!q1180+'[2]$ лето'!w1180+'[2]$ лето'!ac1180+'[2]$ лето'!ai1180+'[2]$ лето'!ao1180</f>
        <v>3</v>
      </c>
      <c r="I1180" s="109" t="n">
        <f aca="false">'[2]$ лето'!ay1180*1.1</f>
        <v>1724.8</v>
      </c>
      <c r="J1180" s="85" t="n">
        <v>2018</v>
      </c>
    </row>
    <row r="1181" customFormat="false" ht="15" hidden="false" customHeight="false" outlineLevel="0" collapsed="false">
      <c r="A1181" s="115" t="s">
        <v>1733</v>
      </c>
      <c r="B1181" s="115" t="s">
        <v>615</v>
      </c>
      <c r="C1181" s="107" t="s">
        <v>1754</v>
      </c>
      <c r="D1181" s="107"/>
      <c r="E1181" s="116" t="n">
        <v>99</v>
      </c>
      <c r="F1181" s="116" t="s">
        <v>814</v>
      </c>
      <c r="G1181" s="108" t="s">
        <v>609</v>
      </c>
      <c r="H1181" s="105" t="n">
        <f aca="false">'[2]$ лето'!j1181-'[2]$ лето'!au1181-'[2]$ лето'!at1181-'[2]$ лето'!as1181-'[2]$ лето'!ar1181-'[2]$ лето'!aq1181-'[2]$ лето'!ap1181-'[2]$ лето'!an1181-'[2]$ лето'!am1181-'[2]$ лето'!al1181-'[2]$ лето'!ak1181-'[2]$ лето'!aj1181-'[2]$ лето'!ah1181-'[2]$ лето'!ag1181-'[2]$ лето'!af1181-'[2]$ лето'!ae1181-'[2]$ лето'!ad1181-'[2]$ лето'!ab1181-'[2]$ лето'!aa1181-'[2]$ лето'!z1181-'[2]$ лето'!y1181-'[2]$ лето'!x1181-'[2]$ лето'!v1181-'[2]$ лето'!u1181-'[2]$ лето'!t1181-'[2]$ лето'!s1181-'[2]$ лето'!r1181-'[2]$ лето'!p1181-'[2]$ лето'!o1181-'[2]$ лето'!n1181-'[2]$ лето'!m1181-'[2]$ лето'!l1181+'[2]$ лето'!k1181+'[2]$ лето'!q1181+'[2]$ лето'!w1181+'[2]$ лето'!ac1181+'[2]$ лето'!ai1181+'[2]$ лето'!ao1181</f>
        <v>4</v>
      </c>
      <c r="I1181" s="109" t="n">
        <f aca="false">'[2]$ лето'!ay1181*1.1</f>
        <v>2618</v>
      </c>
      <c r="J1181" s="85" t="n">
        <v>2017</v>
      </c>
    </row>
    <row r="1182" customFormat="false" ht="15" hidden="true" customHeight="false" outlineLevel="0" collapsed="false">
      <c r="A1182" s="115" t="s">
        <v>1733</v>
      </c>
      <c r="B1182" s="115" t="s">
        <v>615</v>
      </c>
      <c r="C1182" s="107" t="s">
        <v>1755</v>
      </c>
      <c r="D1182" s="107"/>
      <c r="E1182" s="107"/>
      <c r="F1182" s="107"/>
      <c r="G1182" s="108"/>
      <c r="H1182" s="105" t="n">
        <f aca="false">'[2]$ лето'!j1182-'[2]$ лето'!au1182-'[2]$ лето'!at1182-'[2]$ лето'!as1182-'[2]$ лето'!ar1182-'[2]$ лето'!aq1182-'[2]$ лето'!ap1182-'[2]$ лето'!an1182-'[2]$ лето'!am1182-'[2]$ лето'!al1182-'[2]$ лето'!ak1182-'[2]$ лето'!aj1182-'[2]$ лето'!ah1182-'[2]$ лето'!ag1182-'[2]$ лето'!af1182-'[2]$ лето'!ae1182-'[2]$ лето'!ad1182-'[2]$ лето'!ab1182-'[2]$ лето'!aa1182-'[2]$ лето'!z1182-'[2]$ лето'!y1182-'[2]$ лето'!x1182-'[2]$ лето'!v1182-'[2]$ лето'!u1182-'[2]$ лето'!t1182-'[2]$ лето'!s1182-'[2]$ лето'!r1182-'[2]$ лето'!p1182-'[2]$ лето'!o1182-'[2]$ лето'!n1182-'[2]$ лето'!m1182-'[2]$ лето'!l1182+'[2]$ лето'!k1182+'[2]$ лето'!q1182+'[2]$ лето'!w1182+'[2]$ лето'!ac1182+'[2]$ лето'!ai1182+'[2]$ лето'!ao1182</f>
        <v>0</v>
      </c>
      <c r="I1182" s="109" t="n">
        <f aca="false">'[2]$ лето'!ay1182*1.1</f>
        <v>2310</v>
      </c>
      <c r="J1182" s="85" t="n">
        <v>2016</v>
      </c>
    </row>
    <row r="1183" customFormat="false" ht="15" hidden="false" customHeight="false" outlineLevel="0" collapsed="false">
      <c r="A1183" s="129" t="s">
        <v>1733</v>
      </c>
      <c r="B1183" s="129" t="s">
        <v>1149</v>
      </c>
      <c r="C1183" s="130" t="s">
        <v>1756</v>
      </c>
      <c r="D1183" s="130"/>
      <c r="E1183" s="131"/>
      <c r="F1183" s="131"/>
      <c r="G1183" s="132"/>
      <c r="H1183" s="105" t="n">
        <f aca="false">'[2]$ лето'!j1183-'[2]$ лето'!au1183-'[2]$ лето'!at1183-'[2]$ лето'!as1183-'[2]$ лето'!ar1183-'[2]$ лето'!aq1183-'[2]$ лето'!ap1183-'[2]$ лето'!an1183-'[2]$ лето'!am1183-'[2]$ лето'!al1183-'[2]$ лето'!ak1183-'[2]$ лето'!aj1183-'[2]$ лето'!ah1183-'[2]$ лето'!ag1183-'[2]$ лето'!af1183-'[2]$ лето'!ae1183-'[2]$ лето'!ad1183-'[2]$ лето'!ab1183-'[2]$ лето'!aa1183-'[2]$ лето'!z1183-'[2]$ лето'!y1183-'[2]$ лето'!x1183-'[2]$ лето'!v1183-'[2]$ лето'!u1183-'[2]$ лето'!t1183-'[2]$ лето'!s1183-'[2]$ лето'!r1183-'[2]$ лето'!p1183-'[2]$ лето'!o1183-'[2]$ лето'!n1183-'[2]$ лето'!m1183-'[2]$ лето'!l1183+'[2]$ лето'!k1183+'[2]$ лето'!q1183+'[2]$ лето'!w1183+'[2]$ лето'!ac1183+'[2]$ лето'!ai1183+'[2]$ лето'!ao1183</f>
        <v>1</v>
      </c>
      <c r="I1183" s="133" t="n">
        <f aca="false">'[2]$ лето'!ay1183*1.1</f>
        <v>616</v>
      </c>
    </row>
    <row r="1184" customFormat="false" ht="15" hidden="true" customHeight="false" outlineLevel="0" collapsed="false">
      <c r="A1184" s="115" t="s">
        <v>1733</v>
      </c>
      <c r="B1184" s="115" t="s">
        <v>725</v>
      </c>
      <c r="C1184" s="107" t="s">
        <v>1757</v>
      </c>
      <c r="D1184" s="107"/>
      <c r="E1184" s="107"/>
      <c r="F1184" s="107"/>
      <c r="G1184" s="108"/>
      <c r="H1184" s="105" t="n">
        <f aca="false">'[2]$ лето'!j1184-'[2]$ лето'!au1184-'[2]$ лето'!at1184-'[2]$ лето'!as1184-'[2]$ лето'!ar1184-'[2]$ лето'!aq1184-'[2]$ лето'!ap1184-'[2]$ лето'!an1184-'[2]$ лето'!am1184-'[2]$ лето'!al1184-'[2]$ лето'!ak1184-'[2]$ лето'!aj1184-'[2]$ лето'!ah1184-'[2]$ лето'!ag1184-'[2]$ лето'!af1184-'[2]$ лето'!ae1184-'[2]$ лето'!ad1184-'[2]$ лето'!ab1184-'[2]$ лето'!aa1184-'[2]$ лето'!z1184-'[2]$ лето'!y1184-'[2]$ лето'!x1184-'[2]$ лето'!v1184-'[2]$ лето'!u1184-'[2]$ лето'!t1184-'[2]$ лето'!s1184-'[2]$ лето'!r1184-'[2]$ лето'!p1184-'[2]$ лето'!o1184-'[2]$ лето'!n1184-'[2]$ лето'!m1184-'[2]$ лето'!l1184+'[2]$ лето'!k1184+'[2]$ лето'!q1184+'[2]$ лето'!w1184+'[2]$ лето'!ac1184+'[2]$ лето'!ai1184+'[2]$ лето'!ao1184</f>
        <v>0</v>
      </c>
      <c r="I1184" s="109" t="n">
        <f aca="false">'[2]$ лето'!ay1184*1.1</f>
        <v>2464</v>
      </c>
      <c r="J1184" s="85" t="n">
        <v>2017</v>
      </c>
    </row>
    <row r="1185" customFormat="false" ht="15" hidden="false" customHeight="false" outlineLevel="0" collapsed="false">
      <c r="A1185" s="115" t="s">
        <v>1733</v>
      </c>
      <c r="B1185" s="115" t="s">
        <v>833</v>
      </c>
      <c r="C1185" s="107" t="s">
        <v>1758</v>
      </c>
      <c r="D1185" s="107"/>
      <c r="E1185" s="116"/>
      <c r="F1185" s="116"/>
      <c r="G1185" s="108"/>
      <c r="H1185" s="105" t="n">
        <f aca="false">'[2]$ лето'!j1185-'[2]$ лето'!au1185-'[2]$ лето'!at1185-'[2]$ лето'!as1185-'[2]$ лето'!ar1185-'[2]$ лето'!aq1185-'[2]$ лето'!ap1185-'[2]$ лето'!an1185-'[2]$ лето'!am1185-'[2]$ лето'!al1185-'[2]$ лето'!ak1185-'[2]$ лето'!aj1185-'[2]$ лето'!ah1185-'[2]$ лето'!ag1185-'[2]$ лето'!af1185-'[2]$ лето'!ae1185-'[2]$ лето'!ad1185-'[2]$ лето'!ab1185-'[2]$ лето'!aa1185-'[2]$ лето'!z1185-'[2]$ лето'!y1185-'[2]$ лето'!x1185-'[2]$ лето'!v1185-'[2]$ лето'!u1185-'[2]$ лето'!t1185-'[2]$ лето'!s1185-'[2]$ лето'!r1185-'[2]$ лето'!p1185-'[2]$ лето'!o1185-'[2]$ лето'!n1185-'[2]$ лето'!m1185-'[2]$ лето'!l1185+'[2]$ лето'!k1185+'[2]$ лето'!q1185+'[2]$ лето'!w1185+'[2]$ лето'!ac1185+'[2]$ лето'!ai1185+'[2]$ лето'!ao1185</f>
        <v>2</v>
      </c>
      <c r="I1185" s="109" t="n">
        <f aca="false">'[2]$ лето'!ay1185*1.1</f>
        <v>1724.8</v>
      </c>
    </row>
    <row r="1186" customFormat="false" ht="15" hidden="false" customHeight="false" outlineLevel="0" collapsed="false">
      <c r="A1186" s="115" t="s">
        <v>1733</v>
      </c>
      <c r="B1186" s="115" t="s">
        <v>621</v>
      </c>
      <c r="C1186" s="107" t="s">
        <v>1759</v>
      </c>
      <c r="D1186" s="107"/>
      <c r="E1186" s="116"/>
      <c r="F1186" s="116"/>
      <c r="G1186" s="108" t="s">
        <v>520</v>
      </c>
      <c r="H1186" s="105" t="n">
        <f aca="false">'[2]$ лето'!j1186-'[2]$ лето'!au1186-'[2]$ лето'!at1186-'[2]$ лето'!as1186-'[2]$ лето'!ar1186-'[2]$ лето'!aq1186-'[2]$ лето'!ap1186-'[2]$ лето'!an1186-'[2]$ лето'!am1186-'[2]$ лето'!al1186-'[2]$ лето'!ak1186-'[2]$ лето'!aj1186-'[2]$ лето'!ah1186-'[2]$ лето'!ag1186-'[2]$ лето'!af1186-'[2]$ лето'!ae1186-'[2]$ лето'!ad1186-'[2]$ лето'!ab1186-'[2]$ лето'!aa1186-'[2]$ лето'!z1186-'[2]$ лето'!y1186-'[2]$ лето'!x1186-'[2]$ лето'!v1186-'[2]$ лето'!u1186-'[2]$ лето'!t1186-'[2]$ лето'!s1186-'[2]$ лето'!r1186-'[2]$ лето'!p1186-'[2]$ лето'!o1186-'[2]$ лето'!n1186-'[2]$ лето'!m1186-'[2]$ лето'!l1186+'[2]$ лето'!k1186+'[2]$ лето'!q1186+'[2]$ лето'!w1186+'[2]$ лето'!ac1186+'[2]$ лето'!ai1186+'[2]$ лето'!ao1186</f>
        <v>8</v>
      </c>
      <c r="I1186" s="109" t="n">
        <f aca="false">'[2]$ лето'!ay1186*1.1</f>
        <v>1601.6</v>
      </c>
    </row>
    <row r="1187" customFormat="false" ht="15" hidden="true" customHeight="false" outlineLevel="0" collapsed="false">
      <c r="A1187" s="115" t="s">
        <v>1733</v>
      </c>
      <c r="B1187" s="115" t="s">
        <v>589</v>
      </c>
      <c r="C1187" s="107" t="s">
        <v>1760</v>
      </c>
      <c r="D1187" s="107"/>
      <c r="E1187" s="107"/>
      <c r="F1187" s="107"/>
      <c r="G1187" s="108"/>
      <c r="H1187" s="105" t="n">
        <f aca="false">'[2]$ лето'!j1187-'[2]$ лето'!au1187-'[2]$ лето'!at1187-'[2]$ лето'!as1187-'[2]$ лето'!ar1187-'[2]$ лето'!aq1187-'[2]$ лето'!ap1187-'[2]$ лето'!an1187-'[2]$ лето'!am1187-'[2]$ лето'!al1187-'[2]$ лето'!ak1187-'[2]$ лето'!aj1187-'[2]$ лето'!ah1187-'[2]$ лето'!ag1187-'[2]$ лето'!af1187-'[2]$ лето'!ae1187-'[2]$ лето'!ad1187-'[2]$ лето'!ab1187-'[2]$ лето'!aa1187-'[2]$ лето'!z1187-'[2]$ лето'!y1187-'[2]$ лето'!x1187-'[2]$ лето'!v1187-'[2]$ лето'!u1187-'[2]$ лето'!t1187-'[2]$ лето'!s1187-'[2]$ лето'!r1187-'[2]$ лето'!p1187-'[2]$ лето'!o1187-'[2]$ лето'!n1187-'[2]$ лето'!m1187-'[2]$ лето'!l1187+'[2]$ лето'!k1187+'[2]$ лето'!q1187+'[2]$ лето'!w1187+'[2]$ лето'!ac1187+'[2]$ лето'!ai1187+'[2]$ лето'!ao1187</f>
        <v>0</v>
      </c>
      <c r="I1187" s="109" t="n">
        <f aca="false">'[2]$ лето'!ay1187*1.1</f>
        <v>3388</v>
      </c>
    </row>
    <row r="1188" customFormat="false" ht="15" hidden="true" customHeight="false" outlineLevel="0" collapsed="false">
      <c r="A1188" s="115" t="s">
        <v>1733</v>
      </c>
      <c r="B1188" s="115" t="s">
        <v>589</v>
      </c>
      <c r="C1188" s="107" t="s">
        <v>1761</v>
      </c>
      <c r="D1188" s="107"/>
      <c r="E1188" s="107"/>
      <c r="F1188" s="107"/>
      <c r="G1188" s="108"/>
      <c r="H1188" s="105" t="n">
        <f aca="false">'[2]$ лето'!j1188-'[2]$ лето'!au1188-'[2]$ лето'!at1188-'[2]$ лето'!as1188-'[2]$ лето'!ar1188-'[2]$ лето'!aq1188-'[2]$ лето'!ap1188-'[2]$ лето'!an1188-'[2]$ лето'!am1188-'[2]$ лето'!al1188-'[2]$ лето'!ak1188-'[2]$ лето'!aj1188-'[2]$ лето'!ah1188-'[2]$ лето'!ag1188-'[2]$ лето'!af1188-'[2]$ лето'!ae1188-'[2]$ лето'!ad1188-'[2]$ лето'!ab1188-'[2]$ лето'!aa1188-'[2]$ лето'!z1188-'[2]$ лето'!y1188-'[2]$ лето'!x1188-'[2]$ лето'!v1188-'[2]$ лето'!u1188-'[2]$ лето'!t1188-'[2]$ лето'!s1188-'[2]$ лето'!r1188-'[2]$ лето'!p1188-'[2]$ лето'!o1188-'[2]$ лето'!n1188-'[2]$ лето'!m1188-'[2]$ лето'!l1188+'[2]$ лето'!k1188+'[2]$ лето'!q1188+'[2]$ лето'!w1188+'[2]$ лето'!ac1188+'[2]$ лето'!ai1188+'[2]$ лето'!ao1188</f>
        <v>0</v>
      </c>
      <c r="I1188" s="109" t="n">
        <f aca="false">'[2]$ лето'!ay1188*1.1</f>
        <v>3449.6</v>
      </c>
      <c r="J1188" s="85" t="n">
        <v>2017</v>
      </c>
    </row>
    <row r="1189" customFormat="false" ht="15" hidden="false" customHeight="false" outlineLevel="0" collapsed="false">
      <c r="A1189" s="115" t="s">
        <v>1733</v>
      </c>
      <c r="B1189" s="115" t="s">
        <v>564</v>
      </c>
      <c r="C1189" s="107" t="s">
        <v>1762</v>
      </c>
      <c r="D1189" s="107"/>
      <c r="E1189" s="116"/>
      <c r="F1189" s="116"/>
      <c r="G1189" s="108" t="s">
        <v>520</v>
      </c>
      <c r="H1189" s="105" t="n">
        <f aca="false">'[2]$ лето'!j1189-'[2]$ лето'!au1189-'[2]$ лето'!at1189-'[2]$ лето'!as1189-'[2]$ лето'!ar1189-'[2]$ лето'!aq1189-'[2]$ лето'!ap1189-'[2]$ лето'!an1189-'[2]$ лето'!am1189-'[2]$ лето'!al1189-'[2]$ лето'!ak1189-'[2]$ лето'!aj1189-'[2]$ лето'!ah1189-'[2]$ лето'!ag1189-'[2]$ лето'!af1189-'[2]$ лето'!ae1189-'[2]$ лето'!ad1189-'[2]$ лето'!ab1189-'[2]$ лето'!aa1189-'[2]$ лето'!z1189-'[2]$ лето'!y1189-'[2]$ лето'!x1189-'[2]$ лето'!v1189-'[2]$ лето'!u1189-'[2]$ лето'!t1189-'[2]$ лето'!s1189-'[2]$ лето'!r1189-'[2]$ лето'!p1189-'[2]$ лето'!o1189-'[2]$ лето'!n1189-'[2]$ лето'!m1189-'[2]$ лето'!l1189+'[2]$ лето'!k1189+'[2]$ лето'!q1189+'[2]$ лето'!w1189+'[2]$ лето'!ac1189+'[2]$ лето'!ai1189+'[2]$ лето'!ao1189</f>
        <v>8</v>
      </c>
      <c r="I1189" s="109" t="n">
        <f aca="false">'[2]$ лето'!ay1189*1.1</f>
        <v>1724.8</v>
      </c>
      <c r="J1189" s="85" t="n">
        <v>2017</v>
      </c>
    </row>
    <row r="1190" customFormat="false" ht="15" hidden="false" customHeight="false" outlineLevel="0" collapsed="false">
      <c r="A1190" s="115" t="s">
        <v>1733</v>
      </c>
      <c r="B1190" s="115" t="s">
        <v>981</v>
      </c>
      <c r="C1190" s="107" t="s">
        <v>1763</v>
      </c>
      <c r="D1190" s="107"/>
      <c r="E1190" s="116"/>
      <c r="F1190" s="116"/>
      <c r="G1190" s="108" t="s">
        <v>585</v>
      </c>
      <c r="H1190" s="105" t="n">
        <f aca="false">'[2]$ лето'!j1190-'[2]$ лето'!au1190-'[2]$ лето'!at1190-'[2]$ лето'!as1190-'[2]$ лето'!ar1190-'[2]$ лето'!aq1190-'[2]$ лето'!ap1190-'[2]$ лето'!an1190-'[2]$ лето'!am1190-'[2]$ лето'!al1190-'[2]$ лето'!ak1190-'[2]$ лето'!aj1190-'[2]$ лето'!ah1190-'[2]$ лето'!ag1190-'[2]$ лето'!af1190-'[2]$ лето'!ae1190-'[2]$ лето'!ad1190-'[2]$ лето'!ab1190-'[2]$ лето'!aa1190-'[2]$ лето'!z1190-'[2]$ лето'!y1190-'[2]$ лето'!x1190-'[2]$ лето'!v1190-'[2]$ лето'!u1190-'[2]$ лето'!t1190-'[2]$ лето'!s1190-'[2]$ лето'!r1190-'[2]$ лето'!p1190-'[2]$ лето'!o1190-'[2]$ лето'!n1190-'[2]$ лето'!m1190-'[2]$ лето'!l1190+'[2]$ лето'!k1190+'[2]$ лето'!q1190+'[2]$ лето'!w1190+'[2]$ лето'!ac1190+'[2]$ лето'!ai1190+'[2]$ лето'!ao1190</f>
        <v>4</v>
      </c>
      <c r="I1190" s="109" t="n">
        <f aca="false">'[2]$ лето'!ay1190*1.1</f>
        <v>3326.4</v>
      </c>
    </row>
    <row r="1191" customFormat="false" ht="15" hidden="false" customHeight="false" outlineLevel="0" collapsed="false">
      <c r="A1191" s="129" t="s">
        <v>1764</v>
      </c>
      <c r="B1191" s="129" t="s">
        <v>658</v>
      </c>
      <c r="C1191" s="147" t="s">
        <v>937</v>
      </c>
      <c r="D1191" s="147"/>
      <c r="E1191" s="147"/>
      <c r="F1191" s="147"/>
      <c r="G1191" s="132"/>
      <c r="H1191" s="105" t="n">
        <f aca="false">'[2]$ лето'!j1191-'[2]$ лето'!au1191-'[2]$ лето'!at1191-'[2]$ лето'!as1191-'[2]$ лето'!ar1191-'[2]$ лето'!aq1191-'[2]$ лето'!ap1191-'[2]$ лето'!an1191-'[2]$ лето'!am1191-'[2]$ лето'!al1191-'[2]$ лето'!ak1191-'[2]$ лето'!aj1191-'[2]$ лето'!ah1191-'[2]$ лето'!ag1191-'[2]$ лето'!af1191-'[2]$ лето'!ae1191-'[2]$ лето'!ad1191-'[2]$ лето'!ab1191-'[2]$ лето'!aa1191-'[2]$ лето'!z1191-'[2]$ лето'!y1191-'[2]$ лето'!x1191-'[2]$ лето'!v1191-'[2]$ лето'!u1191-'[2]$ лето'!t1191-'[2]$ лето'!s1191-'[2]$ лето'!r1191-'[2]$ лето'!p1191-'[2]$ лето'!o1191-'[2]$ лето'!n1191-'[2]$ лето'!m1191-'[2]$ лето'!l1191+'[2]$ лето'!k1191+'[2]$ лето'!q1191+'[2]$ лето'!w1191+'[2]$ лето'!ac1191+'[2]$ лето'!ai1191+'[2]$ лето'!ao1191</f>
        <v>4</v>
      </c>
      <c r="I1191" s="133" t="n">
        <f aca="false">'[2]$ лето'!ay1191*1.1</f>
        <v>330</v>
      </c>
    </row>
    <row r="1192" customFormat="false" ht="15" hidden="true" customHeight="false" outlineLevel="0" collapsed="false">
      <c r="A1192" s="115" t="s">
        <v>1764</v>
      </c>
      <c r="B1192" s="115" t="s">
        <v>606</v>
      </c>
      <c r="C1192" s="107" t="s">
        <v>1765</v>
      </c>
      <c r="D1192" s="107"/>
      <c r="E1192" s="107"/>
      <c r="F1192" s="107"/>
      <c r="G1192" s="108"/>
      <c r="H1192" s="105" t="n">
        <f aca="false">'[2]$ лето'!j1192-'[2]$ лето'!au1192-'[2]$ лето'!at1192-'[2]$ лето'!as1192-'[2]$ лето'!ar1192-'[2]$ лето'!aq1192-'[2]$ лето'!ap1192-'[2]$ лето'!an1192-'[2]$ лето'!am1192-'[2]$ лето'!al1192-'[2]$ лето'!ak1192-'[2]$ лето'!aj1192-'[2]$ лето'!ah1192-'[2]$ лето'!ag1192-'[2]$ лето'!af1192-'[2]$ лето'!ae1192-'[2]$ лето'!ad1192-'[2]$ лето'!ab1192-'[2]$ лето'!aa1192-'[2]$ лето'!z1192-'[2]$ лето'!y1192-'[2]$ лето'!x1192-'[2]$ лето'!v1192-'[2]$ лето'!u1192-'[2]$ лето'!t1192-'[2]$ лето'!s1192-'[2]$ лето'!r1192-'[2]$ лето'!p1192-'[2]$ лето'!o1192-'[2]$ лето'!n1192-'[2]$ лето'!m1192-'[2]$ лето'!l1192+'[2]$ лето'!k1192+'[2]$ лето'!q1192+'[2]$ лето'!w1192+'[2]$ лето'!ac1192+'[2]$ лето'!ai1192+'[2]$ лето'!ao1192</f>
        <v>0</v>
      </c>
      <c r="I1192" s="109" t="n">
        <f aca="false">'[2]$ лето'!ay1192*1.1</f>
        <v>3388</v>
      </c>
    </row>
    <row r="1193" customFormat="false" ht="15" hidden="true" customHeight="false" outlineLevel="0" collapsed="false">
      <c r="A1193" s="115" t="s">
        <v>1764</v>
      </c>
      <c r="B1193" s="115" t="s">
        <v>606</v>
      </c>
      <c r="C1193" s="107" t="s">
        <v>1687</v>
      </c>
      <c r="D1193" s="107"/>
      <c r="E1193" s="107"/>
      <c r="F1193" s="107"/>
      <c r="G1193" s="108"/>
      <c r="H1193" s="105" t="n">
        <f aca="false">'[2]$ лето'!j1193-'[2]$ лето'!au1193-'[2]$ лето'!at1193-'[2]$ лето'!as1193-'[2]$ лето'!ar1193-'[2]$ лето'!aq1193-'[2]$ лето'!ap1193-'[2]$ лето'!an1193-'[2]$ лето'!am1193-'[2]$ лето'!al1193-'[2]$ лето'!ak1193-'[2]$ лето'!aj1193-'[2]$ лето'!ah1193-'[2]$ лето'!ag1193-'[2]$ лето'!af1193-'[2]$ лето'!ae1193-'[2]$ лето'!ad1193-'[2]$ лето'!ab1193-'[2]$ лето'!aa1193-'[2]$ лето'!z1193-'[2]$ лето'!y1193-'[2]$ лето'!x1193-'[2]$ лето'!v1193-'[2]$ лето'!u1193-'[2]$ лето'!t1193-'[2]$ лето'!s1193-'[2]$ лето'!r1193-'[2]$ лето'!p1193-'[2]$ лето'!o1193-'[2]$ лето'!n1193-'[2]$ лето'!m1193-'[2]$ лето'!l1193+'[2]$ лето'!k1193+'[2]$ лето'!q1193+'[2]$ лето'!w1193+'[2]$ лето'!ac1193+'[2]$ лето'!ai1193+'[2]$ лето'!ao1193</f>
        <v>0</v>
      </c>
      <c r="I1193" s="109" t="n">
        <f aca="false">'[2]$ лето'!ay1193*1.1</f>
        <v>3141.6</v>
      </c>
    </row>
    <row r="1194" customFormat="false" ht="15" hidden="false" customHeight="false" outlineLevel="0" collapsed="false">
      <c r="A1194" s="115" t="s">
        <v>1764</v>
      </c>
      <c r="B1194" s="115" t="s">
        <v>593</v>
      </c>
      <c r="C1194" s="107" t="s">
        <v>1766</v>
      </c>
      <c r="D1194" s="107"/>
      <c r="E1194" s="116"/>
      <c r="F1194" s="116"/>
      <c r="G1194" s="108"/>
      <c r="H1194" s="105" t="n">
        <f aca="false">'[2]$ лето'!j1194-'[2]$ лето'!au1194-'[2]$ лето'!at1194-'[2]$ лето'!as1194-'[2]$ лето'!ar1194-'[2]$ лето'!aq1194-'[2]$ лето'!ap1194-'[2]$ лето'!an1194-'[2]$ лето'!am1194-'[2]$ лето'!al1194-'[2]$ лето'!ak1194-'[2]$ лето'!aj1194-'[2]$ лето'!ah1194-'[2]$ лето'!ag1194-'[2]$ лето'!af1194-'[2]$ лето'!ae1194-'[2]$ лето'!ad1194-'[2]$ лето'!ab1194-'[2]$ лето'!aa1194-'[2]$ лето'!z1194-'[2]$ лето'!y1194-'[2]$ лето'!x1194-'[2]$ лето'!v1194-'[2]$ лето'!u1194-'[2]$ лето'!t1194-'[2]$ лето'!s1194-'[2]$ лето'!r1194-'[2]$ лето'!p1194-'[2]$ лето'!o1194-'[2]$ лето'!n1194-'[2]$ лето'!m1194-'[2]$ лето'!l1194+'[2]$ лето'!k1194+'[2]$ лето'!q1194+'[2]$ лето'!w1194+'[2]$ лето'!ac1194+'[2]$ лето'!ai1194+'[2]$ лето'!ao1194</f>
        <v>4</v>
      </c>
      <c r="I1194" s="109" t="n">
        <f aca="false">'[2]$ лето'!ay1194*1.1</f>
        <v>4004</v>
      </c>
    </row>
    <row r="1195" customFormat="false" ht="15" hidden="true" customHeight="false" outlineLevel="0" collapsed="false">
      <c r="A1195" s="115" t="s">
        <v>1764</v>
      </c>
      <c r="B1195" s="115" t="s">
        <v>615</v>
      </c>
      <c r="C1195" s="107" t="s">
        <v>1767</v>
      </c>
      <c r="D1195" s="107"/>
      <c r="E1195" s="107"/>
      <c r="F1195" s="107"/>
      <c r="G1195" s="108"/>
      <c r="H1195" s="105" t="n">
        <f aca="false">'[2]$ лето'!j1195-'[2]$ лето'!au1195-'[2]$ лето'!at1195-'[2]$ лето'!as1195-'[2]$ лето'!ar1195-'[2]$ лето'!aq1195-'[2]$ лето'!ap1195-'[2]$ лето'!an1195-'[2]$ лето'!am1195-'[2]$ лето'!al1195-'[2]$ лето'!ak1195-'[2]$ лето'!aj1195-'[2]$ лето'!ah1195-'[2]$ лето'!ag1195-'[2]$ лето'!af1195-'[2]$ лето'!ae1195-'[2]$ лето'!ad1195-'[2]$ лето'!ab1195-'[2]$ лето'!aa1195-'[2]$ лето'!z1195-'[2]$ лето'!y1195-'[2]$ лето'!x1195-'[2]$ лето'!v1195-'[2]$ лето'!u1195-'[2]$ лето'!t1195-'[2]$ лето'!s1195-'[2]$ лето'!r1195-'[2]$ лето'!p1195-'[2]$ лето'!o1195-'[2]$ лето'!n1195-'[2]$ лето'!m1195-'[2]$ лето'!l1195+'[2]$ лето'!k1195+'[2]$ лето'!q1195+'[2]$ лето'!w1195+'[2]$ лето'!ac1195+'[2]$ лето'!ai1195+'[2]$ лето'!ao1195</f>
        <v>0</v>
      </c>
      <c r="I1195" s="109" t="n">
        <f aca="false">'[2]$ лето'!ay1195*1.1</f>
        <v>2464</v>
      </c>
    </row>
    <row r="1196" customFormat="false" ht="15" hidden="true" customHeight="false" outlineLevel="0" collapsed="false">
      <c r="A1196" s="115" t="s">
        <v>1764</v>
      </c>
      <c r="B1196" s="115" t="s">
        <v>589</v>
      </c>
      <c r="C1196" s="107" t="s">
        <v>1768</v>
      </c>
      <c r="D1196" s="107"/>
      <c r="E1196" s="107"/>
      <c r="F1196" s="107"/>
      <c r="G1196" s="108"/>
      <c r="H1196" s="105" t="n">
        <f aca="false">'[2]$ лето'!j1196-'[2]$ лето'!au1196-'[2]$ лето'!at1196-'[2]$ лето'!as1196-'[2]$ лето'!ar1196-'[2]$ лето'!aq1196-'[2]$ лето'!ap1196-'[2]$ лето'!an1196-'[2]$ лето'!am1196-'[2]$ лето'!al1196-'[2]$ лето'!ak1196-'[2]$ лето'!aj1196-'[2]$ лето'!ah1196-'[2]$ лето'!ag1196-'[2]$ лето'!af1196-'[2]$ лето'!ae1196-'[2]$ лето'!ad1196-'[2]$ лето'!ab1196-'[2]$ лето'!aa1196-'[2]$ лето'!z1196-'[2]$ лето'!y1196-'[2]$ лето'!x1196-'[2]$ лето'!v1196-'[2]$ лето'!u1196-'[2]$ лето'!t1196-'[2]$ лето'!s1196-'[2]$ лето'!r1196-'[2]$ лето'!p1196-'[2]$ лето'!o1196-'[2]$ лето'!n1196-'[2]$ лето'!m1196-'[2]$ лето'!l1196+'[2]$ лето'!k1196+'[2]$ лето'!q1196+'[2]$ лето'!w1196+'[2]$ лето'!ac1196+'[2]$ лето'!ai1196+'[2]$ лето'!ao1196</f>
        <v>0</v>
      </c>
      <c r="I1196" s="109" t="n">
        <f aca="false">'[2]$ лето'!ay1196*1.1</f>
        <v>4866.4</v>
      </c>
    </row>
    <row r="1197" customFormat="false" ht="15" hidden="true" customHeight="false" outlineLevel="0" collapsed="false">
      <c r="A1197" s="115" t="s">
        <v>1769</v>
      </c>
      <c r="B1197" s="115" t="s">
        <v>991</v>
      </c>
      <c r="C1197" s="107" t="s">
        <v>1031</v>
      </c>
      <c r="D1197" s="107"/>
      <c r="E1197" s="107"/>
      <c r="F1197" s="107"/>
      <c r="G1197" s="108" t="s">
        <v>520</v>
      </c>
      <c r="H1197" s="105" t="n">
        <f aca="false">'[2]$ лето'!j1197-'[2]$ лето'!au1197-'[2]$ лето'!at1197-'[2]$ лето'!as1197-'[2]$ лето'!ar1197-'[2]$ лето'!aq1197-'[2]$ лето'!ap1197-'[2]$ лето'!an1197-'[2]$ лето'!am1197-'[2]$ лето'!al1197-'[2]$ лето'!ak1197-'[2]$ лето'!aj1197-'[2]$ лето'!ah1197-'[2]$ лето'!ag1197-'[2]$ лето'!af1197-'[2]$ лето'!ae1197-'[2]$ лето'!ad1197-'[2]$ лето'!ab1197-'[2]$ лето'!aa1197-'[2]$ лето'!z1197-'[2]$ лето'!y1197-'[2]$ лето'!x1197-'[2]$ лето'!v1197-'[2]$ лето'!u1197-'[2]$ лето'!t1197-'[2]$ лето'!s1197-'[2]$ лето'!r1197-'[2]$ лето'!p1197-'[2]$ лето'!o1197-'[2]$ лето'!n1197-'[2]$ лето'!m1197-'[2]$ лето'!l1197+'[2]$ лето'!k1197+'[2]$ лето'!q1197+'[2]$ лето'!w1197+'[2]$ лето'!ac1197+'[2]$ лето'!ai1197+'[2]$ лето'!ao1197</f>
        <v>0</v>
      </c>
      <c r="I1197" s="109" t="n">
        <f aca="false">'[2]$ лето'!ay1197*1.1</f>
        <v>2156</v>
      </c>
    </row>
    <row r="1198" customFormat="false" ht="15" hidden="false" customHeight="false" outlineLevel="0" collapsed="false">
      <c r="A1198" s="115" t="s">
        <v>1769</v>
      </c>
      <c r="B1198" s="115" t="s">
        <v>568</v>
      </c>
      <c r="C1198" s="107" t="s">
        <v>1770</v>
      </c>
      <c r="D1198" s="107"/>
      <c r="E1198" s="116"/>
      <c r="F1198" s="116"/>
      <c r="G1198" s="108" t="s">
        <v>585</v>
      </c>
      <c r="H1198" s="105" t="n">
        <f aca="false">'[2]$ лето'!j1198-'[2]$ лето'!au1198-'[2]$ лето'!at1198-'[2]$ лето'!as1198-'[2]$ лето'!ar1198-'[2]$ лето'!aq1198-'[2]$ лето'!ap1198-'[2]$ лето'!an1198-'[2]$ лето'!am1198-'[2]$ лето'!al1198-'[2]$ лето'!ak1198-'[2]$ лето'!aj1198-'[2]$ лето'!ah1198-'[2]$ лето'!ag1198-'[2]$ лето'!af1198-'[2]$ лето'!ae1198-'[2]$ лето'!ad1198-'[2]$ лето'!ab1198-'[2]$ лето'!aa1198-'[2]$ лето'!z1198-'[2]$ лето'!y1198-'[2]$ лето'!x1198-'[2]$ лето'!v1198-'[2]$ лето'!u1198-'[2]$ лето'!t1198-'[2]$ лето'!s1198-'[2]$ лето'!r1198-'[2]$ лето'!p1198-'[2]$ лето'!o1198-'[2]$ лето'!n1198-'[2]$ лето'!m1198-'[2]$ лето'!l1198+'[2]$ лето'!k1198+'[2]$ лето'!q1198+'[2]$ лето'!w1198+'[2]$ лето'!ac1198+'[2]$ лето'!ai1198+'[2]$ лето'!ao1198</f>
        <v>4</v>
      </c>
      <c r="I1198" s="109" t="n">
        <f aca="false">'[2]$ лето'!ay1198*1.1</f>
        <v>2618</v>
      </c>
      <c r="J1198" s="85" t="n">
        <v>2017</v>
      </c>
    </row>
    <row r="1199" customFormat="false" ht="15" hidden="false" customHeight="false" outlineLevel="0" collapsed="false">
      <c r="A1199" s="115" t="s">
        <v>1769</v>
      </c>
      <c r="B1199" s="115" t="s">
        <v>601</v>
      </c>
      <c r="C1199" s="107" t="s">
        <v>1771</v>
      </c>
      <c r="D1199" s="107"/>
      <c r="E1199" s="116"/>
      <c r="F1199" s="116"/>
      <c r="G1199" s="108" t="s">
        <v>626</v>
      </c>
      <c r="H1199" s="105" t="n">
        <f aca="false">'[2]$ лето'!j1199-'[2]$ лето'!au1199-'[2]$ лето'!at1199-'[2]$ лето'!as1199-'[2]$ лето'!ar1199-'[2]$ лето'!aq1199-'[2]$ лето'!ap1199-'[2]$ лето'!an1199-'[2]$ лето'!am1199-'[2]$ лето'!al1199-'[2]$ лето'!ak1199-'[2]$ лето'!aj1199-'[2]$ лето'!ah1199-'[2]$ лето'!ag1199-'[2]$ лето'!af1199-'[2]$ лето'!ae1199-'[2]$ лето'!ad1199-'[2]$ лето'!ab1199-'[2]$ лето'!aa1199-'[2]$ лето'!z1199-'[2]$ лето'!y1199-'[2]$ лето'!x1199-'[2]$ лето'!v1199-'[2]$ лето'!u1199-'[2]$ лето'!t1199-'[2]$ лето'!s1199-'[2]$ лето'!r1199-'[2]$ лето'!p1199-'[2]$ лето'!o1199-'[2]$ лето'!n1199-'[2]$ лето'!m1199-'[2]$ лето'!l1199+'[2]$ лето'!k1199+'[2]$ лето'!q1199+'[2]$ лето'!w1199+'[2]$ лето'!ac1199+'[2]$ лето'!ai1199+'[2]$ лето'!ao1199</f>
        <v>4</v>
      </c>
      <c r="I1199" s="109" t="n">
        <f aca="false">'[2]$ лето'!ay1199*1.1</f>
        <v>3388</v>
      </c>
      <c r="J1199" s="85" t="n">
        <v>2017</v>
      </c>
    </row>
    <row r="1200" customFormat="false" ht="15" hidden="true" customHeight="false" outlineLevel="0" collapsed="false">
      <c r="A1200" s="115" t="s">
        <v>1769</v>
      </c>
      <c r="B1200" s="115" t="s">
        <v>553</v>
      </c>
      <c r="C1200" s="116" t="s">
        <v>1772</v>
      </c>
      <c r="D1200" s="116"/>
      <c r="E1200" s="116"/>
      <c r="F1200" s="116"/>
      <c r="G1200" s="108"/>
      <c r="H1200" s="105" t="n">
        <f aca="false">'[2]$ лето'!j1200-'[2]$ лето'!au1200-'[2]$ лето'!at1200-'[2]$ лето'!as1200-'[2]$ лето'!ar1200-'[2]$ лето'!aq1200-'[2]$ лето'!ap1200-'[2]$ лето'!an1200-'[2]$ лето'!am1200-'[2]$ лето'!al1200-'[2]$ лето'!ak1200-'[2]$ лето'!aj1200-'[2]$ лето'!ah1200-'[2]$ лето'!ag1200-'[2]$ лето'!af1200-'[2]$ лето'!ae1200-'[2]$ лето'!ad1200-'[2]$ лето'!ab1200-'[2]$ лето'!aa1200-'[2]$ лето'!z1200-'[2]$ лето'!y1200-'[2]$ лето'!x1200-'[2]$ лето'!v1200-'[2]$ лето'!u1200-'[2]$ лето'!t1200-'[2]$ лето'!s1200-'[2]$ лето'!r1200-'[2]$ лето'!p1200-'[2]$ лето'!o1200-'[2]$ лето'!n1200-'[2]$ лето'!m1200-'[2]$ лето'!l1200+'[2]$ лето'!k1200+'[2]$ лето'!q1200+'[2]$ лето'!w1200+'[2]$ лето'!ac1200+'[2]$ лето'!ai1200+'[2]$ лето'!ao1200</f>
        <v>0</v>
      </c>
      <c r="I1200" s="109" t="n">
        <f aca="false">'[2]$ лето'!ay1200*1.1</f>
        <v>1848</v>
      </c>
    </row>
    <row r="1201" customFormat="false" ht="15" hidden="true" customHeight="false" outlineLevel="0" collapsed="false">
      <c r="A1201" s="115" t="s">
        <v>1769</v>
      </c>
      <c r="B1201" s="115" t="s">
        <v>553</v>
      </c>
      <c r="C1201" s="116" t="s">
        <v>1773</v>
      </c>
      <c r="D1201" s="116"/>
      <c r="E1201" s="116"/>
      <c r="F1201" s="116"/>
      <c r="G1201" s="108"/>
      <c r="H1201" s="105" t="n">
        <f aca="false">'[2]$ лето'!j1201-'[2]$ лето'!au1201-'[2]$ лето'!at1201-'[2]$ лето'!as1201-'[2]$ лето'!ar1201-'[2]$ лето'!aq1201-'[2]$ лето'!ap1201-'[2]$ лето'!an1201-'[2]$ лето'!am1201-'[2]$ лето'!al1201-'[2]$ лето'!ak1201-'[2]$ лето'!aj1201-'[2]$ лето'!ah1201-'[2]$ лето'!ag1201-'[2]$ лето'!af1201-'[2]$ лето'!ae1201-'[2]$ лето'!ad1201-'[2]$ лето'!ab1201-'[2]$ лето'!aa1201-'[2]$ лето'!z1201-'[2]$ лето'!y1201-'[2]$ лето'!x1201-'[2]$ лето'!v1201-'[2]$ лето'!u1201-'[2]$ лето'!t1201-'[2]$ лето'!s1201-'[2]$ лето'!r1201-'[2]$ лето'!p1201-'[2]$ лето'!o1201-'[2]$ лето'!n1201-'[2]$ лето'!m1201-'[2]$ лето'!l1201+'[2]$ лето'!k1201+'[2]$ лето'!q1201+'[2]$ лето'!w1201+'[2]$ лето'!ac1201+'[2]$ лето'!ai1201+'[2]$ лето'!ao1201</f>
        <v>0</v>
      </c>
      <c r="I1201" s="109" t="n">
        <f aca="false">'[2]$ лето'!ay1201*1.1</f>
        <v>3542</v>
      </c>
    </row>
    <row r="1202" customFormat="false" ht="15" hidden="true" customHeight="false" outlineLevel="0" collapsed="false">
      <c r="A1202" s="115" t="s">
        <v>1769</v>
      </c>
      <c r="B1202" s="115" t="s">
        <v>741</v>
      </c>
      <c r="C1202" s="116" t="s">
        <v>1774</v>
      </c>
      <c r="D1202" s="116"/>
      <c r="E1202" s="116"/>
      <c r="F1202" s="116"/>
      <c r="G1202" s="108"/>
      <c r="H1202" s="105" t="n">
        <f aca="false">'[2]$ лето'!j1202-'[2]$ лето'!au1202-'[2]$ лето'!at1202-'[2]$ лето'!as1202-'[2]$ лето'!ar1202-'[2]$ лето'!aq1202-'[2]$ лето'!ap1202-'[2]$ лето'!an1202-'[2]$ лето'!am1202-'[2]$ лето'!al1202-'[2]$ лето'!ak1202-'[2]$ лето'!aj1202-'[2]$ лето'!ah1202-'[2]$ лето'!ag1202-'[2]$ лето'!af1202-'[2]$ лето'!ae1202-'[2]$ лето'!ad1202-'[2]$ лето'!ab1202-'[2]$ лето'!aa1202-'[2]$ лето'!z1202-'[2]$ лето'!y1202-'[2]$ лето'!x1202-'[2]$ лето'!v1202-'[2]$ лето'!u1202-'[2]$ лето'!t1202-'[2]$ лето'!s1202-'[2]$ лето'!r1202-'[2]$ лето'!p1202-'[2]$ лето'!o1202-'[2]$ лето'!n1202-'[2]$ лето'!m1202-'[2]$ лето'!l1202+'[2]$ лето'!k1202+'[2]$ лето'!q1202+'[2]$ лето'!w1202+'[2]$ лето'!ac1202+'[2]$ лето'!ai1202+'[2]$ лето'!ao1202</f>
        <v>0</v>
      </c>
      <c r="I1202" s="109" t="n">
        <f aca="false">'[2]$ лето'!ay1202*1.1</f>
        <v>2556.4</v>
      </c>
      <c r="J1202" s="85" t="n">
        <v>2016</v>
      </c>
    </row>
    <row r="1203" customFormat="false" ht="15" hidden="true" customHeight="false" outlineLevel="0" collapsed="false">
      <c r="A1203" s="115" t="s">
        <v>1769</v>
      </c>
      <c r="B1203" s="115" t="s">
        <v>744</v>
      </c>
      <c r="C1203" s="116" t="s">
        <v>1775</v>
      </c>
      <c r="D1203" s="116"/>
      <c r="E1203" s="116"/>
      <c r="F1203" s="116"/>
      <c r="G1203" s="108"/>
      <c r="H1203" s="105" t="n">
        <f aca="false">'[2]$ лето'!j1203-'[2]$ лето'!au1203-'[2]$ лето'!at1203-'[2]$ лето'!as1203-'[2]$ лето'!ar1203-'[2]$ лето'!aq1203-'[2]$ лето'!ap1203-'[2]$ лето'!an1203-'[2]$ лето'!am1203-'[2]$ лето'!al1203-'[2]$ лето'!ak1203-'[2]$ лето'!aj1203-'[2]$ лето'!ah1203-'[2]$ лето'!ag1203-'[2]$ лето'!af1203-'[2]$ лето'!ae1203-'[2]$ лето'!ad1203-'[2]$ лето'!ab1203-'[2]$ лето'!aa1203-'[2]$ лето'!z1203-'[2]$ лето'!y1203-'[2]$ лето'!x1203-'[2]$ лето'!v1203-'[2]$ лето'!u1203-'[2]$ лето'!t1203-'[2]$ лето'!s1203-'[2]$ лето'!r1203-'[2]$ лето'!p1203-'[2]$ лето'!o1203-'[2]$ лето'!n1203-'[2]$ лето'!m1203-'[2]$ лето'!l1203+'[2]$ лето'!k1203+'[2]$ лето'!q1203+'[2]$ лето'!w1203+'[2]$ лето'!ac1203+'[2]$ лето'!ai1203+'[2]$ лето'!ao1203</f>
        <v>0</v>
      </c>
      <c r="I1203" s="109" t="n">
        <f aca="false">'[2]$ лето'!ay1203*1.1</f>
        <v>2648.8</v>
      </c>
    </row>
    <row r="1204" customFormat="false" ht="15" hidden="true" customHeight="false" outlineLevel="0" collapsed="false">
      <c r="A1204" s="115" t="s">
        <v>1769</v>
      </c>
      <c r="B1204" s="115" t="s">
        <v>606</v>
      </c>
      <c r="C1204" s="134" t="s">
        <v>1776</v>
      </c>
      <c r="D1204" s="134"/>
      <c r="E1204" s="134"/>
      <c r="F1204" s="134"/>
      <c r="G1204" s="108" t="s">
        <v>609</v>
      </c>
      <c r="H1204" s="105" t="n">
        <f aca="false">'[2]$ лето'!j1204-'[2]$ лето'!au1204-'[2]$ лето'!at1204-'[2]$ лето'!as1204-'[2]$ лето'!ar1204-'[2]$ лето'!aq1204-'[2]$ лето'!ap1204-'[2]$ лето'!an1204-'[2]$ лето'!am1204-'[2]$ лето'!al1204-'[2]$ лето'!ak1204-'[2]$ лето'!aj1204-'[2]$ лето'!ah1204-'[2]$ лето'!ag1204-'[2]$ лето'!af1204-'[2]$ лето'!ae1204-'[2]$ лето'!ad1204-'[2]$ лето'!ab1204-'[2]$ лето'!aa1204-'[2]$ лето'!z1204-'[2]$ лето'!y1204-'[2]$ лето'!x1204-'[2]$ лето'!v1204-'[2]$ лето'!u1204-'[2]$ лето'!t1204-'[2]$ лето'!s1204-'[2]$ лето'!r1204-'[2]$ лето'!p1204-'[2]$ лето'!o1204-'[2]$ лето'!n1204-'[2]$ лето'!m1204-'[2]$ лето'!l1204+'[2]$ лето'!k1204+'[2]$ лето'!q1204+'[2]$ лето'!w1204+'[2]$ лето'!ac1204+'[2]$ лето'!ai1204+'[2]$ лето'!ao1204</f>
        <v>0</v>
      </c>
      <c r="I1204" s="109" t="n">
        <f aca="false">'[2]$ лето'!ay1204*1.1</f>
        <v>2464</v>
      </c>
      <c r="J1204" s="85" t="n">
        <v>2015</v>
      </c>
    </row>
    <row r="1205" customFormat="false" ht="15" hidden="true" customHeight="false" outlineLevel="0" collapsed="false">
      <c r="A1205" s="115" t="s">
        <v>1769</v>
      </c>
      <c r="B1205" s="115" t="s">
        <v>606</v>
      </c>
      <c r="C1205" s="134" t="s">
        <v>1777</v>
      </c>
      <c r="D1205" s="134"/>
      <c r="E1205" s="134"/>
      <c r="F1205" s="134"/>
      <c r="G1205" s="108"/>
      <c r="H1205" s="105" t="n">
        <f aca="false">'[2]$ лето'!j1205-'[2]$ лето'!au1205-'[2]$ лето'!at1205-'[2]$ лето'!as1205-'[2]$ лето'!ar1205-'[2]$ лето'!aq1205-'[2]$ лето'!ap1205-'[2]$ лето'!an1205-'[2]$ лето'!am1205-'[2]$ лето'!al1205-'[2]$ лето'!ak1205-'[2]$ лето'!aj1205-'[2]$ лето'!ah1205-'[2]$ лето'!ag1205-'[2]$ лето'!af1205-'[2]$ лето'!ae1205-'[2]$ лето'!ad1205-'[2]$ лето'!ab1205-'[2]$ лето'!aa1205-'[2]$ лето'!z1205-'[2]$ лето'!y1205-'[2]$ лето'!x1205-'[2]$ лето'!v1205-'[2]$ лето'!u1205-'[2]$ лето'!t1205-'[2]$ лето'!s1205-'[2]$ лето'!r1205-'[2]$ лето'!p1205-'[2]$ лето'!o1205-'[2]$ лето'!n1205-'[2]$ лето'!m1205-'[2]$ лето'!l1205+'[2]$ лето'!k1205+'[2]$ лето'!q1205+'[2]$ лето'!w1205+'[2]$ лето'!ac1205+'[2]$ лето'!ai1205+'[2]$ лето'!ao1205</f>
        <v>0</v>
      </c>
      <c r="I1205" s="109" t="n">
        <f aca="false">'[2]$ лето'!ay1205*1.1</f>
        <v>2710.4</v>
      </c>
      <c r="J1205" s="85" t="n">
        <v>2016</v>
      </c>
    </row>
    <row r="1206" customFormat="false" ht="15" hidden="false" customHeight="false" outlineLevel="0" collapsed="false">
      <c r="A1206" s="129" t="s">
        <v>1769</v>
      </c>
      <c r="B1206" s="129" t="s">
        <v>668</v>
      </c>
      <c r="C1206" s="131" t="s">
        <v>1778</v>
      </c>
      <c r="D1206" s="131"/>
      <c r="E1206" s="131"/>
      <c r="F1206" s="131"/>
      <c r="G1206" s="132" t="s">
        <v>609</v>
      </c>
      <c r="H1206" s="105" t="n">
        <f aca="false">'[2]$ лето'!j1206-'[2]$ лето'!au1206-'[2]$ лето'!at1206-'[2]$ лето'!as1206-'[2]$ лето'!ar1206-'[2]$ лето'!aq1206-'[2]$ лето'!ap1206-'[2]$ лето'!an1206-'[2]$ лето'!am1206-'[2]$ лето'!al1206-'[2]$ лето'!ak1206-'[2]$ лето'!aj1206-'[2]$ лето'!ah1206-'[2]$ лето'!ag1206-'[2]$ лето'!af1206-'[2]$ лето'!ae1206-'[2]$ лето'!ad1206-'[2]$ лето'!ab1206-'[2]$ лето'!aa1206-'[2]$ лето'!z1206-'[2]$ лето'!y1206-'[2]$ лето'!x1206-'[2]$ лето'!v1206-'[2]$ лето'!u1206-'[2]$ лето'!t1206-'[2]$ лето'!s1206-'[2]$ лето'!r1206-'[2]$ лето'!p1206-'[2]$ лето'!o1206-'[2]$ лето'!n1206-'[2]$ лето'!m1206-'[2]$ лето'!l1206+'[2]$ лето'!k1206+'[2]$ лето'!q1206+'[2]$ лето'!w1206+'[2]$ лето'!ac1206+'[2]$ лето'!ai1206+'[2]$ лето'!ao1206</f>
        <v>2</v>
      </c>
      <c r="I1206" s="133" t="n">
        <f aca="false">'[2]$ лето'!ay1206*1.1</f>
        <v>110</v>
      </c>
    </row>
    <row r="1207" customFormat="false" ht="15" hidden="true" customHeight="false" outlineLevel="0" collapsed="false">
      <c r="A1207" s="115" t="s">
        <v>1769</v>
      </c>
      <c r="B1207" s="115" t="s">
        <v>668</v>
      </c>
      <c r="C1207" s="116" t="s">
        <v>669</v>
      </c>
      <c r="D1207" s="116"/>
      <c r="E1207" s="116"/>
      <c r="F1207" s="116"/>
      <c r="G1207" s="108" t="s">
        <v>609</v>
      </c>
      <c r="H1207" s="105" t="n">
        <f aca="false">'[2]$ лето'!j1207-'[2]$ лето'!au1207-'[2]$ лето'!at1207-'[2]$ лето'!as1207-'[2]$ лето'!ar1207-'[2]$ лето'!aq1207-'[2]$ лето'!ap1207-'[2]$ лето'!an1207-'[2]$ лето'!am1207-'[2]$ лето'!al1207-'[2]$ лето'!ak1207-'[2]$ лето'!aj1207-'[2]$ лето'!ah1207-'[2]$ лето'!ag1207-'[2]$ лето'!af1207-'[2]$ лето'!ae1207-'[2]$ лето'!ad1207-'[2]$ лето'!ab1207-'[2]$ лето'!aa1207-'[2]$ лето'!z1207-'[2]$ лето'!y1207-'[2]$ лето'!x1207-'[2]$ лето'!v1207-'[2]$ лето'!u1207-'[2]$ лето'!t1207-'[2]$ лето'!s1207-'[2]$ лето'!r1207-'[2]$ лето'!p1207-'[2]$ лето'!o1207-'[2]$ лето'!n1207-'[2]$ лето'!m1207-'[2]$ лето'!l1207+'[2]$ лето'!k1207+'[2]$ лето'!q1207+'[2]$ лето'!w1207+'[2]$ лето'!ac1207+'[2]$ лето'!ai1207+'[2]$ лето'!ao1207</f>
        <v>0</v>
      </c>
      <c r="I1207" s="109" t="n">
        <f aca="false">'[2]$ лето'!ay1207*1.1</f>
        <v>2200</v>
      </c>
    </row>
    <row r="1208" customFormat="false" ht="15" hidden="true" customHeight="false" outlineLevel="0" collapsed="false">
      <c r="A1208" s="115" t="s">
        <v>1769</v>
      </c>
      <c r="B1208" s="115" t="s">
        <v>668</v>
      </c>
      <c r="C1208" s="116" t="s">
        <v>1346</v>
      </c>
      <c r="D1208" s="116"/>
      <c r="E1208" s="116"/>
      <c r="F1208" s="116"/>
      <c r="G1208" s="108" t="s">
        <v>609</v>
      </c>
      <c r="H1208" s="105" t="n">
        <f aca="false">'[2]$ лето'!j1208-'[2]$ лето'!au1208-'[2]$ лето'!at1208-'[2]$ лето'!as1208-'[2]$ лето'!ar1208-'[2]$ лето'!aq1208-'[2]$ лето'!ap1208-'[2]$ лето'!an1208-'[2]$ лето'!am1208-'[2]$ лето'!al1208-'[2]$ лето'!ak1208-'[2]$ лето'!aj1208-'[2]$ лето'!ah1208-'[2]$ лето'!ag1208-'[2]$ лето'!af1208-'[2]$ лето'!ae1208-'[2]$ лето'!ad1208-'[2]$ лето'!ab1208-'[2]$ лето'!aa1208-'[2]$ лето'!z1208-'[2]$ лето'!y1208-'[2]$ лето'!x1208-'[2]$ лето'!v1208-'[2]$ лето'!u1208-'[2]$ лето'!t1208-'[2]$ лето'!s1208-'[2]$ лето'!r1208-'[2]$ лето'!p1208-'[2]$ лето'!o1208-'[2]$ лето'!n1208-'[2]$ лето'!m1208-'[2]$ лето'!l1208+'[2]$ лето'!k1208+'[2]$ лето'!q1208+'[2]$ лето'!w1208+'[2]$ лето'!ac1208+'[2]$ лето'!ai1208+'[2]$ лето'!ao1208</f>
        <v>0</v>
      </c>
      <c r="I1208" s="109" t="n">
        <f aca="false">'[2]$ лето'!ay1208*1.1</f>
        <v>2464</v>
      </c>
    </row>
    <row r="1209" customFormat="false" ht="15" hidden="true" customHeight="false" outlineLevel="0" collapsed="false">
      <c r="A1209" s="115" t="s">
        <v>1769</v>
      </c>
      <c r="B1209" s="115" t="s">
        <v>668</v>
      </c>
      <c r="C1209" s="116" t="s">
        <v>1566</v>
      </c>
      <c r="D1209" s="116"/>
      <c r="E1209" s="116"/>
      <c r="F1209" s="116"/>
      <c r="G1209" s="108" t="s">
        <v>609</v>
      </c>
      <c r="H1209" s="105" t="n">
        <f aca="false">'[2]$ лето'!j1209-'[2]$ лето'!au1209-'[2]$ лето'!at1209-'[2]$ лето'!as1209-'[2]$ лето'!ar1209-'[2]$ лето'!aq1209-'[2]$ лето'!ap1209-'[2]$ лето'!an1209-'[2]$ лето'!am1209-'[2]$ лето'!al1209-'[2]$ лето'!ak1209-'[2]$ лето'!aj1209-'[2]$ лето'!ah1209-'[2]$ лето'!ag1209-'[2]$ лето'!af1209-'[2]$ лето'!ae1209-'[2]$ лето'!ad1209-'[2]$ лето'!ab1209-'[2]$ лето'!aa1209-'[2]$ лето'!z1209-'[2]$ лето'!y1209-'[2]$ лето'!x1209-'[2]$ лето'!v1209-'[2]$ лето'!u1209-'[2]$ лето'!t1209-'[2]$ лето'!s1209-'[2]$ лето'!r1209-'[2]$ лето'!p1209-'[2]$ лето'!o1209-'[2]$ лето'!n1209-'[2]$ лето'!m1209-'[2]$ лето'!l1209+'[2]$ лето'!k1209+'[2]$ лето'!q1209+'[2]$ лето'!w1209+'[2]$ лето'!ac1209+'[2]$ лето'!ai1209+'[2]$ лето'!ao1209</f>
        <v>0</v>
      </c>
      <c r="I1209" s="109" t="n">
        <f aca="false">'[2]$ лето'!ay1209*1.1</f>
        <v>2585</v>
      </c>
    </row>
    <row r="1210" customFormat="false" ht="15" hidden="true" customHeight="false" outlineLevel="0" collapsed="false">
      <c r="A1210" s="115" t="s">
        <v>1769</v>
      </c>
      <c r="B1210" s="115" t="s">
        <v>574</v>
      </c>
      <c r="C1210" s="116" t="s">
        <v>1779</v>
      </c>
      <c r="D1210" s="116"/>
      <c r="E1210" s="116"/>
      <c r="F1210" s="116"/>
      <c r="G1210" s="108" t="s">
        <v>576</v>
      </c>
      <c r="H1210" s="105" t="n">
        <f aca="false">'[2]$ лето'!j1210-'[2]$ лето'!au1210-'[2]$ лето'!at1210-'[2]$ лето'!as1210-'[2]$ лето'!ar1210-'[2]$ лето'!aq1210-'[2]$ лето'!ap1210-'[2]$ лето'!an1210-'[2]$ лето'!am1210-'[2]$ лето'!al1210-'[2]$ лето'!ak1210-'[2]$ лето'!aj1210-'[2]$ лето'!ah1210-'[2]$ лето'!ag1210-'[2]$ лето'!af1210-'[2]$ лето'!ae1210-'[2]$ лето'!ad1210-'[2]$ лето'!ab1210-'[2]$ лето'!aa1210-'[2]$ лето'!z1210-'[2]$ лето'!y1210-'[2]$ лето'!x1210-'[2]$ лето'!v1210-'[2]$ лето'!u1210-'[2]$ лето'!t1210-'[2]$ лето'!s1210-'[2]$ лето'!r1210-'[2]$ лето'!p1210-'[2]$ лето'!o1210-'[2]$ лето'!n1210-'[2]$ лето'!m1210-'[2]$ лето'!l1210+'[2]$ лето'!k1210+'[2]$ лето'!q1210+'[2]$ лето'!w1210+'[2]$ лето'!ac1210+'[2]$ лето'!ai1210+'[2]$ лето'!ao1210</f>
        <v>0</v>
      </c>
      <c r="I1210" s="109" t="n">
        <f aca="false">'[2]$ лето'!ay1210*1.1</f>
        <v>2587.2</v>
      </c>
    </row>
    <row r="1211" customFormat="false" ht="15" hidden="true" customHeight="false" outlineLevel="0" collapsed="false">
      <c r="A1211" s="115" t="s">
        <v>1769</v>
      </c>
      <c r="B1211" s="115" t="s">
        <v>574</v>
      </c>
      <c r="C1211" s="116" t="s">
        <v>1780</v>
      </c>
      <c r="D1211" s="116"/>
      <c r="E1211" s="116"/>
      <c r="F1211" s="116"/>
      <c r="G1211" s="108" t="s">
        <v>576</v>
      </c>
      <c r="H1211" s="105" t="n">
        <f aca="false">'[2]$ лето'!j1211-'[2]$ лето'!au1211-'[2]$ лето'!at1211-'[2]$ лето'!as1211-'[2]$ лето'!ar1211-'[2]$ лето'!aq1211-'[2]$ лето'!ap1211-'[2]$ лето'!an1211-'[2]$ лето'!am1211-'[2]$ лето'!al1211-'[2]$ лето'!ak1211-'[2]$ лето'!aj1211-'[2]$ лето'!ah1211-'[2]$ лето'!ag1211-'[2]$ лето'!af1211-'[2]$ лето'!ae1211-'[2]$ лето'!ad1211-'[2]$ лето'!ab1211-'[2]$ лето'!aa1211-'[2]$ лето'!z1211-'[2]$ лето'!y1211-'[2]$ лето'!x1211-'[2]$ лето'!v1211-'[2]$ лето'!u1211-'[2]$ лето'!t1211-'[2]$ лето'!s1211-'[2]$ лето'!r1211-'[2]$ лето'!p1211-'[2]$ лето'!o1211-'[2]$ лето'!n1211-'[2]$ лето'!m1211-'[2]$ лето'!l1211+'[2]$ лето'!k1211+'[2]$ лето'!q1211+'[2]$ лето'!w1211+'[2]$ лето'!ac1211+'[2]$ лето'!ai1211+'[2]$ лето'!ao1211</f>
        <v>0</v>
      </c>
      <c r="I1211" s="109" t="n">
        <f aca="false">'[2]$ лето'!ay1211*1.1</f>
        <v>2926</v>
      </c>
    </row>
    <row r="1212" customFormat="false" ht="15" hidden="true" customHeight="false" outlineLevel="0" collapsed="false">
      <c r="A1212" s="115" t="s">
        <v>1769</v>
      </c>
      <c r="B1212" s="115" t="s">
        <v>577</v>
      </c>
      <c r="C1212" s="116" t="s">
        <v>1781</v>
      </c>
      <c r="D1212" s="116"/>
      <c r="E1212" s="116"/>
      <c r="F1212" s="116"/>
      <c r="G1212" s="108" t="s">
        <v>563</v>
      </c>
      <c r="H1212" s="105" t="n">
        <f aca="false">'[2]$ лето'!j1212-'[2]$ лето'!au1212-'[2]$ лето'!at1212-'[2]$ лето'!as1212-'[2]$ лето'!ar1212-'[2]$ лето'!aq1212-'[2]$ лето'!ap1212-'[2]$ лето'!an1212-'[2]$ лето'!am1212-'[2]$ лето'!al1212-'[2]$ лето'!ak1212-'[2]$ лето'!aj1212-'[2]$ лето'!ah1212-'[2]$ лето'!ag1212-'[2]$ лето'!af1212-'[2]$ лето'!ae1212-'[2]$ лето'!ad1212-'[2]$ лето'!ab1212-'[2]$ лето'!aa1212-'[2]$ лето'!z1212-'[2]$ лето'!y1212-'[2]$ лето'!x1212-'[2]$ лето'!v1212-'[2]$ лето'!u1212-'[2]$ лето'!t1212-'[2]$ лето'!s1212-'[2]$ лето'!r1212-'[2]$ лето'!p1212-'[2]$ лето'!o1212-'[2]$ лето'!n1212-'[2]$ лето'!m1212-'[2]$ лето'!l1212+'[2]$ лето'!k1212+'[2]$ лето'!q1212+'[2]$ лето'!w1212+'[2]$ лето'!ac1212+'[2]$ лето'!ai1212+'[2]$ лето'!ao1212</f>
        <v>0</v>
      </c>
      <c r="I1212" s="109" t="n">
        <f aca="false">'[2]$ лето'!ay1212*1.1</f>
        <v>2186.8</v>
      </c>
    </row>
    <row r="1213" customFormat="false" ht="15" hidden="true" customHeight="false" outlineLevel="0" collapsed="false">
      <c r="A1213" s="115" t="s">
        <v>1769</v>
      </c>
      <c r="B1213" s="115" t="s">
        <v>1471</v>
      </c>
      <c r="C1213" s="116" t="s">
        <v>1782</v>
      </c>
      <c r="D1213" s="116"/>
      <c r="E1213" s="116"/>
      <c r="F1213" s="116"/>
      <c r="G1213" s="108" t="s">
        <v>609</v>
      </c>
      <c r="H1213" s="105" t="n">
        <f aca="false">'[2]$ лето'!j1213-'[2]$ лето'!au1213-'[2]$ лето'!at1213-'[2]$ лето'!as1213-'[2]$ лето'!ar1213-'[2]$ лето'!aq1213-'[2]$ лето'!ap1213-'[2]$ лето'!an1213-'[2]$ лето'!am1213-'[2]$ лето'!al1213-'[2]$ лето'!ak1213-'[2]$ лето'!aj1213-'[2]$ лето'!ah1213-'[2]$ лето'!ag1213-'[2]$ лето'!af1213-'[2]$ лето'!ae1213-'[2]$ лето'!ad1213-'[2]$ лето'!ab1213-'[2]$ лето'!aa1213-'[2]$ лето'!z1213-'[2]$ лето'!y1213-'[2]$ лето'!x1213-'[2]$ лето'!v1213-'[2]$ лето'!u1213-'[2]$ лето'!t1213-'[2]$ лето'!s1213-'[2]$ лето'!r1213-'[2]$ лето'!p1213-'[2]$ лето'!o1213-'[2]$ лето'!n1213-'[2]$ лето'!m1213-'[2]$ лето'!l1213+'[2]$ лето'!k1213+'[2]$ лето'!q1213+'[2]$ лето'!w1213+'[2]$ лето'!ac1213+'[2]$ лето'!ai1213+'[2]$ лето'!ao1213</f>
        <v>0</v>
      </c>
      <c r="I1213" s="109" t="n">
        <f aca="false">'[2]$ лето'!ay1213*1.1</f>
        <v>2433.2</v>
      </c>
      <c r="J1213" s="85" t="n">
        <v>2016</v>
      </c>
    </row>
    <row r="1214" customFormat="false" ht="15" hidden="false" customHeight="false" outlineLevel="0" collapsed="false">
      <c r="A1214" s="115" t="s">
        <v>1769</v>
      </c>
      <c r="B1214" s="115" t="s">
        <v>583</v>
      </c>
      <c r="C1214" s="116" t="s">
        <v>1783</v>
      </c>
      <c r="D1214" s="116"/>
      <c r="E1214" s="116"/>
      <c r="F1214" s="116"/>
      <c r="G1214" s="108" t="s">
        <v>585</v>
      </c>
      <c r="H1214" s="105" t="n">
        <f aca="false">'[2]$ лето'!j1214-'[2]$ лето'!au1214-'[2]$ лето'!at1214-'[2]$ лето'!as1214-'[2]$ лето'!ar1214-'[2]$ лето'!aq1214-'[2]$ лето'!ap1214-'[2]$ лето'!an1214-'[2]$ лето'!am1214-'[2]$ лето'!al1214-'[2]$ лето'!ak1214-'[2]$ лето'!aj1214-'[2]$ лето'!ah1214-'[2]$ лето'!ag1214-'[2]$ лето'!af1214-'[2]$ лето'!ae1214-'[2]$ лето'!ad1214-'[2]$ лето'!ab1214-'[2]$ лето'!aa1214-'[2]$ лето'!z1214-'[2]$ лето'!y1214-'[2]$ лето'!x1214-'[2]$ лето'!v1214-'[2]$ лето'!u1214-'[2]$ лето'!t1214-'[2]$ лето'!s1214-'[2]$ лето'!r1214-'[2]$ лето'!p1214-'[2]$ лето'!o1214-'[2]$ лето'!n1214-'[2]$ лето'!m1214-'[2]$ лето'!l1214+'[2]$ лето'!k1214+'[2]$ лето'!q1214+'[2]$ лето'!w1214+'[2]$ лето'!ac1214+'[2]$ лето'!ai1214+'[2]$ лето'!ao1214</f>
        <v>4</v>
      </c>
      <c r="I1214" s="109" t="n">
        <f aca="false">'[2]$ лето'!ay1214*1.1</f>
        <v>2525.6</v>
      </c>
      <c r="J1214" s="85" t="n">
        <v>2016</v>
      </c>
    </row>
    <row r="1215" customFormat="false" ht="15" hidden="true" customHeight="false" outlineLevel="0" collapsed="false">
      <c r="A1215" s="115" t="s">
        <v>1769</v>
      </c>
      <c r="B1215" s="115" t="s">
        <v>583</v>
      </c>
      <c r="C1215" s="116" t="s">
        <v>1784</v>
      </c>
      <c r="D1215" s="116"/>
      <c r="E1215" s="116"/>
      <c r="F1215" s="116"/>
      <c r="G1215" s="108"/>
      <c r="H1215" s="105" t="n">
        <f aca="false">'[2]$ лето'!j1215-'[2]$ лето'!au1215-'[2]$ лето'!at1215-'[2]$ лето'!as1215-'[2]$ лето'!ar1215-'[2]$ лето'!aq1215-'[2]$ лето'!ap1215-'[2]$ лето'!an1215-'[2]$ лето'!am1215-'[2]$ лето'!al1215-'[2]$ лето'!ak1215-'[2]$ лето'!aj1215-'[2]$ лето'!ah1215-'[2]$ лето'!ag1215-'[2]$ лето'!af1215-'[2]$ лето'!ae1215-'[2]$ лето'!ad1215-'[2]$ лето'!ab1215-'[2]$ лето'!aa1215-'[2]$ лето'!z1215-'[2]$ лето'!y1215-'[2]$ лето'!x1215-'[2]$ лето'!v1215-'[2]$ лето'!u1215-'[2]$ лето'!t1215-'[2]$ лето'!s1215-'[2]$ лето'!r1215-'[2]$ лето'!p1215-'[2]$ лето'!o1215-'[2]$ лето'!n1215-'[2]$ лето'!m1215-'[2]$ лето'!l1215+'[2]$ лето'!k1215+'[2]$ лето'!q1215+'[2]$ лето'!w1215+'[2]$ лето'!ac1215+'[2]$ лето'!ai1215+'[2]$ лето'!ao1215</f>
        <v>0</v>
      </c>
      <c r="I1215" s="109" t="n">
        <f aca="false">'[2]$ лето'!ay1215*1.1</f>
        <v>2310</v>
      </c>
    </row>
    <row r="1216" customFormat="false" ht="15" hidden="true" customHeight="false" outlineLevel="0" collapsed="false">
      <c r="A1216" s="115" t="s">
        <v>1769</v>
      </c>
      <c r="B1216" s="115" t="s">
        <v>613</v>
      </c>
      <c r="C1216" s="116" t="s">
        <v>1785</v>
      </c>
      <c r="D1216" s="116"/>
      <c r="E1216" s="116"/>
      <c r="F1216" s="116"/>
      <c r="G1216" s="108"/>
      <c r="H1216" s="105" t="n">
        <f aca="false">'[2]$ лето'!j1216-'[2]$ лето'!au1216-'[2]$ лето'!at1216-'[2]$ лето'!as1216-'[2]$ лето'!ar1216-'[2]$ лето'!aq1216-'[2]$ лето'!ap1216-'[2]$ лето'!an1216-'[2]$ лето'!am1216-'[2]$ лето'!al1216-'[2]$ лето'!ak1216-'[2]$ лето'!aj1216-'[2]$ лето'!ah1216-'[2]$ лето'!ag1216-'[2]$ лето'!af1216-'[2]$ лето'!ae1216-'[2]$ лето'!ad1216-'[2]$ лето'!ab1216-'[2]$ лето'!aa1216-'[2]$ лето'!z1216-'[2]$ лето'!y1216-'[2]$ лето'!x1216-'[2]$ лето'!v1216-'[2]$ лето'!u1216-'[2]$ лето'!t1216-'[2]$ лето'!s1216-'[2]$ лето'!r1216-'[2]$ лето'!p1216-'[2]$ лето'!o1216-'[2]$ лето'!n1216-'[2]$ лето'!m1216-'[2]$ лето'!l1216+'[2]$ лето'!k1216+'[2]$ лето'!q1216+'[2]$ лето'!w1216+'[2]$ лето'!ac1216+'[2]$ лето'!ai1216+'[2]$ лето'!ao1216</f>
        <v>0</v>
      </c>
      <c r="I1216" s="109" t="n">
        <f aca="false">'[2]$ лето'!ay1216*1.1</f>
        <v>1909.6</v>
      </c>
    </row>
    <row r="1217" customFormat="false" ht="15" hidden="true" customHeight="false" outlineLevel="0" collapsed="false">
      <c r="A1217" s="115" t="s">
        <v>1769</v>
      </c>
      <c r="B1217" s="115" t="s">
        <v>593</v>
      </c>
      <c r="C1217" s="116" t="s">
        <v>1786</v>
      </c>
      <c r="D1217" s="116"/>
      <c r="E1217" s="116"/>
      <c r="F1217" s="116"/>
      <c r="G1217" s="108"/>
      <c r="H1217" s="105" t="n">
        <f aca="false">'[2]$ лето'!j1217-'[2]$ лето'!au1217-'[2]$ лето'!at1217-'[2]$ лето'!as1217-'[2]$ лето'!ar1217-'[2]$ лето'!aq1217-'[2]$ лето'!ap1217-'[2]$ лето'!an1217-'[2]$ лето'!am1217-'[2]$ лето'!al1217-'[2]$ лето'!ak1217-'[2]$ лето'!aj1217-'[2]$ лето'!ah1217-'[2]$ лето'!ag1217-'[2]$ лето'!af1217-'[2]$ лето'!ae1217-'[2]$ лето'!ad1217-'[2]$ лето'!ab1217-'[2]$ лето'!aa1217-'[2]$ лето'!z1217-'[2]$ лето'!y1217-'[2]$ лето'!x1217-'[2]$ лето'!v1217-'[2]$ лето'!u1217-'[2]$ лето'!t1217-'[2]$ лето'!s1217-'[2]$ лето'!r1217-'[2]$ лето'!p1217-'[2]$ лето'!o1217-'[2]$ лето'!n1217-'[2]$ лето'!m1217-'[2]$ лето'!l1217+'[2]$ лето'!k1217+'[2]$ лето'!q1217+'[2]$ лето'!w1217+'[2]$ лето'!ac1217+'[2]$ лето'!ai1217+'[2]$ лето'!ao1217</f>
        <v>0</v>
      </c>
      <c r="I1217" s="109" t="n">
        <f aca="false">'[2]$ лето'!ay1217*1.1</f>
        <v>3388</v>
      </c>
      <c r="J1217" s="113" t="n">
        <v>2016</v>
      </c>
    </row>
    <row r="1218" customFormat="false" ht="15" hidden="true" customHeight="false" outlineLevel="0" collapsed="false">
      <c r="A1218" s="115" t="s">
        <v>1769</v>
      </c>
      <c r="B1218" s="115" t="s">
        <v>593</v>
      </c>
      <c r="C1218" s="107" t="s">
        <v>1787</v>
      </c>
      <c r="D1218" s="107"/>
      <c r="E1218" s="107"/>
      <c r="F1218" s="107"/>
      <c r="G1218" s="108" t="s">
        <v>933</v>
      </c>
      <c r="H1218" s="105" t="n">
        <f aca="false">'[2]$ лето'!j1218-'[2]$ лето'!au1218-'[2]$ лето'!at1218-'[2]$ лето'!as1218-'[2]$ лето'!ar1218-'[2]$ лето'!aq1218-'[2]$ лето'!ap1218-'[2]$ лето'!an1218-'[2]$ лето'!am1218-'[2]$ лето'!al1218-'[2]$ лето'!ak1218-'[2]$ лето'!aj1218-'[2]$ лето'!ah1218-'[2]$ лето'!ag1218-'[2]$ лето'!af1218-'[2]$ лето'!ae1218-'[2]$ лето'!ad1218-'[2]$ лето'!ab1218-'[2]$ лето'!aa1218-'[2]$ лето'!z1218-'[2]$ лето'!y1218-'[2]$ лето'!x1218-'[2]$ лето'!v1218-'[2]$ лето'!u1218-'[2]$ лето'!t1218-'[2]$ лето'!s1218-'[2]$ лето'!r1218-'[2]$ лето'!p1218-'[2]$ лето'!o1218-'[2]$ лето'!n1218-'[2]$ лето'!m1218-'[2]$ лето'!l1218+'[2]$ лето'!k1218+'[2]$ лето'!q1218+'[2]$ лето'!w1218+'[2]$ лето'!ac1218+'[2]$ лето'!ai1218+'[2]$ лето'!ao1218</f>
        <v>0</v>
      </c>
      <c r="I1218" s="109" t="n">
        <f aca="false">'[2]$ лето'!ay1218*1.1</f>
        <v>4096.4</v>
      </c>
      <c r="J1218" s="113" t="n">
        <v>2017</v>
      </c>
    </row>
    <row r="1219" customFormat="false" ht="15" hidden="false" customHeight="false" outlineLevel="0" collapsed="false">
      <c r="A1219" s="115" t="s">
        <v>1769</v>
      </c>
      <c r="B1219" s="115" t="s">
        <v>593</v>
      </c>
      <c r="C1219" s="107" t="s">
        <v>1788</v>
      </c>
      <c r="D1219" s="107"/>
      <c r="E1219" s="116"/>
      <c r="F1219" s="116"/>
      <c r="G1219" s="108" t="s">
        <v>933</v>
      </c>
      <c r="H1219" s="105" t="n">
        <f aca="false">'[2]$ лето'!j1219-'[2]$ лето'!au1219-'[2]$ лето'!at1219-'[2]$ лето'!as1219-'[2]$ лето'!ar1219-'[2]$ лето'!aq1219-'[2]$ лето'!ap1219-'[2]$ лето'!an1219-'[2]$ лето'!am1219-'[2]$ лето'!al1219-'[2]$ лето'!ak1219-'[2]$ лето'!aj1219-'[2]$ лето'!ah1219-'[2]$ лето'!ag1219-'[2]$ лето'!af1219-'[2]$ лето'!ae1219-'[2]$ лето'!ad1219-'[2]$ лето'!ab1219-'[2]$ лето'!aa1219-'[2]$ лето'!z1219-'[2]$ лето'!y1219-'[2]$ лето'!x1219-'[2]$ лето'!v1219-'[2]$ лето'!u1219-'[2]$ лето'!t1219-'[2]$ лето'!s1219-'[2]$ лето'!r1219-'[2]$ лето'!p1219-'[2]$ лето'!o1219-'[2]$ лето'!n1219-'[2]$ лето'!m1219-'[2]$ лето'!l1219+'[2]$ лето'!k1219+'[2]$ лето'!q1219+'[2]$ лето'!w1219+'[2]$ лето'!ac1219+'[2]$ лето'!ai1219+'[2]$ лето'!ao1219</f>
        <v>1</v>
      </c>
      <c r="I1219" s="109" t="n">
        <f aca="false">'[2]$ лето'!ay1219*1.1</f>
        <v>3542</v>
      </c>
      <c r="J1219" s="113" t="n">
        <v>2017</v>
      </c>
    </row>
    <row r="1220" customFormat="false" ht="15" hidden="true" customHeight="false" outlineLevel="0" collapsed="false">
      <c r="A1220" s="115" t="s">
        <v>1769</v>
      </c>
      <c r="B1220" s="115" t="s">
        <v>593</v>
      </c>
      <c r="C1220" s="116" t="s">
        <v>1789</v>
      </c>
      <c r="D1220" s="116"/>
      <c r="E1220" s="116"/>
      <c r="F1220" s="116"/>
      <c r="G1220" s="108" t="s">
        <v>663</v>
      </c>
      <c r="H1220" s="105" t="n">
        <f aca="false">'[2]$ лето'!j1220-'[2]$ лето'!au1220-'[2]$ лето'!at1220-'[2]$ лето'!as1220-'[2]$ лето'!ar1220-'[2]$ лето'!aq1220-'[2]$ лето'!ap1220-'[2]$ лето'!an1220-'[2]$ лето'!am1220-'[2]$ лето'!al1220-'[2]$ лето'!ak1220-'[2]$ лето'!aj1220-'[2]$ лето'!ah1220-'[2]$ лето'!ag1220-'[2]$ лето'!af1220-'[2]$ лето'!ae1220-'[2]$ лето'!ad1220-'[2]$ лето'!ab1220-'[2]$ лето'!aa1220-'[2]$ лето'!z1220-'[2]$ лето'!y1220-'[2]$ лето'!x1220-'[2]$ лето'!v1220-'[2]$ лето'!u1220-'[2]$ лето'!t1220-'[2]$ лето'!s1220-'[2]$ лето'!r1220-'[2]$ лето'!p1220-'[2]$ лето'!o1220-'[2]$ лето'!n1220-'[2]$ лето'!m1220-'[2]$ лето'!l1220+'[2]$ лето'!k1220+'[2]$ лето'!q1220+'[2]$ лето'!w1220+'[2]$ лето'!ac1220+'[2]$ лето'!ai1220+'[2]$ лето'!ao1220</f>
        <v>0</v>
      </c>
      <c r="I1220" s="109" t="n">
        <f aca="false">'[2]$ лето'!ay1220*1.1</f>
        <v>4096.4</v>
      </c>
      <c r="J1220" s="113"/>
    </row>
    <row r="1221" customFormat="false" ht="15" hidden="false" customHeight="false" outlineLevel="0" collapsed="false">
      <c r="A1221" s="115" t="s">
        <v>1769</v>
      </c>
      <c r="B1221" s="115" t="s">
        <v>586</v>
      </c>
      <c r="C1221" s="116" t="s">
        <v>1790</v>
      </c>
      <c r="D1221" s="116"/>
      <c r="E1221" s="116"/>
      <c r="F1221" s="116"/>
      <c r="G1221" s="108" t="s">
        <v>520</v>
      </c>
      <c r="H1221" s="105" t="n">
        <f aca="false">'[2]$ лето'!j1221-'[2]$ лето'!au1221-'[2]$ лето'!at1221-'[2]$ лето'!as1221-'[2]$ лето'!ar1221-'[2]$ лето'!aq1221-'[2]$ лето'!ap1221-'[2]$ лето'!an1221-'[2]$ лето'!am1221-'[2]$ лето'!al1221-'[2]$ лето'!ak1221-'[2]$ лето'!aj1221-'[2]$ лето'!ah1221-'[2]$ лето'!ag1221-'[2]$ лето'!af1221-'[2]$ лето'!ae1221-'[2]$ лето'!ad1221-'[2]$ лето'!ab1221-'[2]$ лето'!aa1221-'[2]$ лето'!z1221-'[2]$ лето'!y1221-'[2]$ лето'!x1221-'[2]$ лето'!v1221-'[2]$ лето'!u1221-'[2]$ лето'!t1221-'[2]$ лето'!s1221-'[2]$ лето'!r1221-'[2]$ лето'!p1221-'[2]$ лето'!o1221-'[2]$ лето'!n1221-'[2]$ лето'!m1221-'[2]$ лето'!l1221+'[2]$ лето'!k1221+'[2]$ лето'!q1221+'[2]$ лето'!w1221+'[2]$ лето'!ac1221+'[2]$ лето'!ai1221+'[2]$ лето'!ao1221</f>
        <v>2</v>
      </c>
      <c r="I1221" s="109" t="n">
        <f aca="false">'[2]$ лето'!ay1221*1.1</f>
        <v>1755.6</v>
      </c>
      <c r="J1221" s="113" t="n">
        <v>2018</v>
      </c>
    </row>
    <row r="1222" customFormat="false" ht="15" hidden="true" customHeight="false" outlineLevel="0" collapsed="false">
      <c r="A1222" s="115" t="s">
        <v>1769</v>
      </c>
      <c r="B1222" s="115" t="s">
        <v>615</v>
      </c>
      <c r="C1222" s="116" t="s">
        <v>1791</v>
      </c>
      <c r="D1222" s="116"/>
      <c r="E1222" s="116"/>
      <c r="F1222" s="116"/>
      <c r="G1222" s="108"/>
      <c r="H1222" s="105" t="n">
        <f aca="false">'[2]$ лето'!j1222-'[2]$ лето'!au1222-'[2]$ лето'!at1222-'[2]$ лето'!as1222-'[2]$ лето'!ar1222-'[2]$ лето'!aq1222-'[2]$ лето'!ap1222-'[2]$ лето'!an1222-'[2]$ лето'!am1222-'[2]$ лето'!al1222-'[2]$ лето'!ak1222-'[2]$ лето'!aj1222-'[2]$ лето'!ah1222-'[2]$ лето'!ag1222-'[2]$ лето'!af1222-'[2]$ лето'!ae1222-'[2]$ лето'!ad1222-'[2]$ лето'!ab1222-'[2]$ лето'!aa1222-'[2]$ лето'!z1222-'[2]$ лето'!y1222-'[2]$ лето'!x1222-'[2]$ лето'!v1222-'[2]$ лето'!u1222-'[2]$ лето'!t1222-'[2]$ лето'!s1222-'[2]$ лето'!r1222-'[2]$ лето'!p1222-'[2]$ лето'!o1222-'[2]$ лето'!n1222-'[2]$ лето'!m1222-'[2]$ лето'!l1222+'[2]$ лето'!k1222+'[2]$ лето'!q1222+'[2]$ лето'!w1222+'[2]$ лето'!ac1222+'[2]$ лето'!ai1222+'[2]$ лето'!ao1222</f>
        <v>0</v>
      </c>
      <c r="I1222" s="109" t="n">
        <f aca="false">'[2]$ лето'!ay1222*1.1</f>
        <v>2464</v>
      </c>
      <c r="J1222" s="113" t="n">
        <v>2017</v>
      </c>
    </row>
    <row r="1223" customFormat="false" ht="15" hidden="true" customHeight="false" outlineLevel="0" collapsed="false">
      <c r="A1223" s="115" t="s">
        <v>1769</v>
      </c>
      <c r="B1223" s="115" t="s">
        <v>762</v>
      </c>
      <c r="C1223" s="116" t="s">
        <v>1792</v>
      </c>
      <c r="D1223" s="116"/>
      <c r="E1223" s="116"/>
      <c r="F1223" s="116"/>
      <c r="G1223" s="108"/>
      <c r="H1223" s="105" t="n">
        <f aca="false">'[2]$ лето'!j1223-'[2]$ лето'!au1223-'[2]$ лето'!at1223-'[2]$ лето'!as1223-'[2]$ лето'!ar1223-'[2]$ лето'!aq1223-'[2]$ лето'!ap1223-'[2]$ лето'!an1223-'[2]$ лето'!am1223-'[2]$ лето'!al1223-'[2]$ лето'!ak1223-'[2]$ лето'!aj1223-'[2]$ лето'!ah1223-'[2]$ лето'!ag1223-'[2]$ лето'!af1223-'[2]$ лето'!ae1223-'[2]$ лето'!ad1223-'[2]$ лето'!ab1223-'[2]$ лето'!aa1223-'[2]$ лето'!z1223-'[2]$ лето'!y1223-'[2]$ лето'!x1223-'[2]$ лето'!v1223-'[2]$ лето'!u1223-'[2]$ лето'!t1223-'[2]$ лето'!s1223-'[2]$ лето'!r1223-'[2]$ лето'!p1223-'[2]$ лето'!o1223-'[2]$ лето'!n1223-'[2]$ лето'!m1223-'[2]$ лето'!l1223+'[2]$ лето'!k1223+'[2]$ лето'!q1223+'[2]$ лето'!w1223+'[2]$ лето'!ac1223+'[2]$ лето'!ai1223+'[2]$ лето'!ao1223</f>
        <v>0</v>
      </c>
      <c r="I1223" s="109" t="n">
        <f aca="false">'[2]$ лето'!ay1223*1.1</f>
        <v>2433.2</v>
      </c>
      <c r="J1223" s="113" t="n">
        <v>2017</v>
      </c>
    </row>
    <row r="1224" customFormat="false" ht="15" hidden="false" customHeight="false" outlineLevel="0" collapsed="false">
      <c r="A1224" s="115" t="s">
        <v>1769</v>
      </c>
      <c r="B1224" s="115" t="s">
        <v>617</v>
      </c>
      <c r="C1224" s="116" t="s">
        <v>1793</v>
      </c>
      <c r="D1224" s="116"/>
      <c r="E1224" s="116"/>
      <c r="F1224" s="116"/>
      <c r="G1224" s="108"/>
      <c r="H1224" s="105" t="n">
        <f aca="false">'[2]$ лето'!j1224-'[2]$ лето'!au1224-'[2]$ лето'!at1224-'[2]$ лето'!as1224-'[2]$ лето'!ar1224-'[2]$ лето'!aq1224-'[2]$ лето'!ap1224-'[2]$ лето'!an1224-'[2]$ лето'!am1224-'[2]$ лето'!al1224-'[2]$ лето'!ak1224-'[2]$ лето'!aj1224-'[2]$ лето'!ah1224-'[2]$ лето'!ag1224-'[2]$ лето'!af1224-'[2]$ лето'!ae1224-'[2]$ лето'!ad1224-'[2]$ лето'!ab1224-'[2]$ лето'!aa1224-'[2]$ лето'!z1224-'[2]$ лето'!y1224-'[2]$ лето'!x1224-'[2]$ лето'!v1224-'[2]$ лето'!u1224-'[2]$ лето'!t1224-'[2]$ лето'!s1224-'[2]$ лето'!r1224-'[2]$ лето'!p1224-'[2]$ лето'!o1224-'[2]$ лето'!n1224-'[2]$ лето'!m1224-'[2]$ лето'!l1224+'[2]$ лето'!k1224+'[2]$ лето'!q1224+'[2]$ лето'!w1224+'[2]$ лето'!ac1224+'[2]$ лето'!ai1224+'[2]$ лето'!ao1224</f>
        <v>4</v>
      </c>
      <c r="I1224" s="109" t="n">
        <f aca="false">'[2]$ лето'!ay1224*1.1</f>
        <v>2310</v>
      </c>
      <c r="J1224" s="113"/>
    </row>
    <row r="1225" customFormat="false" ht="15" hidden="true" customHeight="false" outlineLevel="0" collapsed="false">
      <c r="A1225" s="115" t="s">
        <v>1769</v>
      </c>
      <c r="B1225" s="115" t="s">
        <v>623</v>
      </c>
      <c r="C1225" s="116" t="s">
        <v>1794</v>
      </c>
      <c r="D1225" s="116"/>
      <c r="E1225" s="116"/>
      <c r="F1225" s="116"/>
      <c r="G1225" s="108"/>
      <c r="H1225" s="105" t="n">
        <f aca="false">'[2]$ лето'!j1225-'[2]$ лето'!au1225-'[2]$ лето'!at1225-'[2]$ лето'!as1225-'[2]$ лето'!ar1225-'[2]$ лето'!aq1225-'[2]$ лето'!ap1225-'[2]$ лето'!an1225-'[2]$ лето'!am1225-'[2]$ лето'!al1225-'[2]$ лето'!ak1225-'[2]$ лето'!aj1225-'[2]$ лето'!ah1225-'[2]$ лето'!ag1225-'[2]$ лето'!af1225-'[2]$ лето'!ae1225-'[2]$ лето'!ad1225-'[2]$ лето'!ab1225-'[2]$ лето'!aa1225-'[2]$ лето'!z1225-'[2]$ лето'!y1225-'[2]$ лето'!x1225-'[2]$ лето'!v1225-'[2]$ лето'!u1225-'[2]$ лето'!t1225-'[2]$ лето'!s1225-'[2]$ лето'!r1225-'[2]$ лето'!p1225-'[2]$ лето'!o1225-'[2]$ лето'!n1225-'[2]$ лето'!m1225-'[2]$ лето'!l1225+'[2]$ лето'!k1225+'[2]$ лето'!q1225+'[2]$ лето'!w1225+'[2]$ лето'!ac1225+'[2]$ лето'!ai1225+'[2]$ лето'!ao1225</f>
        <v>0</v>
      </c>
      <c r="I1225" s="109" t="n">
        <f aca="false">'[2]$ лето'!ay1225*1.1</f>
        <v>2156</v>
      </c>
      <c r="J1225" s="113"/>
    </row>
    <row r="1226" customFormat="false" ht="15" hidden="true" customHeight="false" outlineLevel="0" collapsed="false">
      <c r="A1226" s="115" t="s">
        <v>1769</v>
      </c>
      <c r="B1226" s="115" t="s">
        <v>677</v>
      </c>
      <c r="C1226" s="116" t="s">
        <v>1701</v>
      </c>
      <c r="D1226" s="116"/>
      <c r="E1226" s="116"/>
      <c r="F1226" s="116"/>
      <c r="G1226" s="108"/>
      <c r="H1226" s="105" t="n">
        <f aca="false">'[2]$ лето'!j1226-'[2]$ лето'!au1226-'[2]$ лето'!at1226-'[2]$ лето'!as1226-'[2]$ лето'!ar1226-'[2]$ лето'!aq1226-'[2]$ лето'!ap1226-'[2]$ лето'!an1226-'[2]$ лето'!am1226-'[2]$ лето'!al1226-'[2]$ лето'!ak1226-'[2]$ лето'!aj1226-'[2]$ лето'!ah1226-'[2]$ лето'!ag1226-'[2]$ лето'!af1226-'[2]$ лето'!ae1226-'[2]$ лето'!ad1226-'[2]$ лето'!ab1226-'[2]$ лето'!aa1226-'[2]$ лето'!z1226-'[2]$ лето'!y1226-'[2]$ лето'!x1226-'[2]$ лето'!v1226-'[2]$ лето'!u1226-'[2]$ лето'!t1226-'[2]$ лето'!s1226-'[2]$ лето'!r1226-'[2]$ лето'!p1226-'[2]$ лето'!o1226-'[2]$ лето'!n1226-'[2]$ лето'!m1226-'[2]$ лето'!l1226+'[2]$ лето'!k1226+'[2]$ лето'!q1226+'[2]$ лето'!w1226+'[2]$ лето'!ac1226+'[2]$ лето'!ai1226+'[2]$ лето'!ao1226</f>
        <v>0</v>
      </c>
      <c r="I1226" s="109" t="n">
        <f aca="false">'[2]$ лето'!ay1226*1.1</f>
        <v>2618</v>
      </c>
    </row>
    <row r="1227" customFormat="false" ht="15" hidden="true" customHeight="false" outlineLevel="0" collapsed="false">
      <c r="A1227" s="115" t="s">
        <v>1769</v>
      </c>
      <c r="B1227" s="115" t="s">
        <v>589</v>
      </c>
      <c r="C1227" s="116" t="s">
        <v>1795</v>
      </c>
      <c r="D1227" s="116"/>
      <c r="E1227" s="116"/>
      <c r="F1227" s="116"/>
      <c r="G1227" s="108" t="s">
        <v>876</v>
      </c>
      <c r="H1227" s="105" t="n">
        <f aca="false">'[2]$ лето'!j1227-'[2]$ лето'!au1227-'[2]$ лето'!at1227-'[2]$ лето'!as1227-'[2]$ лето'!ar1227-'[2]$ лето'!aq1227-'[2]$ лето'!ap1227-'[2]$ лето'!an1227-'[2]$ лето'!am1227-'[2]$ лето'!al1227-'[2]$ лето'!ak1227-'[2]$ лето'!aj1227-'[2]$ лето'!ah1227-'[2]$ лето'!ag1227-'[2]$ лето'!af1227-'[2]$ лето'!ae1227-'[2]$ лето'!ad1227-'[2]$ лето'!ab1227-'[2]$ лето'!aa1227-'[2]$ лето'!z1227-'[2]$ лето'!y1227-'[2]$ лето'!x1227-'[2]$ лето'!v1227-'[2]$ лето'!u1227-'[2]$ лето'!t1227-'[2]$ лето'!s1227-'[2]$ лето'!r1227-'[2]$ лето'!p1227-'[2]$ лето'!o1227-'[2]$ лето'!n1227-'[2]$ лето'!m1227-'[2]$ лето'!l1227+'[2]$ лето'!k1227+'[2]$ лето'!q1227+'[2]$ лето'!w1227+'[2]$ лето'!ac1227+'[2]$ лето'!ai1227+'[2]$ лето'!ao1227</f>
        <v>0</v>
      </c>
      <c r="I1227" s="109" t="n">
        <f aca="false">'[2]$ лето'!ay1227*1.1</f>
        <v>3542</v>
      </c>
      <c r="J1227" s="85" t="n">
        <v>2017</v>
      </c>
    </row>
    <row r="1228" customFormat="false" ht="15" hidden="true" customHeight="false" outlineLevel="0" collapsed="false">
      <c r="A1228" s="115" t="s">
        <v>1769</v>
      </c>
      <c r="B1228" s="115" t="s">
        <v>589</v>
      </c>
      <c r="C1228" s="107" t="s">
        <v>1796</v>
      </c>
      <c r="D1228" s="107"/>
      <c r="E1228" s="107"/>
      <c r="F1228" s="107"/>
      <c r="G1228" s="108"/>
      <c r="H1228" s="105" t="n">
        <f aca="false">'[2]$ лето'!j1228-'[2]$ лето'!au1228-'[2]$ лето'!at1228-'[2]$ лето'!as1228-'[2]$ лето'!ar1228-'[2]$ лето'!aq1228-'[2]$ лето'!ap1228-'[2]$ лето'!an1228-'[2]$ лето'!am1228-'[2]$ лето'!al1228-'[2]$ лето'!ak1228-'[2]$ лето'!aj1228-'[2]$ лето'!ah1228-'[2]$ лето'!ag1228-'[2]$ лето'!af1228-'[2]$ лето'!ae1228-'[2]$ лето'!ad1228-'[2]$ лето'!ab1228-'[2]$ лето'!aa1228-'[2]$ лето'!z1228-'[2]$ лето'!y1228-'[2]$ лето'!x1228-'[2]$ лето'!v1228-'[2]$ лето'!u1228-'[2]$ лето'!t1228-'[2]$ лето'!s1228-'[2]$ лето'!r1228-'[2]$ лето'!p1228-'[2]$ лето'!o1228-'[2]$ лето'!n1228-'[2]$ лето'!m1228-'[2]$ лето'!l1228+'[2]$ лето'!k1228+'[2]$ лето'!q1228+'[2]$ лето'!w1228+'[2]$ лето'!ac1228+'[2]$ лето'!ai1228+'[2]$ лето'!ao1228</f>
        <v>0</v>
      </c>
      <c r="I1228" s="109" t="n">
        <f aca="false">'[2]$ лето'!ay1228*1.1</f>
        <v>2741.2</v>
      </c>
    </row>
    <row r="1229" customFormat="false" ht="15" hidden="false" customHeight="false" outlineLevel="0" collapsed="false">
      <c r="A1229" s="115" t="s">
        <v>1769</v>
      </c>
      <c r="B1229" s="115" t="s">
        <v>564</v>
      </c>
      <c r="C1229" s="107" t="s">
        <v>1797</v>
      </c>
      <c r="D1229" s="107"/>
      <c r="E1229" s="116"/>
      <c r="F1229" s="116"/>
      <c r="G1229" s="108" t="s">
        <v>520</v>
      </c>
      <c r="H1229" s="105" t="n">
        <f aca="false">'[2]$ лето'!j1229-'[2]$ лето'!au1229-'[2]$ лето'!at1229-'[2]$ лето'!as1229-'[2]$ лето'!ar1229-'[2]$ лето'!aq1229-'[2]$ лето'!ap1229-'[2]$ лето'!an1229-'[2]$ лето'!am1229-'[2]$ лето'!al1229-'[2]$ лето'!ak1229-'[2]$ лето'!aj1229-'[2]$ лето'!ah1229-'[2]$ лето'!ag1229-'[2]$ лето'!af1229-'[2]$ лето'!ae1229-'[2]$ лето'!ad1229-'[2]$ лето'!ab1229-'[2]$ лето'!aa1229-'[2]$ лето'!z1229-'[2]$ лето'!y1229-'[2]$ лето'!x1229-'[2]$ лето'!v1229-'[2]$ лето'!u1229-'[2]$ лето'!t1229-'[2]$ лето'!s1229-'[2]$ лето'!r1229-'[2]$ лето'!p1229-'[2]$ лето'!o1229-'[2]$ лето'!n1229-'[2]$ лето'!m1229-'[2]$ лето'!l1229+'[2]$ лето'!k1229+'[2]$ лето'!q1229+'[2]$ лето'!w1229+'[2]$ лето'!ac1229+'[2]$ лето'!ai1229+'[2]$ лето'!ao1229</f>
        <v>8</v>
      </c>
      <c r="I1229" s="109" t="n">
        <f aca="false">'[2]$ лето'!ay1229*1.1</f>
        <v>1848</v>
      </c>
      <c r="J1229" s="85" t="n">
        <v>2017</v>
      </c>
    </row>
    <row r="1230" customFormat="false" ht="15" hidden="true" customHeight="false" outlineLevel="0" collapsed="false">
      <c r="A1230" s="115" t="s">
        <v>1769</v>
      </c>
      <c r="B1230" s="115" t="s">
        <v>770</v>
      </c>
      <c r="C1230" s="107" t="s">
        <v>1798</v>
      </c>
      <c r="D1230" s="107"/>
      <c r="E1230" s="107"/>
      <c r="F1230" s="107"/>
      <c r="G1230" s="108"/>
      <c r="H1230" s="105" t="n">
        <f aca="false">'[2]$ лето'!j1230-'[2]$ лето'!au1230-'[2]$ лето'!at1230-'[2]$ лето'!as1230-'[2]$ лето'!ar1230-'[2]$ лето'!aq1230-'[2]$ лето'!ap1230-'[2]$ лето'!an1230-'[2]$ лето'!am1230-'[2]$ лето'!al1230-'[2]$ лето'!ak1230-'[2]$ лето'!aj1230-'[2]$ лето'!ah1230-'[2]$ лето'!ag1230-'[2]$ лето'!af1230-'[2]$ лето'!ae1230-'[2]$ лето'!ad1230-'[2]$ лето'!ab1230-'[2]$ лето'!aa1230-'[2]$ лето'!z1230-'[2]$ лето'!y1230-'[2]$ лето'!x1230-'[2]$ лето'!v1230-'[2]$ лето'!u1230-'[2]$ лето'!t1230-'[2]$ лето'!s1230-'[2]$ лето'!r1230-'[2]$ лето'!p1230-'[2]$ лето'!o1230-'[2]$ лето'!n1230-'[2]$ лето'!m1230-'[2]$ лето'!l1230+'[2]$ лето'!k1230+'[2]$ лето'!q1230+'[2]$ лето'!w1230+'[2]$ лето'!ac1230+'[2]$ лето'!ai1230+'[2]$ лето'!ao1230</f>
        <v>0</v>
      </c>
      <c r="I1230" s="109" t="n">
        <f aca="false">'[2]$ лето'!ay1230*1.1</f>
        <v>2926</v>
      </c>
    </row>
    <row r="1231" customFormat="false" ht="15" hidden="false" customHeight="false" outlineLevel="0" collapsed="false">
      <c r="A1231" s="123" t="s">
        <v>1799</v>
      </c>
      <c r="B1231" s="115" t="s">
        <v>606</v>
      </c>
      <c r="C1231" s="116" t="s">
        <v>1800</v>
      </c>
      <c r="D1231" s="116"/>
      <c r="E1231" s="116"/>
      <c r="F1231" s="116"/>
      <c r="G1231" s="108"/>
      <c r="H1231" s="105" t="n">
        <f aca="false">'[2]$ лето'!j1231-'[2]$ лето'!au1231-'[2]$ лето'!at1231-'[2]$ лето'!as1231-'[2]$ лето'!ar1231-'[2]$ лето'!aq1231-'[2]$ лето'!ap1231-'[2]$ лето'!an1231-'[2]$ лето'!am1231-'[2]$ лето'!al1231-'[2]$ лето'!ak1231-'[2]$ лето'!aj1231-'[2]$ лето'!ah1231-'[2]$ лето'!ag1231-'[2]$ лето'!af1231-'[2]$ лето'!ae1231-'[2]$ лето'!ad1231-'[2]$ лето'!ab1231-'[2]$ лето'!aa1231-'[2]$ лето'!z1231-'[2]$ лето'!y1231-'[2]$ лето'!x1231-'[2]$ лето'!v1231-'[2]$ лето'!u1231-'[2]$ лето'!t1231-'[2]$ лето'!s1231-'[2]$ лето'!r1231-'[2]$ лето'!p1231-'[2]$ лето'!o1231-'[2]$ лето'!n1231-'[2]$ лето'!m1231-'[2]$ лето'!l1231+'[2]$ лето'!k1231+'[2]$ лето'!q1231+'[2]$ лето'!w1231+'[2]$ лето'!ac1231+'[2]$ лето'!ai1231+'[2]$ лето'!ao1231</f>
        <v>4</v>
      </c>
      <c r="I1231" s="109" t="n">
        <f aca="false">'[2]$ лето'!ay1231*1.1</f>
        <v>2833.6</v>
      </c>
    </row>
    <row r="1232" customFormat="false" ht="15" hidden="false" customHeight="false" outlineLevel="0" collapsed="false">
      <c r="A1232" s="123" t="s">
        <v>1799</v>
      </c>
      <c r="B1232" s="123" t="s">
        <v>593</v>
      </c>
      <c r="C1232" s="107" t="s">
        <v>1801</v>
      </c>
      <c r="D1232" s="107"/>
      <c r="E1232" s="116"/>
      <c r="F1232" s="116"/>
      <c r="G1232" s="108"/>
      <c r="H1232" s="105" t="n">
        <f aca="false">'[2]$ лето'!j1232-'[2]$ лето'!au1232-'[2]$ лето'!at1232-'[2]$ лето'!as1232-'[2]$ лето'!ar1232-'[2]$ лето'!aq1232-'[2]$ лето'!ap1232-'[2]$ лето'!an1232-'[2]$ лето'!am1232-'[2]$ лето'!al1232-'[2]$ лето'!ak1232-'[2]$ лето'!aj1232-'[2]$ лето'!ah1232-'[2]$ лето'!ag1232-'[2]$ лето'!af1232-'[2]$ лето'!ae1232-'[2]$ лето'!ad1232-'[2]$ лето'!ab1232-'[2]$ лето'!aa1232-'[2]$ лето'!z1232-'[2]$ лето'!y1232-'[2]$ лето'!x1232-'[2]$ лето'!v1232-'[2]$ лето'!u1232-'[2]$ лето'!t1232-'[2]$ лето'!s1232-'[2]$ лето'!r1232-'[2]$ лето'!p1232-'[2]$ лето'!o1232-'[2]$ лето'!n1232-'[2]$ лето'!m1232-'[2]$ лето'!l1232+'[2]$ лето'!k1232+'[2]$ лето'!q1232+'[2]$ лето'!w1232+'[2]$ лето'!ac1232+'[2]$ лето'!ai1232+'[2]$ лето'!ao1232</f>
        <v>4</v>
      </c>
      <c r="I1232" s="109" t="n">
        <f aca="false">'[2]$ лето'!ay1232*1.1</f>
        <v>3757.6</v>
      </c>
    </row>
    <row r="1233" customFormat="false" ht="15" hidden="true" customHeight="false" outlineLevel="0" collapsed="false">
      <c r="A1233" s="115" t="s">
        <v>1802</v>
      </c>
      <c r="B1233" s="123" t="s">
        <v>568</v>
      </c>
      <c r="C1233" s="116" t="s">
        <v>1803</v>
      </c>
      <c r="D1233" s="116"/>
      <c r="E1233" s="116"/>
      <c r="F1233" s="116"/>
      <c r="G1233" s="108"/>
      <c r="H1233" s="105" t="n">
        <f aca="false">'[2]$ лето'!j1233-'[2]$ лето'!au1233-'[2]$ лето'!at1233-'[2]$ лето'!as1233-'[2]$ лето'!ar1233-'[2]$ лето'!aq1233-'[2]$ лето'!ap1233-'[2]$ лето'!an1233-'[2]$ лето'!am1233-'[2]$ лето'!al1233-'[2]$ лето'!ak1233-'[2]$ лето'!aj1233-'[2]$ лето'!ah1233-'[2]$ лето'!ag1233-'[2]$ лето'!af1233-'[2]$ лето'!ae1233-'[2]$ лето'!ad1233-'[2]$ лето'!ab1233-'[2]$ лето'!aa1233-'[2]$ лето'!z1233-'[2]$ лето'!y1233-'[2]$ лето'!x1233-'[2]$ лето'!v1233-'[2]$ лето'!u1233-'[2]$ лето'!t1233-'[2]$ лето'!s1233-'[2]$ лето'!r1233-'[2]$ лето'!p1233-'[2]$ лето'!o1233-'[2]$ лето'!n1233-'[2]$ лето'!m1233-'[2]$ лето'!l1233+'[2]$ лето'!k1233+'[2]$ лето'!q1233+'[2]$ лето'!w1233+'[2]$ лето'!ac1233+'[2]$ лето'!ai1233+'[2]$ лето'!ao1233</f>
        <v>0</v>
      </c>
      <c r="I1233" s="109" t="n">
        <f aca="false">'[2]$ лето'!ay1233*1.1</f>
        <v>2156</v>
      </c>
      <c r="J1233" s="85" t="n">
        <v>2016</v>
      </c>
    </row>
    <row r="1234" customFormat="false" ht="15" hidden="true" customHeight="false" outlineLevel="0" collapsed="false">
      <c r="A1234" s="115" t="s">
        <v>1802</v>
      </c>
      <c r="B1234" s="123" t="s">
        <v>844</v>
      </c>
      <c r="C1234" s="116" t="s">
        <v>1804</v>
      </c>
      <c r="D1234" s="116"/>
      <c r="E1234" s="116"/>
      <c r="F1234" s="116"/>
      <c r="G1234" s="108"/>
      <c r="H1234" s="105" t="n">
        <f aca="false">'[2]$ лето'!j1234-'[2]$ лето'!au1234-'[2]$ лето'!at1234-'[2]$ лето'!as1234-'[2]$ лето'!ar1234-'[2]$ лето'!aq1234-'[2]$ лето'!ap1234-'[2]$ лето'!an1234-'[2]$ лето'!am1234-'[2]$ лето'!al1234-'[2]$ лето'!ak1234-'[2]$ лето'!aj1234-'[2]$ лето'!ah1234-'[2]$ лето'!ag1234-'[2]$ лето'!af1234-'[2]$ лето'!ae1234-'[2]$ лето'!ad1234-'[2]$ лето'!ab1234-'[2]$ лето'!aa1234-'[2]$ лето'!z1234-'[2]$ лето'!y1234-'[2]$ лето'!x1234-'[2]$ лето'!v1234-'[2]$ лето'!u1234-'[2]$ лето'!t1234-'[2]$ лето'!s1234-'[2]$ лето'!r1234-'[2]$ лето'!p1234-'[2]$ лето'!o1234-'[2]$ лето'!n1234-'[2]$ лето'!m1234-'[2]$ лето'!l1234+'[2]$ лето'!k1234+'[2]$ лето'!q1234+'[2]$ лето'!w1234+'[2]$ лето'!ac1234+'[2]$ лето'!ai1234+'[2]$ лето'!ao1234</f>
        <v>0</v>
      </c>
      <c r="I1234" s="109" t="n">
        <f aca="false">'[2]$ лето'!ay1234*1.1</f>
        <v>4312</v>
      </c>
    </row>
    <row r="1235" customFormat="false" ht="15" hidden="false" customHeight="false" outlineLevel="0" collapsed="false">
      <c r="A1235" s="115" t="s">
        <v>1802</v>
      </c>
      <c r="B1235" s="123" t="s">
        <v>658</v>
      </c>
      <c r="C1235" s="116" t="s">
        <v>1805</v>
      </c>
      <c r="D1235" s="116"/>
      <c r="E1235" s="116"/>
      <c r="F1235" s="116"/>
      <c r="G1235" s="108" t="s">
        <v>585</v>
      </c>
      <c r="H1235" s="105" t="n">
        <f aca="false">'[2]$ лето'!j1235-'[2]$ лето'!au1235-'[2]$ лето'!at1235-'[2]$ лето'!as1235-'[2]$ лето'!ar1235-'[2]$ лето'!aq1235-'[2]$ лето'!ap1235-'[2]$ лето'!an1235-'[2]$ лето'!am1235-'[2]$ лето'!al1235-'[2]$ лето'!ak1235-'[2]$ лето'!aj1235-'[2]$ лето'!ah1235-'[2]$ лето'!ag1235-'[2]$ лето'!af1235-'[2]$ лето'!ae1235-'[2]$ лето'!ad1235-'[2]$ лето'!ab1235-'[2]$ лето'!aa1235-'[2]$ лето'!z1235-'[2]$ лето'!y1235-'[2]$ лето'!x1235-'[2]$ лето'!v1235-'[2]$ лето'!u1235-'[2]$ лето'!t1235-'[2]$ лето'!s1235-'[2]$ лето'!r1235-'[2]$ лето'!p1235-'[2]$ лето'!o1235-'[2]$ лето'!n1235-'[2]$ лето'!m1235-'[2]$ лето'!l1235+'[2]$ лето'!k1235+'[2]$ лето'!q1235+'[2]$ лето'!w1235+'[2]$ лето'!ac1235+'[2]$ лето'!ai1235+'[2]$ лето'!ao1235</f>
        <v>4</v>
      </c>
      <c r="I1235" s="109" t="n">
        <f aca="false">'[2]$ лето'!ay1235*1.1</f>
        <v>4158</v>
      </c>
      <c r="J1235" s="85" t="n">
        <v>2017</v>
      </c>
    </row>
    <row r="1236" customFormat="false" ht="15" hidden="true" customHeight="false" outlineLevel="0" collapsed="false">
      <c r="A1236" s="115" t="s">
        <v>1802</v>
      </c>
      <c r="B1236" s="115" t="s">
        <v>707</v>
      </c>
      <c r="C1236" s="116" t="s">
        <v>1806</v>
      </c>
      <c r="D1236" s="116"/>
      <c r="E1236" s="116"/>
      <c r="F1236" s="116"/>
      <c r="G1236" s="108"/>
      <c r="H1236" s="105" t="n">
        <f aca="false">'[2]$ лето'!j1236-'[2]$ лето'!au1236-'[2]$ лето'!at1236-'[2]$ лето'!as1236-'[2]$ лето'!ar1236-'[2]$ лето'!aq1236-'[2]$ лето'!ap1236-'[2]$ лето'!an1236-'[2]$ лето'!am1236-'[2]$ лето'!al1236-'[2]$ лето'!ak1236-'[2]$ лето'!aj1236-'[2]$ лето'!ah1236-'[2]$ лето'!ag1236-'[2]$ лето'!af1236-'[2]$ лето'!ae1236-'[2]$ лето'!ad1236-'[2]$ лето'!ab1236-'[2]$ лето'!aa1236-'[2]$ лето'!z1236-'[2]$ лето'!y1236-'[2]$ лето'!x1236-'[2]$ лето'!v1236-'[2]$ лето'!u1236-'[2]$ лето'!t1236-'[2]$ лето'!s1236-'[2]$ лето'!r1236-'[2]$ лето'!p1236-'[2]$ лето'!o1236-'[2]$ лето'!n1236-'[2]$ лето'!m1236-'[2]$ лето'!l1236+'[2]$ лето'!k1236+'[2]$ лето'!q1236+'[2]$ лето'!w1236+'[2]$ лето'!ac1236+'[2]$ лето'!ai1236+'[2]$ лето'!ao1236</f>
        <v>0</v>
      </c>
      <c r="I1236" s="109" t="n">
        <f aca="false">'[2]$ лето'!ay1236*1.1</f>
        <v>3850</v>
      </c>
    </row>
    <row r="1237" customFormat="false" ht="15" hidden="true" customHeight="false" outlineLevel="0" collapsed="false">
      <c r="A1237" s="115" t="s">
        <v>1802</v>
      </c>
      <c r="B1237" s="115" t="s">
        <v>557</v>
      </c>
      <c r="C1237" s="116" t="s">
        <v>1807</v>
      </c>
      <c r="D1237" s="116"/>
      <c r="E1237" s="116"/>
      <c r="F1237" s="116"/>
      <c r="G1237" s="108"/>
      <c r="H1237" s="105" t="n">
        <f aca="false">'[2]$ лето'!j1237-'[2]$ лето'!au1237-'[2]$ лето'!at1237-'[2]$ лето'!as1237-'[2]$ лето'!ar1237-'[2]$ лето'!aq1237-'[2]$ лето'!ap1237-'[2]$ лето'!an1237-'[2]$ лето'!am1237-'[2]$ лето'!al1237-'[2]$ лето'!ak1237-'[2]$ лето'!aj1237-'[2]$ лето'!ah1237-'[2]$ лето'!ag1237-'[2]$ лето'!af1237-'[2]$ лето'!ae1237-'[2]$ лето'!ad1237-'[2]$ лето'!ab1237-'[2]$ лето'!aa1237-'[2]$ лето'!z1237-'[2]$ лето'!y1237-'[2]$ лето'!x1237-'[2]$ лето'!v1237-'[2]$ лето'!u1237-'[2]$ лето'!t1237-'[2]$ лето'!s1237-'[2]$ лето'!r1237-'[2]$ лето'!p1237-'[2]$ лето'!o1237-'[2]$ лето'!n1237-'[2]$ лето'!m1237-'[2]$ лето'!l1237+'[2]$ лето'!k1237+'[2]$ лето'!q1237+'[2]$ лето'!w1237+'[2]$ лето'!ac1237+'[2]$ лето'!ai1237+'[2]$ лето'!ao1237</f>
        <v>0</v>
      </c>
      <c r="I1237" s="109" t="n">
        <f aca="false">'[2]$ лето'!ay1237*1.1</f>
        <v>2156</v>
      </c>
    </row>
    <row r="1238" customFormat="false" ht="15" hidden="false" customHeight="false" outlineLevel="0" collapsed="false">
      <c r="A1238" s="115" t="s">
        <v>1802</v>
      </c>
      <c r="B1238" s="115" t="s">
        <v>948</v>
      </c>
      <c r="C1238" s="116" t="s">
        <v>1808</v>
      </c>
      <c r="D1238" s="116"/>
      <c r="E1238" s="116" t="n">
        <v>95</v>
      </c>
      <c r="F1238" s="116" t="s">
        <v>1727</v>
      </c>
      <c r="G1238" s="108" t="s">
        <v>843</v>
      </c>
      <c r="H1238" s="105" t="n">
        <f aca="false">'[2]$ лето'!j1238-'[2]$ лето'!au1238-'[2]$ лето'!at1238-'[2]$ лето'!as1238-'[2]$ лето'!ar1238-'[2]$ лето'!aq1238-'[2]$ лето'!ap1238-'[2]$ лето'!an1238-'[2]$ лето'!am1238-'[2]$ лето'!al1238-'[2]$ лето'!ak1238-'[2]$ лето'!aj1238-'[2]$ лето'!ah1238-'[2]$ лето'!ag1238-'[2]$ лето'!af1238-'[2]$ лето'!ae1238-'[2]$ лето'!ad1238-'[2]$ лето'!ab1238-'[2]$ лето'!aa1238-'[2]$ лето'!z1238-'[2]$ лето'!y1238-'[2]$ лето'!x1238-'[2]$ лето'!v1238-'[2]$ лето'!u1238-'[2]$ лето'!t1238-'[2]$ лето'!s1238-'[2]$ лето'!r1238-'[2]$ лето'!p1238-'[2]$ лето'!o1238-'[2]$ лето'!n1238-'[2]$ лето'!m1238-'[2]$ лето'!l1238+'[2]$ лето'!k1238+'[2]$ лето'!q1238+'[2]$ лето'!w1238+'[2]$ лето'!ac1238+'[2]$ лето'!ai1238+'[2]$ лето'!ao1238</f>
        <v>4</v>
      </c>
      <c r="I1238" s="109" t="n">
        <f aca="false">'[2]$ лето'!ay1238*1.1</f>
        <v>3542</v>
      </c>
      <c r="J1238" s="85" t="n">
        <v>2016</v>
      </c>
    </row>
    <row r="1239" customFormat="false" ht="15" hidden="false" customHeight="false" outlineLevel="0" collapsed="false">
      <c r="A1239" s="115" t="s">
        <v>1802</v>
      </c>
      <c r="B1239" s="115" t="s">
        <v>606</v>
      </c>
      <c r="C1239" s="116" t="s">
        <v>1809</v>
      </c>
      <c r="D1239" s="116"/>
      <c r="E1239" s="116"/>
      <c r="F1239" s="116"/>
      <c r="G1239" s="108"/>
      <c r="H1239" s="105" t="n">
        <f aca="false">'[2]$ лето'!j1239-'[2]$ лето'!au1239-'[2]$ лето'!at1239-'[2]$ лето'!as1239-'[2]$ лето'!ar1239-'[2]$ лето'!aq1239-'[2]$ лето'!ap1239-'[2]$ лето'!an1239-'[2]$ лето'!am1239-'[2]$ лето'!al1239-'[2]$ лето'!ak1239-'[2]$ лето'!aj1239-'[2]$ лето'!ah1239-'[2]$ лето'!ag1239-'[2]$ лето'!af1239-'[2]$ лето'!ae1239-'[2]$ лето'!ad1239-'[2]$ лето'!ab1239-'[2]$ лето'!aa1239-'[2]$ лето'!z1239-'[2]$ лето'!y1239-'[2]$ лето'!x1239-'[2]$ лето'!v1239-'[2]$ лето'!u1239-'[2]$ лето'!t1239-'[2]$ лето'!s1239-'[2]$ лето'!r1239-'[2]$ лето'!p1239-'[2]$ лето'!o1239-'[2]$ лето'!n1239-'[2]$ лето'!m1239-'[2]$ лето'!l1239+'[2]$ лето'!k1239+'[2]$ лето'!q1239+'[2]$ лето'!w1239+'[2]$ лето'!ac1239+'[2]$ лето'!ai1239+'[2]$ лето'!ao1239</f>
        <v>4</v>
      </c>
      <c r="I1239" s="109" t="n">
        <f aca="false">'[2]$ лето'!ay1239*1.1</f>
        <v>3264.8</v>
      </c>
      <c r="J1239" s="85" t="n">
        <v>2018</v>
      </c>
    </row>
    <row r="1240" customFormat="false" ht="15" hidden="false" customHeight="false" outlineLevel="0" collapsed="false">
      <c r="A1240" s="115" t="s">
        <v>1802</v>
      </c>
      <c r="B1240" s="115" t="s">
        <v>583</v>
      </c>
      <c r="C1240" s="116" t="s">
        <v>1810</v>
      </c>
      <c r="D1240" s="116"/>
      <c r="E1240" s="116"/>
      <c r="F1240" s="116"/>
      <c r="G1240" s="108"/>
      <c r="H1240" s="105" t="n">
        <f aca="false">'[2]$ лето'!j1240-'[2]$ лето'!au1240-'[2]$ лето'!at1240-'[2]$ лето'!as1240-'[2]$ лето'!ar1240-'[2]$ лето'!aq1240-'[2]$ лето'!ap1240-'[2]$ лето'!an1240-'[2]$ лето'!am1240-'[2]$ лето'!al1240-'[2]$ лето'!ak1240-'[2]$ лето'!aj1240-'[2]$ лето'!ah1240-'[2]$ лето'!ag1240-'[2]$ лето'!af1240-'[2]$ лето'!ae1240-'[2]$ лето'!ad1240-'[2]$ лето'!ab1240-'[2]$ лето'!aa1240-'[2]$ лето'!z1240-'[2]$ лето'!y1240-'[2]$ лето'!x1240-'[2]$ лето'!v1240-'[2]$ лето'!u1240-'[2]$ лето'!t1240-'[2]$ лето'!s1240-'[2]$ лето'!r1240-'[2]$ лето'!p1240-'[2]$ лето'!o1240-'[2]$ лето'!n1240-'[2]$ лето'!m1240-'[2]$ лето'!l1240+'[2]$ лето'!k1240+'[2]$ лето'!q1240+'[2]$ лето'!w1240+'[2]$ лето'!ac1240+'[2]$ лето'!ai1240+'[2]$ лето'!ao1240</f>
        <v>8</v>
      </c>
      <c r="I1240" s="109" t="n">
        <f aca="false">'[2]$ лето'!ay1240*1.1</f>
        <v>2032.8</v>
      </c>
    </row>
    <row r="1241" customFormat="false" ht="15" hidden="true" customHeight="false" outlineLevel="0" collapsed="false">
      <c r="A1241" s="115" t="s">
        <v>1802</v>
      </c>
      <c r="B1241" s="115" t="s">
        <v>593</v>
      </c>
      <c r="C1241" s="116" t="s">
        <v>1811</v>
      </c>
      <c r="D1241" s="116"/>
      <c r="E1241" s="116"/>
      <c r="F1241" s="116"/>
      <c r="G1241" s="108"/>
      <c r="H1241" s="105" t="n">
        <f aca="false">'[2]$ лето'!j1241-'[2]$ лето'!au1241-'[2]$ лето'!at1241-'[2]$ лето'!as1241-'[2]$ лето'!ar1241-'[2]$ лето'!aq1241-'[2]$ лето'!ap1241-'[2]$ лето'!an1241-'[2]$ лето'!am1241-'[2]$ лето'!al1241-'[2]$ лето'!ak1241-'[2]$ лето'!aj1241-'[2]$ лето'!ah1241-'[2]$ лето'!ag1241-'[2]$ лето'!af1241-'[2]$ лето'!ae1241-'[2]$ лето'!ad1241-'[2]$ лето'!ab1241-'[2]$ лето'!aa1241-'[2]$ лето'!z1241-'[2]$ лето'!y1241-'[2]$ лето'!x1241-'[2]$ лето'!v1241-'[2]$ лето'!u1241-'[2]$ лето'!t1241-'[2]$ лето'!s1241-'[2]$ лето'!r1241-'[2]$ лето'!p1241-'[2]$ лето'!o1241-'[2]$ лето'!n1241-'[2]$ лето'!m1241-'[2]$ лето'!l1241+'[2]$ лето'!k1241+'[2]$ лето'!q1241+'[2]$ лето'!w1241+'[2]$ лето'!ac1241+'[2]$ лето'!ai1241+'[2]$ лето'!ao1241</f>
        <v>0</v>
      </c>
      <c r="I1241" s="109" t="n">
        <f aca="false">'[2]$ лето'!ay1241*1.1</f>
        <v>4435.2</v>
      </c>
    </row>
    <row r="1242" customFormat="false" ht="15" hidden="true" customHeight="false" outlineLevel="0" collapsed="false">
      <c r="A1242" s="115" t="s">
        <v>1802</v>
      </c>
      <c r="B1242" s="115" t="s">
        <v>593</v>
      </c>
      <c r="C1242" s="107" t="s">
        <v>1812</v>
      </c>
      <c r="D1242" s="107"/>
      <c r="E1242" s="107"/>
      <c r="F1242" s="107"/>
      <c r="G1242" s="108"/>
      <c r="H1242" s="105" t="n">
        <f aca="false">'[2]$ лето'!j1242-'[2]$ лето'!au1242-'[2]$ лето'!at1242-'[2]$ лето'!as1242-'[2]$ лето'!ar1242-'[2]$ лето'!aq1242-'[2]$ лето'!ap1242-'[2]$ лето'!an1242-'[2]$ лето'!am1242-'[2]$ лето'!al1242-'[2]$ лето'!ak1242-'[2]$ лето'!aj1242-'[2]$ лето'!ah1242-'[2]$ лето'!ag1242-'[2]$ лето'!af1242-'[2]$ лето'!ae1242-'[2]$ лето'!ad1242-'[2]$ лето'!ab1242-'[2]$ лето'!aa1242-'[2]$ лето'!z1242-'[2]$ лето'!y1242-'[2]$ лето'!x1242-'[2]$ лето'!v1242-'[2]$ лето'!u1242-'[2]$ лето'!t1242-'[2]$ лето'!s1242-'[2]$ лето'!r1242-'[2]$ лето'!p1242-'[2]$ лето'!o1242-'[2]$ лето'!n1242-'[2]$ лето'!m1242-'[2]$ лето'!l1242+'[2]$ лето'!k1242+'[2]$ лето'!q1242+'[2]$ лето'!w1242+'[2]$ лето'!ac1242+'[2]$ лето'!ai1242+'[2]$ лето'!ao1242</f>
        <v>0</v>
      </c>
      <c r="I1242" s="109" t="n">
        <f aca="false">'[2]$ лето'!ay1242*1.1</f>
        <v>4219.6</v>
      </c>
    </row>
    <row r="1243" customFormat="false" ht="15" hidden="true" customHeight="false" outlineLevel="0" collapsed="false">
      <c r="A1243" s="115" t="s">
        <v>1802</v>
      </c>
      <c r="B1243" s="115" t="s">
        <v>615</v>
      </c>
      <c r="C1243" s="116" t="s">
        <v>1813</v>
      </c>
      <c r="D1243" s="116"/>
      <c r="E1243" s="116"/>
      <c r="F1243" s="116"/>
      <c r="G1243" s="108"/>
      <c r="H1243" s="105" t="n">
        <f aca="false">'[2]$ лето'!j1243-'[2]$ лето'!au1243-'[2]$ лето'!at1243-'[2]$ лето'!as1243-'[2]$ лето'!ar1243-'[2]$ лето'!aq1243-'[2]$ лето'!ap1243-'[2]$ лето'!an1243-'[2]$ лето'!am1243-'[2]$ лето'!al1243-'[2]$ лето'!ak1243-'[2]$ лето'!aj1243-'[2]$ лето'!ah1243-'[2]$ лето'!ag1243-'[2]$ лето'!af1243-'[2]$ лето'!ae1243-'[2]$ лето'!ad1243-'[2]$ лето'!ab1243-'[2]$ лето'!aa1243-'[2]$ лето'!z1243-'[2]$ лето'!y1243-'[2]$ лето'!x1243-'[2]$ лето'!v1243-'[2]$ лето'!u1243-'[2]$ лето'!t1243-'[2]$ лето'!s1243-'[2]$ лето'!r1243-'[2]$ лето'!p1243-'[2]$ лето'!o1243-'[2]$ лето'!n1243-'[2]$ лето'!m1243-'[2]$ лето'!l1243+'[2]$ лето'!k1243+'[2]$ лето'!q1243+'[2]$ лето'!w1243+'[2]$ лето'!ac1243+'[2]$ лето'!ai1243+'[2]$ лето'!ao1243</f>
        <v>0</v>
      </c>
      <c r="I1243" s="109" t="n">
        <f aca="false">'[2]$ лето'!ay1243*1.1</f>
        <v>2248.4</v>
      </c>
    </row>
    <row r="1244" customFormat="false" ht="15" hidden="true" customHeight="false" outlineLevel="0" collapsed="false">
      <c r="A1244" s="115" t="s">
        <v>1802</v>
      </c>
      <c r="B1244" s="115" t="s">
        <v>801</v>
      </c>
      <c r="C1244" s="116" t="s">
        <v>1814</v>
      </c>
      <c r="D1244" s="116"/>
      <c r="E1244" s="116"/>
      <c r="F1244" s="116"/>
      <c r="G1244" s="108"/>
      <c r="H1244" s="105" t="n">
        <f aca="false">'[2]$ лето'!j1244-'[2]$ лето'!au1244-'[2]$ лето'!at1244-'[2]$ лето'!as1244-'[2]$ лето'!ar1244-'[2]$ лето'!aq1244-'[2]$ лето'!ap1244-'[2]$ лето'!an1244-'[2]$ лето'!am1244-'[2]$ лето'!al1244-'[2]$ лето'!ak1244-'[2]$ лето'!aj1244-'[2]$ лето'!ah1244-'[2]$ лето'!ag1244-'[2]$ лето'!af1244-'[2]$ лето'!ae1244-'[2]$ лето'!ad1244-'[2]$ лето'!ab1244-'[2]$ лето'!aa1244-'[2]$ лето'!z1244-'[2]$ лето'!y1244-'[2]$ лето'!x1244-'[2]$ лето'!v1244-'[2]$ лето'!u1244-'[2]$ лето'!t1244-'[2]$ лето'!s1244-'[2]$ лето'!r1244-'[2]$ лето'!p1244-'[2]$ лето'!o1244-'[2]$ лето'!n1244-'[2]$ лето'!m1244-'[2]$ лето'!l1244+'[2]$ лето'!k1244+'[2]$ лето'!q1244+'[2]$ лето'!w1244+'[2]$ лето'!ac1244+'[2]$ лето'!ai1244+'[2]$ лето'!ao1244</f>
        <v>0</v>
      </c>
      <c r="I1244" s="109" t="n">
        <f aca="false">'[2]$ лето'!ay1244*1.1</f>
        <v>3850</v>
      </c>
    </row>
    <row r="1245" customFormat="false" ht="15" hidden="true" customHeight="false" outlineLevel="0" collapsed="false">
      <c r="A1245" s="115" t="s">
        <v>1802</v>
      </c>
      <c r="B1245" s="115" t="s">
        <v>677</v>
      </c>
      <c r="C1245" s="116" t="s">
        <v>1815</v>
      </c>
      <c r="D1245" s="116"/>
      <c r="E1245" s="116"/>
      <c r="F1245" s="116"/>
      <c r="G1245" s="108"/>
      <c r="H1245" s="105" t="n">
        <f aca="false">'[2]$ лето'!j1245-'[2]$ лето'!au1245-'[2]$ лето'!at1245-'[2]$ лето'!as1245-'[2]$ лето'!ar1245-'[2]$ лето'!aq1245-'[2]$ лето'!ap1245-'[2]$ лето'!an1245-'[2]$ лето'!am1245-'[2]$ лето'!al1245-'[2]$ лето'!ak1245-'[2]$ лето'!aj1245-'[2]$ лето'!ah1245-'[2]$ лето'!ag1245-'[2]$ лето'!af1245-'[2]$ лето'!ae1245-'[2]$ лето'!ad1245-'[2]$ лето'!ab1245-'[2]$ лето'!aa1245-'[2]$ лето'!z1245-'[2]$ лето'!y1245-'[2]$ лето'!x1245-'[2]$ лето'!v1245-'[2]$ лето'!u1245-'[2]$ лето'!t1245-'[2]$ лето'!s1245-'[2]$ лето'!r1245-'[2]$ лето'!p1245-'[2]$ лето'!o1245-'[2]$ лето'!n1245-'[2]$ лето'!m1245-'[2]$ лето'!l1245+'[2]$ лето'!k1245+'[2]$ лето'!q1245+'[2]$ лето'!w1245+'[2]$ лето'!ac1245+'[2]$ лето'!ai1245+'[2]$ лето'!ao1245</f>
        <v>0</v>
      </c>
      <c r="I1245" s="109" t="n">
        <f aca="false">'[2]$ лето'!ay1245*1.1</f>
        <v>2402.4</v>
      </c>
    </row>
    <row r="1246" customFormat="false" ht="15" hidden="true" customHeight="false" outlineLevel="0" collapsed="false">
      <c r="A1246" s="115" t="s">
        <v>1802</v>
      </c>
      <c r="B1246" s="115" t="s">
        <v>1816</v>
      </c>
      <c r="C1246" s="116" t="s">
        <v>1817</v>
      </c>
      <c r="D1246" s="116"/>
      <c r="E1246" s="116"/>
      <c r="F1246" s="116"/>
      <c r="G1246" s="108"/>
      <c r="H1246" s="105" t="n">
        <f aca="false">'[2]$ лето'!j1246-'[2]$ лето'!au1246-'[2]$ лето'!at1246-'[2]$ лето'!as1246-'[2]$ лето'!ar1246-'[2]$ лето'!aq1246-'[2]$ лето'!ap1246-'[2]$ лето'!an1246-'[2]$ лето'!am1246-'[2]$ лето'!al1246-'[2]$ лето'!ak1246-'[2]$ лето'!aj1246-'[2]$ лето'!ah1246-'[2]$ лето'!ag1246-'[2]$ лето'!af1246-'[2]$ лето'!ae1246-'[2]$ лето'!ad1246-'[2]$ лето'!ab1246-'[2]$ лето'!aa1246-'[2]$ лето'!z1246-'[2]$ лето'!y1246-'[2]$ лето'!x1246-'[2]$ лето'!v1246-'[2]$ лето'!u1246-'[2]$ лето'!t1246-'[2]$ лето'!s1246-'[2]$ лето'!r1246-'[2]$ лето'!p1246-'[2]$ лето'!o1246-'[2]$ лето'!n1246-'[2]$ лето'!m1246-'[2]$ лето'!l1246+'[2]$ лето'!k1246+'[2]$ лето'!q1246+'[2]$ лето'!w1246+'[2]$ лето'!ac1246+'[2]$ лето'!ai1246+'[2]$ лето'!ao1246</f>
        <v>0</v>
      </c>
      <c r="I1246" s="109" t="n">
        <f aca="false">'[2]$ лето'!ay1246*1.1</f>
        <v>2464</v>
      </c>
    </row>
    <row r="1247" customFormat="false" ht="15" hidden="true" customHeight="false" outlineLevel="0" collapsed="false">
      <c r="A1247" s="115" t="s">
        <v>1802</v>
      </c>
      <c r="B1247" s="115" t="s">
        <v>833</v>
      </c>
      <c r="C1247" s="116" t="s">
        <v>1818</v>
      </c>
      <c r="D1247" s="116"/>
      <c r="E1247" s="116"/>
      <c r="F1247" s="116"/>
      <c r="G1247" s="108"/>
      <c r="H1247" s="105" t="n">
        <f aca="false">'[2]$ лето'!j1247-'[2]$ лето'!au1247-'[2]$ лето'!at1247-'[2]$ лето'!as1247-'[2]$ лето'!ar1247-'[2]$ лето'!aq1247-'[2]$ лето'!ap1247-'[2]$ лето'!an1247-'[2]$ лето'!am1247-'[2]$ лето'!al1247-'[2]$ лето'!ak1247-'[2]$ лето'!aj1247-'[2]$ лето'!ah1247-'[2]$ лето'!ag1247-'[2]$ лето'!af1247-'[2]$ лето'!ae1247-'[2]$ лето'!ad1247-'[2]$ лето'!ab1247-'[2]$ лето'!aa1247-'[2]$ лето'!z1247-'[2]$ лето'!y1247-'[2]$ лето'!x1247-'[2]$ лето'!v1247-'[2]$ лето'!u1247-'[2]$ лето'!t1247-'[2]$ лето'!s1247-'[2]$ лето'!r1247-'[2]$ лето'!p1247-'[2]$ лето'!o1247-'[2]$ лето'!n1247-'[2]$ лето'!m1247-'[2]$ лето'!l1247+'[2]$ лето'!k1247+'[2]$ лето'!q1247+'[2]$ лето'!w1247+'[2]$ лето'!ac1247+'[2]$ лето'!ai1247+'[2]$ лето'!ao1247</f>
        <v>0</v>
      </c>
      <c r="I1247" s="109" t="n">
        <f aca="false">'[2]$ лето'!ay1247*1.1</f>
        <v>1570.8</v>
      </c>
    </row>
    <row r="1248" customFormat="false" ht="15" hidden="true" customHeight="false" outlineLevel="0" collapsed="false">
      <c r="A1248" s="115" t="s">
        <v>1802</v>
      </c>
      <c r="B1248" s="115" t="s">
        <v>589</v>
      </c>
      <c r="C1248" s="116" t="s">
        <v>1819</v>
      </c>
      <c r="D1248" s="116"/>
      <c r="E1248" s="116"/>
      <c r="F1248" s="116"/>
      <c r="G1248" s="108"/>
      <c r="H1248" s="105" t="n">
        <f aca="false">'[2]$ лето'!j1248-'[2]$ лето'!au1248-'[2]$ лето'!at1248-'[2]$ лето'!as1248-'[2]$ лето'!ar1248-'[2]$ лето'!aq1248-'[2]$ лето'!ap1248-'[2]$ лето'!an1248-'[2]$ лето'!am1248-'[2]$ лето'!al1248-'[2]$ лето'!ak1248-'[2]$ лето'!aj1248-'[2]$ лето'!ah1248-'[2]$ лето'!ag1248-'[2]$ лето'!af1248-'[2]$ лето'!ae1248-'[2]$ лето'!ad1248-'[2]$ лето'!ab1248-'[2]$ лето'!aa1248-'[2]$ лето'!z1248-'[2]$ лето'!y1248-'[2]$ лето'!x1248-'[2]$ лето'!v1248-'[2]$ лето'!u1248-'[2]$ лето'!t1248-'[2]$ лето'!s1248-'[2]$ лето'!r1248-'[2]$ лето'!p1248-'[2]$ лето'!o1248-'[2]$ лето'!n1248-'[2]$ лето'!m1248-'[2]$ лето'!l1248+'[2]$ лето'!k1248+'[2]$ лето'!q1248+'[2]$ лето'!w1248+'[2]$ лето'!ac1248+'[2]$ лето'!ai1248+'[2]$ лето'!ao1248</f>
        <v>0</v>
      </c>
      <c r="I1248" s="109" t="n">
        <f aca="false">'[2]$ лето'!ay1248*1.1</f>
        <v>3080</v>
      </c>
    </row>
    <row r="1249" customFormat="false" ht="15" hidden="true" customHeight="false" outlineLevel="0" collapsed="false">
      <c r="A1249" s="115" t="s">
        <v>1802</v>
      </c>
      <c r="B1249" s="115" t="s">
        <v>564</v>
      </c>
      <c r="C1249" s="116" t="s">
        <v>1820</v>
      </c>
      <c r="D1249" s="116"/>
      <c r="E1249" s="116"/>
      <c r="F1249" s="116"/>
      <c r="G1249" s="108" t="s">
        <v>520</v>
      </c>
      <c r="H1249" s="105" t="n">
        <f aca="false">'[2]$ лето'!j1249-'[2]$ лето'!au1249-'[2]$ лето'!at1249-'[2]$ лето'!as1249-'[2]$ лето'!ar1249-'[2]$ лето'!aq1249-'[2]$ лето'!ap1249-'[2]$ лето'!an1249-'[2]$ лето'!am1249-'[2]$ лето'!al1249-'[2]$ лето'!ak1249-'[2]$ лето'!aj1249-'[2]$ лето'!ah1249-'[2]$ лето'!ag1249-'[2]$ лето'!af1249-'[2]$ лето'!ae1249-'[2]$ лето'!ad1249-'[2]$ лето'!ab1249-'[2]$ лето'!aa1249-'[2]$ лето'!z1249-'[2]$ лето'!y1249-'[2]$ лето'!x1249-'[2]$ лето'!v1249-'[2]$ лето'!u1249-'[2]$ лето'!t1249-'[2]$ лето'!s1249-'[2]$ лето'!r1249-'[2]$ лето'!p1249-'[2]$ лето'!o1249-'[2]$ лето'!n1249-'[2]$ лето'!m1249-'[2]$ лето'!l1249+'[2]$ лето'!k1249+'[2]$ лето'!q1249+'[2]$ лето'!w1249+'[2]$ лето'!ac1249+'[2]$ лето'!ai1249+'[2]$ лето'!ao1249</f>
        <v>0</v>
      </c>
      <c r="I1249" s="109" t="n">
        <f aca="false">'[2]$ лето'!ay1249*1.1</f>
        <v>1724.8</v>
      </c>
      <c r="J1249" s="85" t="n">
        <v>2017</v>
      </c>
    </row>
    <row r="1250" customFormat="false" ht="15" hidden="true" customHeight="false" outlineLevel="0" collapsed="false">
      <c r="A1250" s="123" t="s">
        <v>1821</v>
      </c>
      <c r="B1250" s="115" t="s">
        <v>589</v>
      </c>
      <c r="C1250" s="107" t="s">
        <v>1822</v>
      </c>
      <c r="D1250" s="107"/>
      <c r="E1250" s="107"/>
      <c r="F1250" s="107"/>
      <c r="G1250" s="108"/>
      <c r="H1250" s="105" t="n">
        <f aca="false">'[2]$ лето'!j1250-'[2]$ лето'!au1250-'[2]$ лето'!at1250-'[2]$ лето'!as1250-'[2]$ лето'!ar1250-'[2]$ лето'!aq1250-'[2]$ лето'!ap1250-'[2]$ лето'!an1250-'[2]$ лето'!am1250-'[2]$ лето'!al1250-'[2]$ лето'!ak1250-'[2]$ лето'!aj1250-'[2]$ лето'!ah1250-'[2]$ лето'!ag1250-'[2]$ лето'!af1250-'[2]$ лето'!ae1250-'[2]$ лето'!ad1250-'[2]$ лето'!ab1250-'[2]$ лето'!aa1250-'[2]$ лето'!z1250-'[2]$ лето'!y1250-'[2]$ лето'!x1250-'[2]$ лето'!v1250-'[2]$ лето'!u1250-'[2]$ лето'!t1250-'[2]$ лето'!s1250-'[2]$ лето'!r1250-'[2]$ лето'!p1250-'[2]$ лето'!o1250-'[2]$ лето'!n1250-'[2]$ лето'!m1250-'[2]$ лето'!l1250+'[2]$ лето'!k1250+'[2]$ лето'!q1250+'[2]$ лето'!w1250+'[2]$ лето'!ac1250+'[2]$ лето'!ai1250+'[2]$ лето'!ao1250</f>
        <v>0</v>
      </c>
      <c r="I1250" s="109" t="n">
        <f aca="false">'[2]$ лето'!ay1250*1.1</f>
        <v>3696</v>
      </c>
    </row>
    <row r="1251" customFormat="false" ht="15" hidden="true" customHeight="false" outlineLevel="0" collapsed="false">
      <c r="A1251" s="115" t="s">
        <v>1823</v>
      </c>
      <c r="B1251" s="115" t="s">
        <v>601</v>
      </c>
      <c r="C1251" s="107" t="s">
        <v>1824</v>
      </c>
      <c r="D1251" s="107"/>
      <c r="E1251" s="107"/>
      <c r="F1251" s="107"/>
      <c r="G1251" s="108"/>
      <c r="H1251" s="105" t="n">
        <f aca="false">'[2]$ лето'!j1251-'[2]$ лето'!au1251-'[2]$ лето'!at1251-'[2]$ лето'!as1251-'[2]$ лето'!ar1251-'[2]$ лето'!aq1251-'[2]$ лето'!ap1251-'[2]$ лето'!an1251-'[2]$ лето'!am1251-'[2]$ лето'!al1251-'[2]$ лето'!ak1251-'[2]$ лето'!aj1251-'[2]$ лето'!ah1251-'[2]$ лето'!ag1251-'[2]$ лето'!af1251-'[2]$ лето'!ae1251-'[2]$ лето'!ad1251-'[2]$ лето'!ab1251-'[2]$ лето'!aa1251-'[2]$ лето'!z1251-'[2]$ лето'!y1251-'[2]$ лето'!x1251-'[2]$ лето'!v1251-'[2]$ лето'!u1251-'[2]$ лето'!t1251-'[2]$ лето'!s1251-'[2]$ лето'!r1251-'[2]$ лето'!p1251-'[2]$ лето'!o1251-'[2]$ лето'!n1251-'[2]$ лето'!m1251-'[2]$ лето'!l1251+'[2]$ лето'!k1251+'[2]$ лето'!q1251+'[2]$ лето'!w1251+'[2]$ лето'!ac1251+'[2]$ лето'!ai1251+'[2]$ лето'!ao1251</f>
        <v>0</v>
      </c>
      <c r="I1251" s="109" t="n">
        <f aca="false">'[2]$ лето'!ay1251*1.1</f>
        <v>3388</v>
      </c>
    </row>
    <row r="1252" customFormat="false" ht="15" hidden="false" customHeight="false" outlineLevel="0" collapsed="false">
      <c r="A1252" s="115" t="s">
        <v>1823</v>
      </c>
      <c r="B1252" s="115" t="s">
        <v>606</v>
      </c>
      <c r="C1252" s="107" t="s">
        <v>1825</v>
      </c>
      <c r="D1252" s="107"/>
      <c r="E1252" s="116"/>
      <c r="F1252" s="116"/>
      <c r="G1252" s="108" t="s">
        <v>849</v>
      </c>
      <c r="H1252" s="105" t="n">
        <f aca="false">'[2]$ лето'!j1252-'[2]$ лето'!au1252-'[2]$ лето'!at1252-'[2]$ лето'!as1252-'[2]$ лето'!ar1252-'[2]$ лето'!aq1252-'[2]$ лето'!ap1252-'[2]$ лето'!an1252-'[2]$ лето'!am1252-'[2]$ лето'!al1252-'[2]$ лето'!ak1252-'[2]$ лето'!aj1252-'[2]$ лето'!ah1252-'[2]$ лето'!ag1252-'[2]$ лето'!af1252-'[2]$ лето'!ae1252-'[2]$ лето'!ad1252-'[2]$ лето'!ab1252-'[2]$ лето'!aa1252-'[2]$ лето'!z1252-'[2]$ лето'!y1252-'[2]$ лето'!x1252-'[2]$ лето'!v1252-'[2]$ лето'!u1252-'[2]$ лето'!t1252-'[2]$ лето'!s1252-'[2]$ лето'!r1252-'[2]$ лето'!p1252-'[2]$ лето'!o1252-'[2]$ лето'!n1252-'[2]$ лето'!m1252-'[2]$ лето'!l1252+'[2]$ лето'!k1252+'[2]$ лето'!q1252+'[2]$ лето'!w1252+'[2]$ лето'!ac1252+'[2]$ лето'!ai1252+'[2]$ лето'!ao1252</f>
        <v>4</v>
      </c>
      <c r="I1252" s="109" t="n">
        <f aca="false">'[2]$ лето'!ay1252*1.1</f>
        <v>3449.6</v>
      </c>
      <c r="J1252" s="85" t="n">
        <v>2017</v>
      </c>
    </row>
    <row r="1253" customFormat="false" ht="15" hidden="true" customHeight="false" outlineLevel="0" collapsed="false">
      <c r="A1253" s="115" t="s">
        <v>1823</v>
      </c>
      <c r="B1253" s="115" t="s">
        <v>574</v>
      </c>
      <c r="C1253" s="116" t="s">
        <v>1826</v>
      </c>
      <c r="D1253" s="116"/>
      <c r="E1253" s="116"/>
      <c r="F1253" s="116"/>
      <c r="G1253" s="108" t="s">
        <v>576</v>
      </c>
      <c r="H1253" s="105" t="n">
        <f aca="false">'[2]$ лето'!j1253-'[2]$ лето'!au1253-'[2]$ лето'!at1253-'[2]$ лето'!as1253-'[2]$ лето'!ar1253-'[2]$ лето'!aq1253-'[2]$ лето'!ap1253-'[2]$ лето'!an1253-'[2]$ лето'!am1253-'[2]$ лето'!al1253-'[2]$ лето'!ak1253-'[2]$ лето'!aj1253-'[2]$ лето'!ah1253-'[2]$ лето'!ag1253-'[2]$ лето'!af1253-'[2]$ лето'!ae1253-'[2]$ лето'!ad1253-'[2]$ лето'!ab1253-'[2]$ лето'!aa1253-'[2]$ лето'!z1253-'[2]$ лето'!y1253-'[2]$ лето'!x1253-'[2]$ лето'!v1253-'[2]$ лето'!u1253-'[2]$ лето'!t1253-'[2]$ лето'!s1253-'[2]$ лето'!r1253-'[2]$ лето'!p1253-'[2]$ лето'!o1253-'[2]$ лето'!n1253-'[2]$ лето'!m1253-'[2]$ лето'!l1253+'[2]$ лето'!k1253+'[2]$ лето'!q1253+'[2]$ лето'!w1253+'[2]$ лето'!ac1253+'[2]$ лето'!ai1253+'[2]$ лето'!ao1253</f>
        <v>0</v>
      </c>
      <c r="I1253" s="109" t="n">
        <f aca="false">'[2]$ лето'!ay1253*1.1</f>
        <v>3449.6</v>
      </c>
      <c r="J1253" s="85" t="s">
        <v>1827</v>
      </c>
    </row>
    <row r="1254" customFormat="false" ht="15" hidden="false" customHeight="false" outlineLevel="0" collapsed="false">
      <c r="A1254" s="115" t="s">
        <v>1823</v>
      </c>
      <c r="B1254" s="115" t="s">
        <v>583</v>
      </c>
      <c r="C1254" s="116" t="s">
        <v>1828</v>
      </c>
      <c r="D1254" s="116"/>
      <c r="E1254" s="116"/>
      <c r="F1254" s="116"/>
      <c r="G1254" s="108"/>
      <c r="H1254" s="105" t="n">
        <f aca="false">'[2]$ лето'!j1254-'[2]$ лето'!au1254-'[2]$ лето'!at1254-'[2]$ лето'!as1254-'[2]$ лето'!ar1254-'[2]$ лето'!aq1254-'[2]$ лето'!ap1254-'[2]$ лето'!an1254-'[2]$ лето'!am1254-'[2]$ лето'!al1254-'[2]$ лето'!ak1254-'[2]$ лето'!aj1254-'[2]$ лето'!ah1254-'[2]$ лето'!ag1254-'[2]$ лето'!af1254-'[2]$ лето'!ae1254-'[2]$ лето'!ad1254-'[2]$ лето'!ab1254-'[2]$ лето'!aa1254-'[2]$ лето'!z1254-'[2]$ лето'!y1254-'[2]$ лето'!x1254-'[2]$ лето'!v1254-'[2]$ лето'!u1254-'[2]$ лето'!t1254-'[2]$ лето'!s1254-'[2]$ лето'!r1254-'[2]$ лето'!p1254-'[2]$ лето'!o1254-'[2]$ лето'!n1254-'[2]$ лето'!m1254-'[2]$ лето'!l1254+'[2]$ лето'!k1254+'[2]$ лето'!q1254+'[2]$ лето'!w1254+'[2]$ лето'!ac1254+'[2]$ лето'!ai1254+'[2]$ лето'!ao1254</f>
        <v>4</v>
      </c>
      <c r="I1254" s="109" t="n">
        <f aca="false">'[2]$ лето'!ay1254*1.1</f>
        <v>2926</v>
      </c>
      <c r="J1254" s="85" t="n">
        <v>2016</v>
      </c>
    </row>
    <row r="1255" customFormat="false" ht="15" hidden="true" customHeight="false" outlineLevel="0" collapsed="false">
      <c r="A1255" s="115" t="s">
        <v>1823</v>
      </c>
      <c r="B1255" s="115" t="s">
        <v>593</v>
      </c>
      <c r="C1255" s="116" t="s">
        <v>1829</v>
      </c>
      <c r="D1255" s="116"/>
      <c r="E1255" s="116"/>
      <c r="F1255" s="116"/>
      <c r="G1255" s="108"/>
      <c r="H1255" s="105" t="n">
        <f aca="false">'[2]$ лето'!j1255-'[2]$ лето'!au1255-'[2]$ лето'!at1255-'[2]$ лето'!as1255-'[2]$ лето'!ar1255-'[2]$ лето'!aq1255-'[2]$ лето'!ap1255-'[2]$ лето'!an1255-'[2]$ лето'!am1255-'[2]$ лето'!al1255-'[2]$ лето'!ak1255-'[2]$ лето'!aj1255-'[2]$ лето'!ah1255-'[2]$ лето'!ag1255-'[2]$ лето'!af1255-'[2]$ лето'!ae1255-'[2]$ лето'!ad1255-'[2]$ лето'!ab1255-'[2]$ лето'!aa1255-'[2]$ лето'!z1255-'[2]$ лето'!y1255-'[2]$ лето'!x1255-'[2]$ лето'!v1255-'[2]$ лето'!u1255-'[2]$ лето'!t1255-'[2]$ лето'!s1255-'[2]$ лето'!r1255-'[2]$ лето'!p1255-'[2]$ лето'!o1255-'[2]$ лето'!n1255-'[2]$ лето'!m1255-'[2]$ лето'!l1255+'[2]$ лето'!k1255+'[2]$ лето'!q1255+'[2]$ лето'!w1255+'[2]$ лето'!ac1255+'[2]$ лето'!ai1255+'[2]$ лето'!ao1255</f>
        <v>0</v>
      </c>
      <c r="I1255" s="109" t="n">
        <f aca="false">'[2]$ лето'!ay1255*1.1</f>
        <v>6252.4</v>
      </c>
    </row>
    <row r="1256" customFormat="false" ht="15" hidden="true" customHeight="false" outlineLevel="0" collapsed="false">
      <c r="A1256" s="115" t="s">
        <v>1823</v>
      </c>
      <c r="B1256" s="115" t="s">
        <v>593</v>
      </c>
      <c r="C1256" s="116" t="s">
        <v>1830</v>
      </c>
      <c r="D1256" s="116"/>
      <c r="E1256" s="116"/>
      <c r="F1256" s="116"/>
      <c r="G1256" s="108"/>
      <c r="H1256" s="105" t="n">
        <f aca="false">'[2]$ лето'!j1256-'[2]$ лето'!au1256-'[2]$ лето'!at1256-'[2]$ лето'!as1256-'[2]$ лето'!ar1256-'[2]$ лето'!aq1256-'[2]$ лето'!ap1256-'[2]$ лето'!an1256-'[2]$ лето'!am1256-'[2]$ лето'!al1256-'[2]$ лето'!ak1256-'[2]$ лето'!aj1256-'[2]$ лето'!ah1256-'[2]$ лето'!ag1256-'[2]$ лето'!af1256-'[2]$ лето'!ae1256-'[2]$ лето'!ad1256-'[2]$ лето'!ab1256-'[2]$ лето'!aa1256-'[2]$ лето'!z1256-'[2]$ лето'!y1256-'[2]$ лето'!x1256-'[2]$ лето'!v1256-'[2]$ лето'!u1256-'[2]$ лето'!t1256-'[2]$ лето'!s1256-'[2]$ лето'!r1256-'[2]$ лето'!p1256-'[2]$ лето'!o1256-'[2]$ лето'!n1256-'[2]$ лето'!m1256-'[2]$ лето'!l1256+'[2]$ лето'!k1256+'[2]$ лето'!q1256+'[2]$ лето'!w1256+'[2]$ лето'!ac1256+'[2]$ лето'!ai1256+'[2]$ лето'!ao1256</f>
        <v>0</v>
      </c>
      <c r="I1256" s="109" t="n">
        <f aca="false">'[2]$ лето'!ay1256*1.1</f>
        <v>0</v>
      </c>
    </row>
    <row r="1257" customFormat="false" ht="15" hidden="false" customHeight="false" outlineLevel="0" collapsed="false">
      <c r="A1257" s="129" t="s">
        <v>1823</v>
      </c>
      <c r="B1257" s="129" t="s">
        <v>593</v>
      </c>
      <c r="C1257" s="131" t="s">
        <v>1830</v>
      </c>
      <c r="D1257" s="131"/>
      <c r="E1257" s="131"/>
      <c r="F1257" s="131"/>
      <c r="G1257" s="132"/>
      <c r="H1257" s="105" t="n">
        <f aca="false">'[2]$ лето'!j1257-'[2]$ лето'!au1257-'[2]$ лето'!at1257-'[2]$ лето'!as1257-'[2]$ лето'!ar1257-'[2]$ лето'!aq1257-'[2]$ лето'!ap1257-'[2]$ лето'!an1257-'[2]$ лето'!am1257-'[2]$ лето'!al1257-'[2]$ лето'!ak1257-'[2]$ лето'!aj1257-'[2]$ лето'!ah1257-'[2]$ лето'!ag1257-'[2]$ лето'!af1257-'[2]$ лето'!ae1257-'[2]$ лето'!ad1257-'[2]$ лето'!ab1257-'[2]$ лето'!aa1257-'[2]$ лето'!z1257-'[2]$ лето'!y1257-'[2]$ лето'!x1257-'[2]$ лето'!v1257-'[2]$ лето'!u1257-'[2]$ лето'!t1257-'[2]$ лето'!s1257-'[2]$ лето'!r1257-'[2]$ лето'!p1257-'[2]$ лето'!o1257-'[2]$ лето'!n1257-'[2]$ лето'!m1257-'[2]$ лето'!l1257+'[2]$ лето'!k1257+'[2]$ лето'!q1257+'[2]$ лето'!w1257+'[2]$ лето'!ac1257+'[2]$ лето'!ai1257+'[2]$ лето'!ao1257</f>
        <v>2</v>
      </c>
      <c r="I1257" s="133" t="n">
        <f aca="false">'[2]$ лето'!ay1257*1.1</f>
        <v>1485</v>
      </c>
    </row>
    <row r="1258" customFormat="false" ht="15" hidden="false" customHeight="false" outlineLevel="0" collapsed="false">
      <c r="A1258" s="115" t="s">
        <v>1823</v>
      </c>
      <c r="B1258" s="115" t="s">
        <v>586</v>
      </c>
      <c r="C1258" s="116" t="s">
        <v>1831</v>
      </c>
      <c r="D1258" s="116"/>
      <c r="E1258" s="116"/>
      <c r="F1258" s="116"/>
      <c r="G1258" s="108" t="s">
        <v>520</v>
      </c>
      <c r="H1258" s="105" t="n">
        <f aca="false">'[2]$ лето'!j1258-'[2]$ лето'!au1258-'[2]$ лето'!at1258-'[2]$ лето'!as1258-'[2]$ лето'!ar1258-'[2]$ лето'!aq1258-'[2]$ лето'!ap1258-'[2]$ лето'!an1258-'[2]$ лето'!am1258-'[2]$ лето'!al1258-'[2]$ лето'!ak1258-'[2]$ лето'!aj1258-'[2]$ лето'!ah1258-'[2]$ лето'!ag1258-'[2]$ лето'!af1258-'[2]$ лето'!ae1258-'[2]$ лето'!ad1258-'[2]$ лето'!ab1258-'[2]$ лето'!aa1258-'[2]$ лето'!z1258-'[2]$ лето'!y1258-'[2]$ лето'!x1258-'[2]$ лето'!v1258-'[2]$ лето'!u1258-'[2]$ лето'!t1258-'[2]$ лето'!s1258-'[2]$ лето'!r1258-'[2]$ лето'!p1258-'[2]$ лето'!o1258-'[2]$ лето'!n1258-'[2]$ лето'!m1258-'[2]$ лето'!l1258+'[2]$ лето'!k1258+'[2]$ лето'!q1258+'[2]$ лето'!w1258+'[2]$ лето'!ac1258+'[2]$ лето'!ai1258+'[2]$ лето'!ao1258</f>
        <v>4</v>
      </c>
      <c r="I1258" s="109" t="n">
        <f aca="false">'[2]$ лето'!ay1258*1.1</f>
        <v>2002</v>
      </c>
    </row>
    <row r="1259" customFormat="false" ht="15" hidden="true" customHeight="false" outlineLevel="0" collapsed="false">
      <c r="A1259" s="115" t="s">
        <v>1823</v>
      </c>
      <c r="B1259" s="115" t="s">
        <v>589</v>
      </c>
      <c r="C1259" s="107" t="s">
        <v>1832</v>
      </c>
      <c r="D1259" s="107"/>
      <c r="E1259" s="107"/>
      <c r="F1259" s="107"/>
      <c r="G1259" s="108"/>
      <c r="H1259" s="105" t="n">
        <f aca="false">'[2]$ лето'!j1259-'[2]$ лето'!au1259-'[2]$ лето'!at1259-'[2]$ лето'!as1259-'[2]$ лето'!ar1259-'[2]$ лето'!aq1259-'[2]$ лето'!ap1259-'[2]$ лето'!an1259-'[2]$ лето'!am1259-'[2]$ лето'!al1259-'[2]$ лето'!ak1259-'[2]$ лето'!aj1259-'[2]$ лето'!ah1259-'[2]$ лето'!ag1259-'[2]$ лето'!af1259-'[2]$ лето'!ae1259-'[2]$ лето'!ad1259-'[2]$ лето'!ab1259-'[2]$ лето'!aa1259-'[2]$ лето'!z1259-'[2]$ лето'!y1259-'[2]$ лето'!x1259-'[2]$ лето'!v1259-'[2]$ лето'!u1259-'[2]$ лето'!t1259-'[2]$ лето'!s1259-'[2]$ лето'!r1259-'[2]$ лето'!p1259-'[2]$ лето'!o1259-'[2]$ лето'!n1259-'[2]$ лето'!m1259-'[2]$ лето'!l1259+'[2]$ лето'!k1259+'[2]$ лето'!q1259+'[2]$ лето'!w1259+'[2]$ лето'!ac1259+'[2]$ лето'!ai1259+'[2]$ лето'!ao1259</f>
        <v>0</v>
      </c>
      <c r="I1259" s="109" t="n">
        <f aca="false">'[2]$ лето'!ay1259*1.1</f>
        <v>3234</v>
      </c>
    </row>
    <row r="1260" customFormat="false" ht="15" hidden="false" customHeight="false" outlineLevel="0" collapsed="false">
      <c r="A1260" s="115" t="s">
        <v>1833</v>
      </c>
      <c r="B1260" s="115" t="s">
        <v>744</v>
      </c>
      <c r="C1260" s="116" t="s">
        <v>1834</v>
      </c>
      <c r="D1260" s="116"/>
      <c r="E1260" s="116"/>
      <c r="F1260" s="116"/>
      <c r="G1260" s="108"/>
      <c r="H1260" s="105" t="n">
        <f aca="false">'[2]$ лето'!j1260-'[2]$ лето'!au1260-'[2]$ лето'!at1260-'[2]$ лето'!as1260-'[2]$ лето'!ar1260-'[2]$ лето'!aq1260-'[2]$ лето'!ap1260-'[2]$ лето'!an1260-'[2]$ лето'!am1260-'[2]$ лето'!al1260-'[2]$ лето'!ak1260-'[2]$ лето'!aj1260-'[2]$ лето'!ah1260-'[2]$ лето'!ag1260-'[2]$ лето'!af1260-'[2]$ лето'!ae1260-'[2]$ лето'!ad1260-'[2]$ лето'!ab1260-'[2]$ лето'!aa1260-'[2]$ лето'!z1260-'[2]$ лето'!y1260-'[2]$ лето'!x1260-'[2]$ лето'!v1260-'[2]$ лето'!u1260-'[2]$ лето'!t1260-'[2]$ лето'!s1260-'[2]$ лето'!r1260-'[2]$ лето'!p1260-'[2]$ лето'!o1260-'[2]$ лето'!n1260-'[2]$ лето'!m1260-'[2]$ лето'!l1260+'[2]$ лето'!k1260+'[2]$ лето'!q1260+'[2]$ лето'!w1260+'[2]$ лето'!ac1260+'[2]$ лето'!ai1260+'[2]$ лето'!ao1260</f>
        <v>4</v>
      </c>
      <c r="I1260" s="109" t="n">
        <f aca="false">'[2]$ лето'!ay1260*1.1</f>
        <v>2772</v>
      </c>
    </row>
    <row r="1261" customFormat="false" ht="15" hidden="false" customHeight="false" outlineLevel="0" collapsed="false">
      <c r="A1261" s="115" t="s">
        <v>1833</v>
      </c>
      <c r="B1261" s="115" t="s">
        <v>589</v>
      </c>
      <c r="C1261" s="116" t="s">
        <v>1822</v>
      </c>
      <c r="D1261" s="116"/>
      <c r="E1261" s="116"/>
      <c r="F1261" s="116"/>
      <c r="G1261" s="108"/>
      <c r="H1261" s="105" t="n">
        <f aca="false">'[2]$ лето'!j1261-'[2]$ лето'!au1261-'[2]$ лето'!at1261-'[2]$ лето'!as1261-'[2]$ лето'!ar1261-'[2]$ лето'!aq1261-'[2]$ лето'!ap1261-'[2]$ лето'!an1261-'[2]$ лето'!am1261-'[2]$ лето'!al1261-'[2]$ лето'!ak1261-'[2]$ лето'!aj1261-'[2]$ лето'!ah1261-'[2]$ лето'!ag1261-'[2]$ лето'!af1261-'[2]$ лето'!ae1261-'[2]$ лето'!ad1261-'[2]$ лето'!ab1261-'[2]$ лето'!aa1261-'[2]$ лето'!z1261-'[2]$ лето'!y1261-'[2]$ лето'!x1261-'[2]$ лето'!v1261-'[2]$ лето'!u1261-'[2]$ лето'!t1261-'[2]$ лето'!s1261-'[2]$ лето'!r1261-'[2]$ лето'!p1261-'[2]$ лето'!o1261-'[2]$ лето'!n1261-'[2]$ лето'!m1261-'[2]$ лето'!l1261+'[2]$ лето'!k1261+'[2]$ лето'!q1261+'[2]$ лето'!w1261+'[2]$ лето'!ac1261+'[2]$ лето'!ai1261+'[2]$ лето'!ao1261</f>
        <v>4</v>
      </c>
      <c r="I1261" s="109" t="n">
        <f aca="false">'[2]$ лето'!ay1261*1.1</f>
        <v>2811.6</v>
      </c>
    </row>
    <row r="1262" customFormat="false" ht="15" hidden="false" customHeight="false" outlineLevel="0" collapsed="false">
      <c r="A1262" s="115" t="s">
        <v>1835</v>
      </c>
      <c r="B1262" s="115" t="s">
        <v>792</v>
      </c>
      <c r="C1262" s="116" t="s">
        <v>1836</v>
      </c>
      <c r="D1262" s="116"/>
      <c r="E1262" s="116"/>
      <c r="F1262" s="116"/>
      <c r="G1262" s="108"/>
      <c r="H1262" s="105" t="n">
        <f aca="false">'[2]$ лето'!j1262-'[2]$ лето'!au1262-'[2]$ лето'!at1262-'[2]$ лето'!as1262-'[2]$ лето'!ar1262-'[2]$ лето'!aq1262-'[2]$ лето'!ap1262-'[2]$ лето'!an1262-'[2]$ лето'!am1262-'[2]$ лето'!al1262-'[2]$ лето'!ak1262-'[2]$ лето'!aj1262-'[2]$ лето'!ah1262-'[2]$ лето'!ag1262-'[2]$ лето'!af1262-'[2]$ лето'!ae1262-'[2]$ лето'!ad1262-'[2]$ лето'!ab1262-'[2]$ лето'!aa1262-'[2]$ лето'!z1262-'[2]$ лето'!y1262-'[2]$ лето'!x1262-'[2]$ лето'!v1262-'[2]$ лето'!u1262-'[2]$ лето'!t1262-'[2]$ лето'!s1262-'[2]$ лето'!r1262-'[2]$ лето'!p1262-'[2]$ лето'!o1262-'[2]$ лето'!n1262-'[2]$ лето'!m1262-'[2]$ лето'!l1262+'[2]$ лето'!k1262+'[2]$ лето'!q1262+'[2]$ лето'!w1262+'[2]$ лето'!ac1262+'[2]$ лето'!ai1262+'[2]$ лето'!ao1262</f>
        <v>4</v>
      </c>
      <c r="I1262" s="109" t="n">
        <f aca="false">'[2]$ лето'!ay1262*1.1</f>
        <v>1848</v>
      </c>
    </row>
    <row r="1263" customFormat="false" ht="15" hidden="true" customHeight="false" outlineLevel="0" collapsed="false">
      <c r="A1263" s="115" t="s">
        <v>1835</v>
      </c>
      <c r="B1263" s="115" t="s">
        <v>601</v>
      </c>
      <c r="C1263" s="107" t="s">
        <v>1837</v>
      </c>
      <c r="D1263" s="107"/>
      <c r="E1263" s="107"/>
      <c r="F1263" s="107"/>
      <c r="G1263" s="108"/>
      <c r="H1263" s="105" t="n">
        <f aca="false">'[2]$ лето'!j1263-'[2]$ лето'!au1263-'[2]$ лето'!at1263-'[2]$ лето'!as1263-'[2]$ лето'!ar1263-'[2]$ лето'!aq1263-'[2]$ лето'!ap1263-'[2]$ лето'!an1263-'[2]$ лето'!am1263-'[2]$ лето'!al1263-'[2]$ лето'!ak1263-'[2]$ лето'!aj1263-'[2]$ лето'!ah1263-'[2]$ лето'!ag1263-'[2]$ лето'!af1263-'[2]$ лето'!ae1263-'[2]$ лето'!ad1263-'[2]$ лето'!ab1263-'[2]$ лето'!aa1263-'[2]$ лето'!z1263-'[2]$ лето'!y1263-'[2]$ лето'!x1263-'[2]$ лето'!v1263-'[2]$ лето'!u1263-'[2]$ лето'!t1263-'[2]$ лето'!s1263-'[2]$ лето'!r1263-'[2]$ лето'!p1263-'[2]$ лето'!o1263-'[2]$ лето'!n1263-'[2]$ лето'!m1263-'[2]$ лето'!l1263+'[2]$ лето'!k1263+'[2]$ лето'!q1263+'[2]$ лето'!w1263+'[2]$ лето'!ac1263+'[2]$ лето'!ai1263+'[2]$ лето'!ao1263</f>
        <v>0</v>
      </c>
      <c r="I1263" s="109" t="n">
        <f aca="false">'[2]$ лето'!ay1263*1.1</f>
        <v>3449.6</v>
      </c>
    </row>
    <row r="1264" customFormat="false" ht="15" hidden="true" customHeight="false" outlineLevel="0" collapsed="false">
      <c r="A1264" s="115" t="s">
        <v>1835</v>
      </c>
      <c r="B1264" s="115" t="s">
        <v>741</v>
      </c>
      <c r="C1264" s="107" t="s">
        <v>1413</v>
      </c>
      <c r="D1264" s="107"/>
      <c r="E1264" s="107"/>
      <c r="F1264" s="107"/>
      <c r="G1264" s="108"/>
      <c r="H1264" s="105" t="n">
        <f aca="false">'[2]$ лето'!j1264-'[2]$ лето'!au1264-'[2]$ лето'!at1264-'[2]$ лето'!as1264-'[2]$ лето'!ar1264-'[2]$ лето'!aq1264-'[2]$ лето'!ap1264-'[2]$ лето'!an1264-'[2]$ лето'!am1264-'[2]$ лето'!al1264-'[2]$ лето'!ak1264-'[2]$ лето'!aj1264-'[2]$ лето'!ah1264-'[2]$ лето'!ag1264-'[2]$ лето'!af1264-'[2]$ лето'!ae1264-'[2]$ лето'!ad1264-'[2]$ лето'!ab1264-'[2]$ лето'!aa1264-'[2]$ лето'!z1264-'[2]$ лето'!y1264-'[2]$ лето'!x1264-'[2]$ лето'!v1264-'[2]$ лето'!u1264-'[2]$ лето'!t1264-'[2]$ лето'!s1264-'[2]$ лето'!r1264-'[2]$ лето'!p1264-'[2]$ лето'!o1264-'[2]$ лето'!n1264-'[2]$ лето'!m1264-'[2]$ лето'!l1264+'[2]$ лето'!k1264+'[2]$ лето'!q1264+'[2]$ лето'!w1264+'[2]$ лето'!ac1264+'[2]$ лето'!ai1264+'[2]$ лето'!ao1264</f>
        <v>0</v>
      </c>
      <c r="I1264" s="109" t="n">
        <f aca="false">'[2]$ лето'!ay1264*1.1</f>
        <v>2926</v>
      </c>
      <c r="J1264" s="85" t="n">
        <v>2016</v>
      </c>
    </row>
    <row r="1265" customFormat="false" ht="15" hidden="true" customHeight="false" outlineLevel="0" collapsed="false">
      <c r="A1265" s="115" t="s">
        <v>1835</v>
      </c>
      <c r="B1265" s="115" t="s">
        <v>948</v>
      </c>
      <c r="C1265" s="107" t="s">
        <v>1838</v>
      </c>
      <c r="D1265" s="107"/>
      <c r="E1265" s="107"/>
      <c r="F1265" s="107"/>
      <c r="G1265" s="108"/>
      <c r="H1265" s="105" t="n">
        <f aca="false">'[2]$ лето'!j1265-'[2]$ лето'!au1265-'[2]$ лето'!at1265-'[2]$ лето'!as1265-'[2]$ лето'!ar1265-'[2]$ лето'!aq1265-'[2]$ лето'!ap1265-'[2]$ лето'!an1265-'[2]$ лето'!am1265-'[2]$ лето'!al1265-'[2]$ лето'!ak1265-'[2]$ лето'!aj1265-'[2]$ лето'!ah1265-'[2]$ лето'!ag1265-'[2]$ лето'!af1265-'[2]$ лето'!ae1265-'[2]$ лето'!ad1265-'[2]$ лето'!ab1265-'[2]$ лето'!aa1265-'[2]$ лето'!z1265-'[2]$ лето'!y1265-'[2]$ лето'!x1265-'[2]$ лето'!v1265-'[2]$ лето'!u1265-'[2]$ лето'!t1265-'[2]$ лето'!s1265-'[2]$ лето'!r1265-'[2]$ лето'!p1265-'[2]$ лето'!o1265-'[2]$ лето'!n1265-'[2]$ лето'!m1265-'[2]$ лето'!l1265+'[2]$ лето'!k1265+'[2]$ лето'!q1265+'[2]$ лето'!w1265+'[2]$ лето'!ac1265+'[2]$ лето'!ai1265+'[2]$ лето'!ao1265</f>
        <v>0</v>
      </c>
      <c r="I1265" s="109" t="n">
        <f aca="false">'[2]$ лето'!ay1265*1.1</f>
        <v>3696</v>
      </c>
      <c r="J1265" s="85" t="n">
        <v>2016</v>
      </c>
    </row>
    <row r="1266" customFormat="false" ht="15" hidden="true" customHeight="false" outlineLevel="0" collapsed="false">
      <c r="A1266" s="115" t="s">
        <v>1835</v>
      </c>
      <c r="B1266" s="115" t="s">
        <v>606</v>
      </c>
      <c r="C1266" s="116" t="s">
        <v>1839</v>
      </c>
      <c r="D1266" s="116"/>
      <c r="E1266" s="116"/>
      <c r="F1266" s="116"/>
      <c r="G1266" s="108"/>
      <c r="H1266" s="105" t="n">
        <f aca="false">'[2]$ лето'!j1266-'[2]$ лето'!au1266-'[2]$ лето'!at1266-'[2]$ лето'!as1266-'[2]$ лето'!ar1266-'[2]$ лето'!aq1266-'[2]$ лето'!ap1266-'[2]$ лето'!an1266-'[2]$ лето'!am1266-'[2]$ лето'!al1266-'[2]$ лето'!ak1266-'[2]$ лето'!aj1266-'[2]$ лето'!ah1266-'[2]$ лето'!ag1266-'[2]$ лето'!af1266-'[2]$ лето'!ae1266-'[2]$ лето'!ad1266-'[2]$ лето'!ab1266-'[2]$ лето'!aa1266-'[2]$ лето'!z1266-'[2]$ лето'!y1266-'[2]$ лето'!x1266-'[2]$ лето'!v1266-'[2]$ лето'!u1266-'[2]$ лето'!t1266-'[2]$ лето'!s1266-'[2]$ лето'!r1266-'[2]$ лето'!p1266-'[2]$ лето'!o1266-'[2]$ лето'!n1266-'[2]$ лето'!m1266-'[2]$ лето'!l1266+'[2]$ лето'!k1266+'[2]$ лето'!q1266+'[2]$ лето'!w1266+'[2]$ лето'!ac1266+'[2]$ лето'!ai1266+'[2]$ лето'!ao1266</f>
        <v>0</v>
      </c>
      <c r="I1266" s="109" t="n">
        <f aca="false">'[2]$ лето'!ay1266*1.1</f>
        <v>2833.6</v>
      </c>
      <c r="J1266" s="85" t="n">
        <v>2017</v>
      </c>
    </row>
    <row r="1267" customFormat="false" ht="15" hidden="true" customHeight="false" outlineLevel="0" collapsed="false">
      <c r="A1267" s="115" t="s">
        <v>1835</v>
      </c>
      <c r="B1267" s="115" t="s">
        <v>574</v>
      </c>
      <c r="C1267" s="116" t="s">
        <v>1840</v>
      </c>
      <c r="D1267" s="116"/>
      <c r="E1267" s="116"/>
      <c r="F1267" s="116"/>
      <c r="G1267" s="108" t="s">
        <v>576</v>
      </c>
      <c r="H1267" s="105" t="n">
        <f aca="false">'[2]$ лето'!j1267-'[2]$ лето'!au1267-'[2]$ лето'!at1267-'[2]$ лето'!as1267-'[2]$ лето'!ar1267-'[2]$ лето'!aq1267-'[2]$ лето'!ap1267-'[2]$ лето'!an1267-'[2]$ лето'!am1267-'[2]$ лето'!al1267-'[2]$ лето'!ak1267-'[2]$ лето'!aj1267-'[2]$ лето'!ah1267-'[2]$ лето'!ag1267-'[2]$ лето'!af1267-'[2]$ лето'!ae1267-'[2]$ лето'!ad1267-'[2]$ лето'!ab1267-'[2]$ лето'!aa1267-'[2]$ лето'!z1267-'[2]$ лето'!y1267-'[2]$ лето'!x1267-'[2]$ лето'!v1267-'[2]$ лето'!u1267-'[2]$ лето'!t1267-'[2]$ лето'!s1267-'[2]$ лето'!r1267-'[2]$ лето'!p1267-'[2]$ лето'!o1267-'[2]$ лето'!n1267-'[2]$ лето'!m1267-'[2]$ лето'!l1267+'[2]$ лето'!k1267+'[2]$ лето'!q1267+'[2]$ лето'!w1267+'[2]$ лето'!ac1267+'[2]$ лето'!ai1267+'[2]$ лето'!ao1267</f>
        <v>0</v>
      </c>
      <c r="I1267" s="109" t="n">
        <f aca="false">'[2]$ лето'!ay1267*1.1</f>
        <v>2833.6</v>
      </c>
      <c r="J1267" s="85" t="n">
        <v>2017</v>
      </c>
    </row>
    <row r="1268" customFormat="false" ht="15" hidden="false" customHeight="false" outlineLevel="0" collapsed="false">
      <c r="A1268" s="115" t="s">
        <v>1835</v>
      </c>
      <c r="B1268" s="115" t="s">
        <v>583</v>
      </c>
      <c r="C1268" s="116" t="s">
        <v>1841</v>
      </c>
      <c r="D1268" s="116"/>
      <c r="E1268" s="116"/>
      <c r="F1268" s="116"/>
      <c r="G1268" s="108" t="s">
        <v>585</v>
      </c>
      <c r="H1268" s="105" t="n">
        <f aca="false">'[2]$ лето'!j1268-'[2]$ лето'!au1268-'[2]$ лето'!at1268-'[2]$ лето'!as1268-'[2]$ лето'!ar1268-'[2]$ лето'!aq1268-'[2]$ лето'!ap1268-'[2]$ лето'!an1268-'[2]$ лето'!am1268-'[2]$ лето'!al1268-'[2]$ лето'!ak1268-'[2]$ лето'!aj1268-'[2]$ лето'!ah1268-'[2]$ лето'!ag1268-'[2]$ лето'!af1268-'[2]$ лето'!ae1268-'[2]$ лето'!ad1268-'[2]$ лето'!ab1268-'[2]$ лето'!aa1268-'[2]$ лето'!z1268-'[2]$ лето'!y1268-'[2]$ лето'!x1268-'[2]$ лето'!v1268-'[2]$ лето'!u1268-'[2]$ лето'!t1268-'[2]$ лето'!s1268-'[2]$ лето'!r1268-'[2]$ лето'!p1268-'[2]$ лето'!o1268-'[2]$ лето'!n1268-'[2]$ лето'!m1268-'[2]$ лето'!l1268+'[2]$ лето'!k1268+'[2]$ лето'!q1268+'[2]$ лето'!w1268+'[2]$ лето'!ac1268+'[2]$ лето'!ai1268+'[2]$ лето'!ao1268</f>
        <v>4</v>
      </c>
      <c r="I1268" s="109" t="n">
        <f aca="false">'[2]$ лето'!ay1268*1.1</f>
        <v>2002</v>
      </c>
      <c r="J1268" s="85" t="n">
        <v>2008</v>
      </c>
    </row>
    <row r="1269" customFormat="false" ht="15" hidden="true" customHeight="false" outlineLevel="0" collapsed="false">
      <c r="A1269" s="115" t="s">
        <v>1835</v>
      </c>
      <c r="B1269" s="115" t="s">
        <v>583</v>
      </c>
      <c r="C1269" s="116" t="s">
        <v>1842</v>
      </c>
      <c r="D1269" s="116"/>
      <c r="E1269" s="116"/>
      <c r="F1269" s="116"/>
      <c r="G1269" s="108"/>
      <c r="H1269" s="105" t="n">
        <f aca="false">'[2]$ лето'!j1269-'[2]$ лето'!au1269-'[2]$ лето'!at1269-'[2]$ лето'!as1269-'[2]$ лето'!ar1269-'[2]$ лето'!aq1269-'[2]$ лето'!ap1269-'[2]$ лето'!an1269-'[2]$ лето'!am1269-'[2]$ лето'!al1269-'[2]$ лето'!ak1269-'[2]$ лето'!aj1269-'[2]$ лето'!ah1269-'[2]$ лето'!ag1269-'[2]$ лето'!af1269-'[2]$ лето'!ae1269-'[2]$ лето'!ad1269-'[2]$ лето'!ab1269-'[2]$ лето'!aa1269-'[2]$ лето'!z1269-'[2]$ лето'!y1269-'[2]$ лето'!x1269-'[2]$ лето'!v1269-'[2]$ лето'!u1269-'[2]$ лето'!t1269-'[2]$ лето'!s1269-'[2]$ лето'!r1269-'[2]$ лето'!p1269-'[2]$ лето'!o1269-'[2]$ лето'!n1269-'[2]$ лето'!m1269-'[2]$ лето'!l1269+'[2]$ лето'!k1269+'[2]$ лето'!q1269+'[2]$ лето'!w1269+'[2]$ лето'!ac1269+'[2]$ лето'!ai1269+'[2]$ лето'!ao1269</f>
        <v>0</v>
      </c>
      <c r="I1269" s="109" t="n">
        <f aca="false">'[2]$ лето'!ay1269*1.1</f>
        <v>2433.2</v>
      </c>
    </row>
    <row r="1270" customFormat="false" ht="15" hidden="false" customHeight="false" outlineLevel="0" collapsed="false">
      <c r="A1270" s="115" t="s">
        <v>1835</v>
      </c>
      <c r="B1270" s="115" t="s">
        <v>593</v>
      </c>
      <c r="C1270" s="107" t="s">
        <v>1843</v>
      </c>
      <c r="D1270" s="107"/>
      <c r="E1270" s="116"/>
      <c r="F1270" s="116"/>
      <c r="G1270" s="108" t="s">
        <v>663</v>
      </c>
      <c r="H1270" s="105" t="n">
        <f aca="false">'[2]$ лето'!j1270-'[2]$ лето'!au1270-'[2]$ лето'!at1270-'[2]$ лето'!as1270-'[2]$ лето'!ar1270-'[2]$ лето'!aq1270-'[2]$ лето'!ap1270-'[2]$ лето'!an1270-'[2]$ лето'!am1270-'[2]$ лето'!al1270-'[2]$ лето'!ak1270-'[2]$ лето'!aj1270-'[2]$ лето'!ah1270-'[2]$ лето'!ag1270-'[2]$ лето'!af1270-'[2]$ лето'!ae1270-'[2]$ лето'!ad1270-'[2]$ лето'!ab1270-'[2]$ лето'!aa1270-'[2]$ лето'!z1270-'[2]$ лето'!y1270-'[2]$ лето'!x1270-'[2]$ лето'!v1270-'[2]$ лето'!u1270-'[2]$ лето'!t1270-'[2]$ лето'!s1270-'[2]$ лето'!r1270-'[2]$ лето'!p1270-'[2]$ лето'!o1270-'[2]$ лето'!n1270-'[2]$ лето'!m1270-'[2]$ лето'!l1270+'[2]$ лето'!k1270+'[2]$ лето'!q1270+'[2]$ лето'!w1270+'[2]$ лето'!ac1270+'[2]$ лето'!ai1270+'[2]$ лето'!ao1270</f>
        <v>4</v>
      </c>
      <c r="I1270" s="109" t="n">
        <f aca="false">'[2]$ лето'!ay1270*1.1</f>
        <v>4466</v>
      </c>
      <c r="J1270" s="85" t="n">
        <v>2017</v>
      </c>
    </row>
    <row r="1271" customFormat="false" ht="15" hidden="true" customHeight="false" outlineLevel="0" collapsed="false">
      <c r="A1271" s="115" t="s">
        <v>1835</v>
      </c>
      <c r="B1271" s="115" t="s">
        <v>615</v>
      </c>
      <c r="C1271" s="107" t="s">
        <v>1844</v>
      </c>
      <c r="D1271" s="107"/>
      <c r="E1271" s="107"/>
      <c r="F1271" s="107"/>
      <c r="G1271" s="108"/>
      <c r="H1271" s="105" t="n">
        <f aca="false">'[2]$ лето'!j1271-'[2]$ лето'!au1271-'[2]$ лето'!at1271-'[2]$ лето'!as1271-'[2]$ лето'!ar1271-'[2]$ лето'!aq1271-'[2]$ лето'!ap1271-'[2]$ лето'!an1271-'[2]$ лето'!am1271-'[2]$ лето'!al1271-'[2]$ лето'!ak1271-'[2]$ лето'!aj1271-'[2]$ лето'!ah1271-'[2]$ лето'!ag1271-'[2]$ лето'!af1271-'[2]$ лето'!ae1271-'[2]$ лето'!ad1271-'[2]$ лето'!ab1271-'[2]$ лето'!aa1271-'[2]$ лето'!z1271-'[2]$ лето'!y1271-'[2]$ лето'!x1271-'[2]$ лето'!v1271-'[2]$ лето'!u1271-'[2]$ лето'!t1271-'[2]$ лето'!s1271-'[2]$ лето'!r1271-'[2]$ лето'!p1271-'[2]$ лето'!o1271-'[2]$ лето'!n1271-'[2]$ лето'!m1271-'[2]$ лето'!l1271+'[2]$ лето'!k1271+'[2]$ лето'!q1271+'[2]$ лето'!w1271+'[2]$ лето'!ac1271+'[2]$ лето'!ai1271+'[2]$ лето'!ao1271</f>
        <v>0</v>
      </c>
      <c r="I1271" s="109" t="n">
        <f aca="false">'[2]$ лето'!ay1271*1.1</f>
        <v>2802.8</v>
      </c>
    </row>
    <row r="1272" customFormat="false" ht="15" hidden="true" customHeight="false" outlineLevel="0" collapsed="false">
      <c r="A1272" s="115" t="s">
        <v>1835</v>
      </c>
      <c r="B1272" s="115" t="s">
        <v>615</v>
      </c>
      <c r="C1272" s="107" t="s">
        <v>1845</v>
      </c>
      <c r="D1272" s="107"/>
      <c r="E1272" s="107"/>
      <c r="F1272" s="107"/>
      <c r="G1272" s="108"/>
      <c r="H1272" s="105" t="n">
        <f aca="false">'[2]$ лето'!j1272-'[2]$ лето'!au1272-'[2]$ лето'!at1272-'[2]$ лето'!as1272-'[2]$ лето'!ar1272-'[2]$ лето'!aq1272-'[2]$ лето'!ap1272-'[2]$ лето'!an1272-'[2]$ лето'!am1272-'[2]$ лето'!al1272-'[2]$ лето'!ak1272-'[2]$ лето'!aj1272-'[2]$ лето'!ah1272-'[2]$ лето'!ag1272-'[2]$ лето'!af1272-'[2]$ лето'!ae1272-'[2]$ лето'!ad1272-'[2]$ лето'!ab1272-'[2]$ лето'!aa1272-'[2]$ лето'!z1272-'[2]$ лето'!y1272-'[2]$ лето'!x1272-'[2]$ лето'!v1272-'[2]$ лето'!u1272-'[2]$ лето'!t1272-'[2]$ лето'!s1272-'[2]$ лето'!r1272-'[2]$ лето'!p1272-'[2]$ лето'!o1272-'[2]$ лето'!n1272-'[2]$ лето'!m1272-'[2]$ лето'!l1272+'[2]$ лето'!k1272+'[2]$ лето'!q1272+'[2]$ лето'!w1272+'[2]$ лето'!ac1272+'[2]$ лето'!ai1272+'[2]$ лето'!ao1272</f>
        <v>0</v>
      </c>
      <c r="I1272" s="109" t="n">
        <f aca="false">'[2]$ лето'!ay1272*1.1</f>
        <v>2802.8</v>
      </c>
    </row>
    <row r="1273" customFormat="false" ht="15" hidden="true" customHeight="false" outlineLevel="0" collapsed="false">
      <c r="A1273" s="115" t="s">
        <v>1835</v>
      </c>
      <c r="B1273" s="115" t="s">
        <v>589</v>
      </c>
      <c r="C1273" s="116" t="s">
        <v>1846</v>
      </c>
      <c r="D1273" s="116"/>
      <c r="E1273" s="116"/>
      <c r="F1273" s="116"/>
      <c r="G1273" s="108"/>
      <c r="H1273" s="105" t="n">
        <f aca="false">'[2]$ лето'!j1273-'[2]$ лето'!au1273-'[2]$ лето'!at1273-'[2]$ лето'!as1273-'[2]$ лето'!ar1273-'[2]$ лето'!aq1273-'[2]$ лето'!ap1273-'[2]$ лето'!an1273-'[2]$ лето'!am1273-'[2]$ лето'!al1273-'[2]$ лето'!ak1273-'[2]$ лето'!aj1273-'[2]$ лето'!ah1273-'[2]$ лето'!ag1273-'[2]$ лето'!af1273-'[2]$ лето'!ae1273-'[2]$ лето'!ad1273-'[2]$ лето'!ab1273-'[2]$ лето'!aa1273-'[2]$ лето'!z1273-'[2]$ лето'!y1273-'[2]$ лето'!x1273-'[2]$ лето'!v1273-'[2]$ лето'!u1273-'[2]$ лето'!t1273-'[2]$ лето'!s1273-'[2]$ лето'!r1273-'[2]$ лето'!p1273-'[2]$ лето'!o1273-'[2]$ лето'!n1273-'[2]$ лето'!m1273-'[2]$ лето'!l1273+'[2]$ лето'!k1273+'[2]$ лето'!q1273+'[2]$ лето'!w1273+'[2]$ лето'!ac1273+'[2]$ лето'!ai1273+'[2]$ лето'!ao1273</f>
        <v>0</v>
      </c>
      <c r="I1273" s="109" t="n">
        <f aca="false">'[2]$ лето'!ay1273*1.1</f>
        <v>4127.2</v>
      </c>
    </row>
    <row r="1274" customFormat="false" ht="15" hidden="true" customHeight="false" outlineLevel="0" collapsed="false">
      <c r="A1274" s="115" t="s">
        <v>1835</v>
      </c>
      <c r="B1274" s="115" t="s">
        <v>589</v>
      </c>
      <c r="C1274" s="116" t="s">
        <v>1847</v>
      </c>
      <c r="D1274" s="116"/>
      <c r="E1274" s="116"/>
      <c r="F1274" s="116"/>
      <c r="G1274" s="108"/>
      <c r="H1274" s="105" t="n">
        <f aca="false">'[2]$ лето'!j1274-'[2]$ лето'!au1274-'[2]$ лето'!at1274-'[2]$ лето'!as1274-'[2]$ лето'!ar1274-'[2]$ лето'!aq1274-'[2]$ лето'!ap1274-'[2]$ лето'!an1274-'[2]$ лето'!am1274-'[2]$ лето'!al1274-'[2]$ лето'!ak1274-'[2]$ лето'!aj1274-'[2]$ лето'!ah1274-'[2]$ лето'!ag1274-'[2]$ лето'!af1274-'[2]$ лето'!ae1274-'[2]$ лето'!ad1274-'[2]$ лето'!ab1274-'[2]$ лето'!aa1274-'[2]$ лето'!z1274-'[2]$ лето'!y1274-'[2]$ лето'!x1274-'[2]$ лето'!v1274-'[2]$ лето'!u1274-'[2]$ лето'!t1274-'[2]$ лето'!s1274-'[2]$ лето'!r1274-'[2]$ лето'!p1274-'[2]$ лето'!o1274-'[2]$ лето'!n1274-'[2]$ лето'!m1274-'[2]$ лето'!l1274+'[2]$ лето'!k1274+'[2]$ лето'!q1274+'[2]$ лето'!w1274+'[2]$ лето'!ac1274+'[2]$ лето'!ai1274+'[2]$ лето'!ao1274</f>
        <v>0</v>
      </c>
      <c r="I1274" s="109" t="n">
        <f aca="false">'[2]$ лето'!ay1274*1.1</f>
        <v>4681.6</v>
      </c>
    </row>
    <row r="1275" customFormat="false" ht="15" hidden="true" customHeight="false" outlineLevel="0" collapsed="false">
      <c r="A1275" s="115" t="s">
        <v>1848</v>
      </c>
      <c r="B1275" s="115" t="s">
        <v>948</v>
      </c>
      <c r="C1275" s="116" t="s">
        <v>1849</v>
      </c>
      <c r="D1275" s="116"/>
      <c r="E1275" s="116"/>
      <c r="F1275" s="116"/>
      <c r="G1275" s="108"/>
      <c r="H1275" s="105" t="n">
        <f aca="false">'[2]$ лето'!j1275-'[2]$ лето'!au1275-'[2]$ лето'!at1275-'[2]$ лето'!as1275-'[2]$ лето'!ar1275-'[2]$ лето'!aq1275-'[2]$ лето'!ap1275-'[2]$ лето'!an1275-'[2]$ лето'!am1275-'[2]$ лето'!al1275-'[2]$ лето'!ak1275-'[2]$ лето'!aj1275-'[2]$ лето'!ah1275-'[2]$ лето'!ag1275-'[2]$ лето'!af1275-'[2]$ лето'!ae1275-'[2]$ лето'!ad1275-'[2]$ лето'!ab1275-'[2]$ лето'!aa1275-'[2]$ лето'!z1275-'[2]$ лето'!y1275-'[2]$ лето'!x1275-'[2]$ лето'!v1275-'[2]$ лето'!u1275-'[2]$ лето'!t1275-'[2]$ лето'!s1275-'[2]$ лето'!r1275-'[2]$ лето'!p1275-'[2]$ лето'!o1275-'[2]$ лето'!n1275-'[2]$ лето'!m1275-'[2]$ лето'!l1275+'[2]$ лето'!k1275+'[2]$ лето'!q1275+'[2]$ лето'!w1275+'[2]$ лето'!ac1275+'[2]$ лето'!ai1275+'[2]$ лето'!ao1275</f>
        <v>0</v>
      </c>
      <c r="I1275" s="109" t="n">
        <f aca="false">'[2]$ лето'!ay1275*1.1</f>
        <v>2618</v>
      </c>
      <c r="J1275" s="85" t="n">
        <v>2015</v>
      </c>
    </row>
    <row r="1276" customFormat="false" ht="15" hidden="true" customHeight="false" outlineLevel="0" collapsed="false">
      <c r="A1276" s="115" t="s">
        <v>1848</v>
      </c>
      <c r="B1276" s="115" t="s">
        <v>593</v>
      </c>
      <c r="C1276" s="107" t="s">
        <v>1082</v>
      </c>
      <c r="D1276" s="107"/>
      <c r="E1276" s="107"/>
      <c r="F1276" s="107"/>
      <c r="G1276" s="108"/>
      <c r="H1276" s="105" t="n">
        <f aca="false">'[2]$ лето'!j1276-'[2]$ лето'!au1276-'[2]$ лето'!at1276-'[2]$ лето'!as1276-'[2]$ лето'!ar1276-'[2]$ лето'!aq1276-'[2]$ лето'!ap1276-'[2]$ лето'!an1276-'[2]$ лето'!am1276-'[2]$ лето'!al1276-'[2]$ лето'!ak1276-'[2]$ лето'!aj1276-'[2]$ лето'!ah1276-'[2]$ лето'!ag1276-'[2]$ лето'!af1276-'[2]$ лето'!ae1276-'[2]$ лето'!ad1276-'[2]$ лето'!ab1276-'[2]$ лето'!aa1276-'[2]$ лето'!z1276-'[2]$ лето'!y1276-'[2]$ лето'!x1276-'[2]$ лето'!v1276-'[2]$ лето'!u1276-'[2]$ лето'!t1276-'[2]$ лето'!s1276-'[2]$ лето'!r1276-'[2]$ лето'!p1276-'[2]$ лето'!o1276-'[2]$ лето'!n1276-'[2]$ лето'!m1276-'[2]$ лето'!l1276+'[2]$ лето'!k1276+'[2]$ лето'!q1276+'[2]$ лето'!w1276+'[2]$ лето'!ac1276+'[2]$ лето'!ai1276+'[2]$ лето'!ao1276</f>
        <v>0</v>
      </c>
      <c r="I1276" s="109" t="n">
        <f aca="false">'[2]$ лето'!ay1276*1.1</f>
        <v>0</v>
      </c>
      <c r="J1276" s="113"/>
    </row>
    <row r="1277" customFormat="false" ht="15" hidden="true" customHeight="false" outlineLevel="0" collapsed="false">
      <c r="A1277" s="115" t="s">
        <v>1848</v>
      </c>
      <c r="B1277" s="115" t="s">
        <v>615</v>
      </c>
      <c r="C1277" s="107" t="s">
        <v>1850</v>
      </c>
      <c r="D1277" s="107"/>
      <c r="E1277" s="107"/>
      <c r="F1277" s="107"/>
      <c r="G1277" s="108"/>
      <c r="H1277" s="105" t="n">
        <f aca="false">'[2]$ лето'!j1277-'[2]$ лето'!au1277-'[2]$ лето'!at1277-'[2]$ лето'!as1277-'[2]$ лето'!ar1277-'[2]$ лето'!aq1277-'[2]$ лето'!ap1277-'[2]$ лето'!an1277-'[2]$ лето'!am1277-'[2]$ лето'!al1277-'[2]$ лето'!ak1277-'[2]$ лето'!aj1277-'[2]$ лето'!ah1277-'[2]$ лето'!ag1277-'[2]$ лето'!af1277-'[2]$ лето'!ae1277-'[2]$ лето'!ad1277-'[2]$ лето'!ab1277-'[2]$ лето'!aa1277-'[2]$ лето'!z1277-'[2]$ лето'!y1277-'[2]$ лето'!x1277-'[2]$ лето'!v1277-'[2]$ лето'!u1277-'[2]$ лето'!t1277-'[2]$ лето'!s1277-'[2]$ лето'!r1277-'[2]$ лето'!p1277-'[2]$ лето'!o1277-'[2]$ лето'!n1277-'[2]$ лето'!m1277-'[2]$ лето'!l1277+'[2]$ лето'!k1277+'[2]$ лето'!q1277+'[2]$ лето'!w1277+'[2]$ лето'!ac1277+'[2]$ лето'!ai1277+'[2]$ лето'!ao1277</f>
        <v>0</v>
      </c>
      <c r="I1277" s="109" t="n">
        <f aca="false">'[2]$ лето'!ay1277*1.1</f>
        <v>2310</v>
      </c>
      <c r="J1277" s="113"/>
    </row>
    <row r="1278" customFormat="false" ht="15" hidden="false" customHeight="false" outlineLevel="0" collapsed="false">
      <c r="A1278" s="115" t="s">
        <v>1851</v>
      </c>
      <c r="B1278" s="115" t="s">
        <v>844</v>
      </c>
      <c r="C1278" s="107" t="s">
        <v>1852</v>
      </c>
      <c r="D1278" s="107"/>
      <c r="E1278" s="116"/>
      <c r="F1278" s="116"/>
      <c r="G1278" s="108" t="s">
        <v>1432</v>
      </c>
      <c r="H1278" s="105" t="n">
        <f aca="false">'[2]$ лето'!j1278-'[2]$ лето'!au1278-'[2]$ лето'!at1278-'[2]$ лето'!as1278-'[2]$ лето'!ar1278-'[2]$ лето'!aq1278-'[2]$ лето'!ap1278-'[2]$ лето'!an1278-'[2]$ лето'!am1278-'[2]$ лето'!al1278-'[2]$ лето'!ak1278-'[2]$ лето'!aj1278-'[2]$ лето'!ah1278-'[2]$ лето'!ag1278-'[2]$ лето'!af1278-'[2]$ лето'!ae1278-'[2]$ лето'!ad1278-'[2]$ лето'!ab1278-'[2]$ лето'!aa1278-'[2]$ лето'!z1278-'[2]$ лето'!y1278-'[2]$ лето'!x1278-'[2]$ лето'!v1278-'[2]$ лето'!u1278-'[2]$ лето'!t1278-'[2]$ лето'!s1278-'[2]$ лето'!r1278-'[2]$ лето'!p1278-'[2]$ лето'!o1278-'[2]$ лето'!n1278-'[2]$ лето'!m1278-'[2]$ лето'!l1278+'[2]$ лето'!k1278+'[2]$ лето'!q1278+'[2]$ лето'!w1278+'[2]$ лето'!ac1278+'[2]$ лето'!ai1278+'[2]$ лето'!ao1278</f>
        <v>4</v>
      </c>
      <c r="I1278" s="109" t="n">
        <f aca="false">'[2]$ лето'!ay1278*1.1</f>
        <v>5698</v>
      </c>
      <c r="J1278" s="113" t="n">
        <v>2018</v>
      </c>
    </row>
    <row r="1279" customFormat="false" ht="15" hidden="false" customHeight="false" outlineLevel="0" collapsed="false">
      <c r="A1279" s="115" t="s">
        <v>1851</v>
      </c>
      <c r="B1279" s="115" t="s">
        <v>601</v>
      </c>
      <c r="C1279" s="107" t="s">
        <v>1853</v>
      </c>
      <c r="D1279" s="107"/>
      <c r="E1279" s="116"/>
      <c r="F1279" s="116"/>
      <c r="G1279" s="108"/>
      <c r="H1279" s="105" t="n">
        <f aca="false">'[2]$ лето'!j1279-'[2]$ лето'!au1279-'[2]$ лето'!at1279-'[2]$ лето'!as1279-'[2]$ лето'!ar1279-'[2]$ лето'!aq1279-'[2]$ лето'!ap1279-'[2]$ лето'!an1279-'[2]$ лето'!am1279-'[2]$ лето'!al1279-'[2]$ лето'!ak1279-'[2]$ лето'!aj1279-'[2]$ лето'!ah1279-'[2]$ лето'!ag1279-'[2]$ лето'!af1279-'[2]$ лето'!ae1279-'[2]$ лето'!ad1279-'[2]$ лето'!ab1279-'[2]$ лето'!aa1279-'[2]$ лето'!z1279-'[2]$ лето'!y1279-'[2]$ лето'!x1279-'[2]$ лето'!v1279-'[2]$ лето'!u1279-'[2]$ лето'!t1279-'[2]$ лето'!s1279-'[2]$ лето'!r1279-'[2]$ лето'!p1279-'[2]$ лето'!o1279-'[2]$ лето'!n1279-'[2]$ лето'!m1279-'[2]$ лето'!l1279+'[2]$ лето'!k1279+'[2]$ лето'!q1279+'[2]$ лето'!w1279+'[2]$ лето'!ac1279+'[2]$ лето'!ai1279+'[2]$ лето'!ao1279</f>
        <v>4</v>
      </c>
      <c r="I1279" s="109" t="n">
        <f aca="false">'[2]$ лето'!ay1279*1.1</f>
        <v>4096.4</v>
      </c>
      <c r="J1279" s="113" t="n">
        <v>2017</v>
      </c>
    </row>
    <row r="1280" customFormat="false" ht="15" hidden="false" customHeight="false" outlineLevel="0" collapsed="false">
      <c r="A1280" s="115" t="s">
        <v>1851</v>
      </c>
      <c r="B1280" s="115" t="s">
        <v>601</v>
      </c>
      <c r="C1280" s="107" t="s">
        <v>1854</v>
      </c>
      <c r="D1280" s="107"/>
      <c r="E1280" s="116"/>
      <c r="F1280" s="116"/>
      <c r="G1280" s="108" t="s">
        <v>820</v>
      </c>
      <c r="H1280" s="105" t="n">
        <f aca="false">'[2]$ лето'!j1280-'[2]$ лето'!au1280-'[2]$ лето'!at1280-'[2]$ лето'!as1280-'[2]$ лето'!ar1280-'[2]$ лето'!aq1280-'[2]$ лето'!ap1280-'[2]$ лето'!an1280-'[2]$ лето'!am1280-'[2]$ лето'!al1280-'[2]$ лето'!ak1280-'[2]$ лето'!aj1280-'[2]$ лето'!ah1280-'[2]$ лето'!ag1280-'[2]$ лето'!af1280-'[2]$ лето'!ae1280-'[2]$ лето'!ad1280-'[2]$ лето'!ab1280-'[2]$ лето'!aa1280-'[2]$ лето'!z1280-'[2]$ лето'!y1280-'[2]$ лето'!x1280-'[2]$ лето'!v1280-'[2]$ лето'!u1280-'[2]$ лето'!t1280-'[2]$ лето'!s1280-'[2]$ лето'!r1280-'[2]$ лето'!p1280-'[2]$ лето'!o1280-'[2]$ лето'!n1280-'[2]$ лето'!m1280-'[2]$ лето'!l1280+'[2]$ лето'!k1280+'[2]$ лето'!q1280+'[2]$ лето'!w1280+'[2]$ лето'!ac1280+'[2]$ лето'!ai1280+'[2]$ лето'!ao1280</f>
        <v>4</v>
      </c>
      <c r="I1280" s="109" t="n">
        <f aca="false">'[2]$ лето'!ay1280*1.1</f>
        <v>3718</v>
      </c>
      <c r="J1280" s="113" t="n">
        <v>2017</v>
      </c>
    </row>
    <row r="1281" customFormat="false" ht="15" hidden="false" customHeight="false" outlineLevel="0" collapsed="false">
      <c r="A1281" s="115" t="s">
        <v>1851</v>
      </c>
      <c r="B1281" s="115" t="s">
        <v>601</v>
      </c>
      <c r="C1281" s="107" t="s">
        <v>1855</v>
      </c>
      <c r="D1281" s="107"/>
      <c r="E1281" s="116"/>
      <c r="F1281" s="116"/>
      <c r="G1281" s="108"/>
      <c r="H1281" s="105" t="n">
        <f aca="false">'[2]$ лето'!j1281-'[2]$ лето'!au1281-'[2]$ лето'!at1281-'[2]$ лето'!as1281-'[2]$ лето'!ar1281-'[2]$ лето'!aq1281-'[2]$ лето'!ap1281-'[2]$ лето'!an1281-'[2]$ лето'!am1281-'[2]$ лето'!al1281-'[2]$ лето'!ak1281-'[2]$ лето'!aj1281-'[2]$ лето'!ah1281-'[2]$ лето'!ag1281-'[2]$ лето'!af1281-'[2]$ лето'!ae1281-'[2]$ лето'!ad1281-'[2]$ лето'!ab1281-'[2]$ лето'!aa1281-'[2]$ лето'!z1281-'[2]$ лето'!y1281-'[2]$ лето'!x1281-'[2]$ лето'!v1281-'[2]$ лето'!u1281-'[2]$ лето'!t1281-'[2]$ лето'!s1281-'[2]$ лето'!r1281-'[2]$ лето'!p1281-'[2]$ лето'!o1281-'[2]$ лето'!n1281-'[2]$ лето'!m1281-'[2]$ лето'!l1281+'[2]$ лето'!k1281+'[2]$ лето'!q1281+'[2]$ лето'!w1281+'[2]$ лето'!ac1281+'[2]$ лето'!ai1281+'[2]$ лето'!ao1281</f>
        <v>4</v>
      </c>
      <c r="I1281" s="109" t="n">
        <f aca="false">'[2]$ лето'!ay1281*1.1</f>
        <v>4070</v>
      </c>
      <c r="J1281" s="113"/>
    </row>
    <row r="1282" customFormat="false" ht="15" hidden="true" customHeight="false" outlineLevel="0" collapsed="false">
      <c r="A1282" s="115" t="s">
        <v>1851</v>
      </c>
      <c r="B1282" s="115" t="s">
        <v>658</v>
      </c>
      <c r="C1282" s="116" t="s">
        <v>1856</v>
      </c>
      <c r="D1282" s="116"/>
      <c r="E1282" s="116"/>
      <c r="F1282" s="116"/>
      <c r="G1282" s="108" t="s">
        <v>640</v>
      </c>
      <c r="H1282" s="105" t="n">
        <f aca="false">'[2]$ лето'!j1282-'[2]$ лето'!au1282-'[2]$ лето'!at1282-'[2]$ лето'!as1282-'[2]$ лето'!ar1282-'[2]$ лето'!aq1282-'[2]$ лето'!ap1282-'[2]$ лето'!an1282-'[2]$ лето'!am1282-'[2]$ лето'!al1282-'[2]$ лето'!ak1282-'[2]$ лето'!aj1282-'[2]$ лето'!ah1282-'[2]$ лето'!ag1282-'[2]$ лето'!af1282-'[2]$ лето'!ae1282-'[2]$ лето'!ad1282-'[2]$ лето'!ab1282-'[2]$ лето'!aa1282-'[2]$ лето'!z1282-'[2]$ лето'!y1282-'[2]$ лето'!x1282-'[2]$ лето'!v1282-'[2]$ лето'!u1282-'[2]$ лето'!t1282-'[2]$ лето'!s1282-'[2]$ лето'!r1282-'[2]$ лето'!p1282-'[2]$ лето'!o1282-'[2]$ лето'!n1282-'[2]$ лето'!m1282-'[2]$ лето'!l1282+'[2]$ лето'!k1282+'[2]$ лето'!q1282+'[2]$ лето'!w1282+'[2]$ лето'!ac1282+'[2]$ лето'!ai1282+'[2]$ лето'!ao1282</f>
        <v>0</v>
      </c>
      <c r="I1282" s="109" t="n">
        <f aca="false">'[2]$ лето'!ay1282*1.1</f>
        <v>4127.2</v>
      </c>
      <c r="J1282" s="113" t="n">
        <v>2018</v>
      </c>
    </row>
    <row r="1283" customFormat="false" ht="15" hidden="true" customHeight="false" outlineLevel="0" collapsed="false">
      <c r="A1283" s="115" t="s">
        <v>1851</v>
      </c>
      <c r="B1283" s="115" t="s">
        <v>606</v>
      </c>
      <c r="C1283" s="107" t="s">
        <v>1465</v>
      </c>
      <c r="D1283" s="107"/>
      <c r="E1283" s="107"/>
      <c r="F1283" s="107"/>
      <c r="G1283" s="108"/>
      <c r="H1283" s="105" t="n">
        <f aca="false">'[2]$ лето'!j1283-'[2]$ лето'!au1283-'[2]$ лето'!at1283-'[2]$ лето'!as1283-'[2]$ лето'!ar1283-'[2]$ лето'!aq1283-'[2]$ лето'!ap1283-'[2]$ лето'!an1283-'[2]$ лето'!am1283-'[2]$ лето'!al1283-'[2]$ лето'!ak1283-'[2]$ лето'!aj1283-'[2]$ лето'!ah1283-'[2]$ лето'!ag1283-'[2]$ лето'!af1283-'[2]$ лето'!ae1283-'[2]$ лето'!ad1283-'[2]$ лето'!ab1283-'[2]$ лето'!aa1283-'[2]$ лето'!z1283-'[2]$ лето'!y1283-'[2]$ лето'!x1283-'[2]$ лето'!v1283-'[2]$ лето'!u1283-'[2]$ лето'!t1283-'[2]$ лето'!s1283-'[2]$ лето'!r1283-'[2]$ лето'!p1283-'[2]$ лето'!o1283-'[2]$ лето'!n1283-'[2]$ лето'!m1283-'[2]$ лето'!l1283+'[2]$ лето'!k1283+'[2]$ лето'!q1283+'[2]$ лето'!w1283+'[2]$ лето'!ac1283+'[2]$ лето'!ai1283+'[2]$ лето'!ao1283</f>
        <v>0</v>
      </c>
      <c r="I1283" s="109" t="n">
        <f aca="false">'[2]$ лето'!ay1283*1.1</f>
        <v>2802.8</v>
      </c>
      <c r="J1283" s="113"/>
    </row>
    <row r="1284" customFormat="false" ht="15" hidden="true" customHeight="false" outlineLevel="0" collapsed="false">
      <c r="A1284" s="115" t="s">
        <v>1851</v>
      </c>
      <c r="B1284" s="115" t="s">
        <v>1857</v>
      </c>
      <c r="C1284" s="115" t="s">
        <v>1858</v>
      </c>
      <c r="D1284" s="115"/>
      <c r="E1284" s="115"/>
      <c r="F1284" s="115"/>
      <c r="G1284" s="108"/>
      <c r="H1284" s="105" t="n">
        <f aca="false">'[2]$ лето'!j1284-'[2]$ лето'!au1284-'[2]$ лето'!at1284-'[2]$ лето'!as1284-'[2]$ лето'!ar1284-'[2]$ лето'!aq1284-'[2]$ лето'!ap1284-'[2]$ лето'!an1284-'[2]$ лето'!am1284-'[2]$ лето'!al1284-'[2]$ лето'!ak1284-'[2]$ лето'!aj1284-'[2]$ лето'!ah1284-'[2]$ лето'!ag1284-'[2]$ лето'!af1284-'[2]$ лето'!ae1284-'[2]$ лето'!ad1284-'[2]$ лето'!ab1284-'[2]$ лето'!aa1284-'[2]$ лето'!z1284-'[2]$ лето'!y1284-'[2]$ лето'!x1284-'[2]$ лето'!v1284-'[2]$ лето'!u1284-'[2]$ лето'!t1284-'[2]$ лето'!s1284-'[2]$ лето'!r1284-'[2]$ лето'!p1284-'[2]$ лето'!o1284-'[2]$ лето'!n1284-'[2]$ лето'!m1284-'[2]$ лето'!l1284+'[2]$ лето'!k1284+'[2]$ лето'!q1284+'[2]$ лето'!w1284+'[2]$ лето'!ac1284+'[2]$ лето'!ai1284+'[2]$ лето'!ao1284</f>
        <v>0</v>
      </c>
      <c r="I1284" s="109" t="n">
        <f aca="false">'[2]$ лето'!ay1284*1.1</f>
        <v>2587.2</v>
      </c>
      <c r="J1284" s="113"/>
    </row>
    <row r="1285" customFormat="false" ht="15" hidden="true" customHeight="false" outlineLevel="0" collapsed="false">
      <c r="A1285" s="115" t="s">
        <v>1851</v>
      </c>
      <c r="B1285" s="115" t="s">
        <v>668</v>
      </c>
      <c r="C1285" s="115" t="s">
        <v>1312</v>
      </c>
      <c r="D1285" s="115"/>
      <c r="E1285" s="115"/>
      <c r="F1285" s="115"/>
      <c r="G1285" s="108" t="s">
        <v>609</v>
      </c>
      <c r="H1285" s="105" t="n">
        <f aca="false">'[2]$ лето'!j1285-'[2]$ лето'!au1285-'[2]$ лето'!at1285-'[2]$ лето'!as1285-'[2]$ лето'!ar1285-'[2]$ лето'!aq1285-'[2]$ лето'!ap1285-'[2]$ лето'!an1285-'[2]$ лето'!am1285-'[2]$ лето'!al1285-'[2]$ лето'!ak1285-'[2]$ лето'!aj1285-'[2]$ лето'!ah1285-'[2]$ лето'!ag1285-'[2]$ лето'!af1285-'[2]$ лето'!ae1285-'[2]$ лето'!ad1285-'[2]$ лето'!ab1285-'[2]$ лето'!aa1285-'[2]$ лето'!z1285-'[2]$ лето'!y1285-'[2]$ лето'!x1285-'[2]$ лето'!v1285-'[2]$ лето'!u1285-'[2]$ лето'!t1285-'[2]$ лето'!s1285-'[2]$ лето'!r1285-'[2]$ лето'!p1285-'[2]$ лето'!o1285-'[2]$ лето'!n1285-'[2]$ лето'!m1285-'[2]$ лето'!l1285+'[2]$ лето'!k1285+'[2]$ лето'!q1285+'[2]$ лето'!w1285+'[2]$ лето'!ac1285+'[2]$ лето'!ai1285+'[2]$ лето'!ao1285</f>
        <v>0</v>
      </c>
      <c r="I1285" s="109" t="n">
        <f aca="false">'[2]$ лето'!ay1285*1.1</f>
        <v>2486</v>
      </c>
      <c r="J1285" s="113"/>
    </row>
    <row r="1286" customFormat="false" ht="15" hidden="true" customHeight="false" outlineLevel="0" collapsed="false">
      <c r="A1286" s="115" t="s">
        <v>1851</v>
      </c>
      <c r="B1286" s="115" t="s">
        <v>668</v>
      </c>
      <c r="C1286" s="107" t="s">
        <v>1859</v>
      </c>
      <c r="D1286" s="107"/>
      <c r="E1286" s="107"/>
      <c r="F1286" s="107"/>
      <c r="G1286" s="108" t="s">
        <v>609</v>
      </c>
      <c r="H1286" s="105" t="n">
        <f aca="false">'[2]$ лето'!j1286-'[2]$ лето'!au1286-'[2]$ лето'!at1286-'[2]$ лето'!as1286-'[2]$ лето'!ar1286-'[2]$ лето'!aq1286-'[2]$ лето'!ap1286-'[2]$ лето'!an1286-'[2]$ лето'!am1286-'[2]$ лето'!al1286-'[2]$ лето'!ak1286-'[2]$ лето'!aj1286-'[2]$ лето'!ah1286-'[2]$ лето'!ag1286-'[2]$ лето'!af1286-'[2]$ лето'!ae1286-'[2]$ лето'!ad1286-'[2]$ лето'!ab1286-'[2]$ лето'!aa1286-'[2]$ лето'!z1286-'[2]$ лето'!y1286-'[2]$ лето'!x1286-'[2]$ лето'!v1286-'[2]$ лето'!u1286-'[2]$ лето'!t1286-'[2]$ лето'!s1286-'[2]$ лето'!r1286-'[2]$ лето'!p1286-'[2]$ лето'!o1286-'[2]$ лето'!n1286-'[2]$ лето'!m1286-'[2]$ лето'!l1286+'[2]$ лето'!k1286+'[2]$ лето'!q1286+'[2]$ лето'!w1286+'[2]$ лето'!ac1286+'[2]$ лето'!ai1286+'[2]$ лето'!ao1286</f>
        <v>0</v>
      </c>
      <c r="I1286" s="109" t="n">
        <f aca="false">'[2]$ лето'!ay1286*1.1</f>
        <v>3080</v>
      </c>
      <c r="J1286" s="113"/>
    </row>
    <row r="1287" customFormat="false" ht="15" hidden="false" customHeight="false" outlineLevel="0" collapsed="false">
      <c r="A1287" s="115" t="s">
        <v>1851</v>
      </c>
      <c r="B1287" s="115" t="s">
        <v>668</v>
      </c>
      <c r="C1287" s="107" t="s">
        <v>1860</v>
      </c>
      <c r="D1287" s="107"/>
      <c r="E1287" s="116"/>
      <c r="F1287" s="116"/>
      <c r="G1287" s="108" t="s">
        <v>609</v>
      </c>
      <c r="H1287" s="105" t="n">
        <f aca="false">'[2]$ лето'!j1287-'[2]$ лето'!au1287-'[2]$ лето'!at1287-'[2]$ лето'!as1287-'[2]$ лето'!ar1287-'[2]$ лето'!aq1287-'[2]$ лето'!ap1287-'[2]$ лето'!an1287-'[2]$ лето'!am1287-'[2]$ лето'!al1287-'[2]$ лето'!ak1287-'[2]$ лето'!aj1287-'[2]$ лето'!ah1287-'[2]$ лето'!ag1287-'[2]$ лето'!af1287-'[2]$ лето'!ae1287-'[2]$ лето'!ad1287-'[2]$ лето'!ab1287-'[2]$ лето'!aa1287-'[2]$ лето'!z1287-'[2]$ лето'!y1287-'[2]$ лето'!x1287-'[2]$ лето'!v1287-'[2]$ лето'!u1287-'[2]$ лето'!t1287-'[2]$ лето'!s1287-'[2]$ лето'!r1287-'[2]$ лето'!p1287-'[2]$ лето'!o1287-'[2]$ лето'!n1287-'[2]$ лето'!m1287-'[2]$ лето'!l1287+'[2]$ лето'!k1287+'[2]$ лето'!q1287+'[2]$ лето'!w1287+'[2]$ лето'!ac1287+'[2]$ лето'!ai1287+'[2]$ лето'!ao1287</f>
        <v>2</v>
      </c>
      <c r="I1287" s="109" t="n">
        <f aca="false">'[2]$ лето'!ay1287*1.1</f>
        <v>3146</v>
      </c>
      <c r="J1287" s="113"/>
    </row>
    <row r="1288" customFormat="false" ht="15" hidden="false" customHeight="false" outlineLevel="0" collapsed="false">
      <c r="A1288" s="115" t="s">
        <v>1851</v>
      </c>
      <c r="B1288" s="115" t="s">
        <v>1861</v>
      </c>
      <c r="C1288" s="107" t="s">
        <v>1862</v>
      </c>
      <c r="D1288" s="107"/>
      <c r="E1288" s="116" t="n">
        <v>112</v>
      </c>
      <c r="F1288" s="116" t="s">
        <v>634</v>
      </c>
      <c r="G1288" s="108" t="s">
        <v>520</v>
      </c>
      <c r="H1288" s="105" t="n">
        <f aca="false">'[2]$ лето'!j1288-'[2]$ лето'!au1288-'[2]$ лето'!at1288-'[2]$ лето'!as1288-'[2]$ лето'!ar1288-'[2]$ лето'!aq1288-'[2]$ лето'!ap1288-'[2]$ лето'!an1288-'[2]$ лето'!am1288-'[2]$ лето'!al1288-'[2]$ лето'!ak1288-'[2]$ лето'!aj1288-'[2]$ лето'!ah1288-'[2]$ лето'!ag1288-'[2]$ лето'!af1288-'[2]$ лето'!ae1288-'[2]$ лето'!ad1288-'[2]$ лето'!ab1288-'[2]$ лето'!aa1288-'[2]$ лето'!z1288-'[2]$ лето'!y1288-'[2]$ лето'!x1288-'[2]$ лето'!v1288-'[2]$ лето'!u1288-'[2]$ лето'!t1288-'[2]$ лето'!s1288-'[2]$ лето'!r1288-'[2]$ лето'!p1288-'[2]$ лето'!o1288-'[2]$ лето'!n1288-'[2]$ лето'!m1288-'[2]$ лето'!l1288+'[2]$ лето'!k1288+'[2]$ лето'!q1288+'[2]$ лето'!w1288+'[2]$ лето'!ac1288+'[2]$ лето'!ai1288+'[2]$ лето'!ao1288</f>
        <v>4</v>
      </c>
      <c r="I1288" s="109" t="n">
        <f aca="false">'[2]$ лето'!ay1288*1.1</f>
        <v>2002</v>
      </c>
      <c r="J1288" s="113" t="n">
        <v>2016</v>
      </c>
    </row>
    <row r="1289" customFormat="false" ht="15" hidden="true" customHeight="false" outlineLevel="0" collapsed="false">
      <c r="A1289" s="115" t="s">
        <v>1851</v>
      </c>
      <c r="B1289" s="115" t="s">
        <v>574</v>
      </c>
      <c r="C1289" s="116" t="s">
        <v>1863</v>
      </c>
      <c r="D1289" s="116"/>
      <c r="E1289" s="116"/>
      <c r="F1289" s="116"/>
      <c r="G1289" s="108" t="s">
        <v>576</v>
      </c>
      <c r="H1289" s="105" t="n">
        <f aca="false">'[2]$ лето'!j1289-'[2]$ лето'!au1289-'[2]$ лето'!at1289-'[2]$ лето'!as1289-'[2]$ лето'!ar1289-'[2]$ лето'!aq1289-'[2]$ лето'!ap1289-'[2]$ лето'!an1289-'[2]$ лето'!am1289-'[2]$ лето'!al1289-'[2]$ лето'!ak1289-'[2]$ лето'!aj1289-'[2]$ лето'!ah1289-'[2]$ лето'!ag1289-'[2]$ лето'!af1289-'[2]$ лето'!ae1289-'[2]$ лето'!ad1289-'[2]$ лето'!ab1289-'[2]$ лето'!aa1289-'[2]$ лето'!z1289-'[2]$ лето'!y1289-'[2]$ лето'!x1289-'[2]$ лето'!v1289-'[2]$ лето'!u1289-'[2]$ лето'!t1289-'[2]$ лето'!s1289-'[2]$ лето'!r1289-'[2]$ лето'!p1289-'[2]$ лето'!o1289-'[2]$ лето'!n1289-'[2]$ лето'!m1289-'[2]$ лето'!l1289+'[2]$ лето'!k1289+'[2]$ лето'!q1289+'[2]$ лето'!w1289+'[2]$ лето'!ac1289+'[2]$ лето'!ai1289+'[2]$ лето'!ao1289</f>
        <v>0</v>
      </c>
      <c r="I1289" s="109" t="n">
        <f aca="false">'[2]$ лето'!ay1289*1.1</f>
        <v>2833.6</v>
      </c>
      <c r="J1289" s="113" t="n">
        <v>2017</v>
      </c>
    </row>
    <row r="1290" customFormat="false" ht="15" hidden="true" customHeight="false" outlineLevel="0" collapsed="false">
      <c r="A1290" s="115" t="s">
        <v>1851</v>
      </c>
      <c r="B1290" s="115" t="s">
        <v>577</v>
      </c>
      <c r="C1290" s="116" t="s">
        <v>1864</v>
      </c>
      <c r="D1290" s="116"/>
      <c r="E1290" s="116"/>
      <c r="F1290" s="116"/>
      <c r="G1290" s="108" t="s">
        <v>563</v>
      </c>
      <c r="H1290" s="105" t="n">
        <f aca="false">'[2]$ лето'!j1290-'[2]$ лето'!au1290-'[2]$ лето'!at1290-'[2]$ лето'!as1290-'[2]$ лето'!ar1290-'[2]$ лето'!aq1290-'[2]$ лето'!ap1290-'[2]$ лето'!an1290-'[2]$ лето'!am1290-'[2]$ лето'!al1290-'[2]$ лето'!ak1290-'[2]$ лето'!aj1290-'[2]$ лето'!ah1290-'[2]$ лето'!ag1290-'[2]$ лето'!af1290-'[2]$ лето'!ae1290-'[2]$ лето'!ad1290-'[2]$ лето'!ab1290-'[2]$ лето'!aa1290-'[2]$ лето'!z1290-'[2]$ лето'!y1290-'[2]$ лето'!x1290-'[2]$ лето'!v1290-'[2]$ лето'!u1290-'[2]$ лето'!t1290-'[2]$ лето'!s1290-'[2]$ лето'!r1290-'[2]$ лето'!p1290-'[2]$ лето'!o1290-'[2]$ лето'!n1290-'[2]$ лето'!m1290-'[2]$ лето'!l1290+'[2]$ лето'!k1290+'[2]$ лето'!q1290+'[2]$ лето'!w1290+'[2]$ лето'!ac1290+'[2]$ лето'!ai1290+'[2]$ лето'!ao1290</f>
        <v>0</v>
      </c>
      <c r="I1290" s="109" t="n">
        <f aca="false">'[2]$ лето'!ay1290*1.1</f>
        <v>2679.6</v>
      </c>
      <c r="J1290" s="113" t="s">
        <v>1865</v>
      </c>
    </row>
    <row r="1291" customFormat="false" ht="15" hidden="true" customHeight="false" outlineLevel="0" collapsed="false">
      <c r="A1291" s="115" t="s">
        <v>1851</v>
      </c>
      <c r="B1291" s="115" t="s">
        <v>579</v>
      </c>
      <c r="C1291" s="116" t="s">
        <v>1866</v>
      </c>
      <c r="D1291" s="116"/>
      <c r="E1291" s="116"/>
      <c r="F1291" s="116"/>
      <c r="G1291" s="108" t="s">
        <v>520</v>
      </c>
      <c r="H1291" s="105" t="n">
        <f aca="false">'[2]$ лето'!j1291-'[2]$ лето'!au1291-'[2]$ лето'!at1291-'[2]$ лето'!as1291-'[2]$ лето'!ar1291-'[2]$ лето'!aq1291-'[2]$ лето'!ap1291-'[2]$ лето'!an1291-'[2]$ лето'!am1291-'[2]$ лето'!al1291-'[2]$ лето'!ak1291-'[2]$ лето'!aj1291-'[2]$ лето'!ah1291-'[2]$ лето'!ag1291-'[2]$ лето'!af1291-'[2]$ лето'!ae1291-'[2]$ лето'!ad1291-'[2]$ лето'!ab1291-'[2]$ лето'!aa1291-'[2]$ лето'!z1291-'[2]$ лето'!y1291-'[2]$ лето'!x1291-'[2]$ лето'!v1291-'[2]$ лето'!u1291-'[2]$ лето'!t1291-'[2]$ лето'!s1291-'[2]$ лето'!r1291-'[2]$ лето'!p1291-'[2]$ лето'!o1291-'[2]$ лето'!n1291-'[2]$ лето'!m1291-'[2]$ лето'!l1291+'[2]$ лето'!k1291+'[2]$ лето'!q1291+'[2]$ лето'!w1291+'[2]$ лето'!ac1291+'[2]$ лето'!ai1291+'[2]$ лето'!ao1291</f>
        <v>0</v>
      </c>
      <c r="I1291" s="109" t="n">
        <f aca="false">'[2]$ лето'!ay1291*1.1</f>
        <v>2035</v>
      </c>
      <c r="J1291" s="113"/>
    </row>
    <row r="1292" customFormat="false" ht="15" hidden="true" customHeight="false" outlineLevel="0" collapsed="false">
      <c r="A1292" s="115" t="s">
        <v>1851</v>
      </c>
      <c r="B1292" s="115" t="s">
        <v>613</v>
      </c>
      <c r="C1292" s="116" t="s">
        <v>1473</v>
      </c>
      <c r="D1292" s="116"/>
      <c r="E1292" s="116"/>
      <c r="F1292" s="116"/>
      <c r="G1292" s="108" t="s">
        <v>847</v>
      </c>
      <c r="H1292" s="105" t="n">
        <f aca="false">'[2]$ лето'!j1292-'[2]$ лето'!au1292-'[2]$ лето'!at1292-'[2]$ лето'!as1292-'[2]$ лето'!ar1292-'[2]$ лето'!aq1292-'[2]$ лето'!ap1292-'[2]$ лето'!an1292-'[2]$ лето'!am1292-'[2]$ лето'!al1292-'[2]$ лето'!ak1292-'[2]$ лето'!aj1292-'[2]$ лето'!ah1292-'[2]$ лето'!ag1292-'[2]$ лето'!af1292-'[2]$ лето'!ae1292-'[2]$ лето'!ad1292-'[2]$ лето'!ab1292-'[2]$ лето'!aa1292-'[2]$ лето'!z1292-'[2]$ лето'!y1292-'[2]$ лето'!x1292-'[2]$ лето'!v1292-'[2]$ лето'!u1292-'[2]$ лето'!t1292-'[2]$ лето'!s1292-'[2]$ лето'!r1292-'[2]$ лето'!p1292-'[2]$ лето'!o1292-'[2]$ лето'!n1292-'[2]$ лето'!m1292-'[2]$ лето'!l1292+'[2]$ лето'!k1292+'[2]$ лето'!q1292+'[2]$ лето'!w1292+'[2]$ лето'!ac1292+'[2]$ лето'!ai1292+'[2]$ лето'!ao1292</f>
        <v>0</v>
      </c>
      <c r="I1292" s="109" t="n">
        <f aca="false">'[2]$ лето'!ay1292*1.1</f>
        <v>3542</v>
      </c>
      <c r="J1292" s="113" t="n">
        <v>2018</v>
      </c>
    </row>
    <row r="1293" customFormat="false" ht="15" hidden="false" customHeight="false" outlineLevel="0" collapsed="false">
      <c r="A1293" s="115" t="s">
        <v>1851</v>
      </c>
      <c r="B1293" s="115" t="s">
        <v>593</v>
      </c>
      <c r="C1293" s="116" t="s">
        <v>1867</v>
      </c>
      <c r="D1293" s="116"/>
      <c r="E1293" s="116"/>
      <c r="F1293" s="116"/>
      <c r="G1293" s="108" t="s">
        <v>663</v>
      </c>
      <c r="H1293" s="105" t="n">
        <f aca="false">'[2]$ лето'!j1293-'[2]$ лето'!au1293-'[2]$ лето'!at1293-'[2]$ лето'!as1293-'[2]$ лето'!ar1293-'[2]$ лето'!aq1293-'[2]$ лето'!ap1293-'[2]$ лето'!an1293-'[2]$ лето'!am1293-'[2]$ лето'!al1293-'[2]$ лето'!ak1293-'[2]$ лето'!aj1293-'[2]$ лето'!ah1293-'[2]$ лето'!ag1293-'[2]$ лето'!af1293-'[2]$ лето'!ae1293-'[2]$ лето'!ad1293-'[2]$ лето'!ab1293-'[2]$ лето'!aa1293-'[2]$ лето'!z1293-'[2]$ лето'!y1293-'[2]$ лето'!x1293-'[2]$ лето'!v1293-'[2]$ лето'!u1293-'[2]$ лето'!t1293-'[2]$ лето'!s1293-'[2]$ лето'!r1293-'[2]$ лето'!p1293-'[2]$ лето'!o1293-'[2]$ лето'!n1293-'[2]$ лето'!m1293-'[2]$ лето'!l1293+'[2]$ лето'!k1293+'[2]$ лето'!q1293+'[2]$ лето'!w1293+'[2]$ лето'!ac1293+'[2]$ лето'!ai1293+'[2]$ лето'!ao1293</f>
        <v>1</v>
      </c>
      <c r="I1293" s="109" t="n">
        <f aca="false">'[2]$ лето'!ay1293*1.1</f>
        <v>4712.4</v>
      </c>
      <c r="J1293" s="113" t="n">
        <v>2018</v>
      </c>
    </row>
    <row r="1294" customFormat="false" ht="15" hidden="true" customHeight="false" outlineLevel="0" collapsed="false">
      <c r="A1294" s="115" t="s">
        <v>1851</v>
      </c>
      <c r="B1294" s="115" t="s">
        <v>586</v>
      </c>
      <c r="C1294" s="116" t="s">
        <v>1868</v>
      </c>
      <c r="D1294" s="116"/>
      <c r="E1294" s="116"/>
      <c r="F1294" s="116"/>
      <c r="G1294" s="108" t="s">
        <v>520</v>
      </c>
      <c r="H1294" s="105" t="n">
        <f aca="false">'[2]$ лето'!j1294-'[2]$ лето'!au1294-'[2]$ лето'!at1294-'[2]$ лето'!as1294-'[2]$ лето'!ar1294-'[2]$ лето'!aq1294-'[2]$ лето'!ap1294-'[2]$ лето'!an1294-'[2]$ лето'!am1294-'[2]$ лето'!al1294-'[2]$ лето'!ak1294-'[2]$ лето'!aj1294-'[2]$ лето'!ah1294-'[2]$ лето'!ag1294-'[2]$ лето'!af1294-'[2]$ лето'!ae1294-'[2]$ лето'!ad1294-'[2]$ лето'!ab1294-'[2]$ лето'!aa1294-'[2]$ лето'!z1294-'[2]$ лето'!y1294-'[2]$ лето'!x1294-'[2]$ лето'!v1294-'[2]$ лето'!u1294-'[2]$ лето'!t1294-'[2]$ лето'!s1294-'[2]$ лето'!r1294-'[2]$ лето'!p1294-'[2]$ лето'!o1294-'[2]$ лето'!n1294-'[2]$ лето'!m1294-'[2]$ лето'!l1294+'[2]$ лето'!k1294+'[2]$ лето'!q1294+'[2]$ лето'!w1294+'[2]$ лето'!ac1294+'[2]$ лето'!ai1294+'[2]$ лето'!ao1294</f>
        <v>0</v>
      </c>
      <c r="I1294" s="109" t="n">
        <f aca="false">'[2]$ лето'!ay1294*1.1</f>
        <v>1878.8</v>
      </c>
      <c r="J1294" s="113"/>
    </row>
    <row r="1295" customFormat="false" ht="15" hidden="true" customHeight="false" outlineLevel="0" collapsed="false">
      <c r="A1295" s="115" t="s">
        <v>1851</v>
      </c>
      <c r="B1295" s="115" t="s">
        <v>615</v>
      </c>
      <c r="C1295" s="116" t="s">
        <v>1869</v>
      </c>
      <c r="D1295" s="116"/>
      <c r="E1295" s="116"/>
      <c r="F1295" s="116"/>
      <c r="G1295" s="108"/>
      <c r="H1295" s="105" t="n">
        <f aca="false">'[2]$ лето'!j1295-'[2]$ лето'!au1295-'[2]$ лето'!at1295-'[2]$ лето'!as1295-'[2]$ лето'!ar1295-'[2]$ лето'!aq1295-'[2]$ лето'!ap1295-'[2]$ лето'!an1295-'[2]$ лето'!am1295-'[2]$ лето'!al1295-'[2]$ лето'!ak1295-'[2]$ лето'!aj1295-'[2]$ лето'!ah1295-'[2]$ лето'!ag1295-'[2]$ лето'!af1295-'[2]$ лето'!ae1295-'[2]$ лето'!ad1295-'[2]$ лето'!ab1295-'[2]$ лето'!aa1295-'[2]$ лето'!z1295-'[2]$ лето'!y1295-'[2]$ лето'!x1295-'[2]$ лето'!v1295-'[2]$ лето'!u1295-'[2]$ лето'!t1295-'[2]$ лето'!s1295-'[2]$ лето'!r1295-'[2]$ лето'!p1295-'[2]$ лето'!o1295-'[2]$ лето'!n1295-'[2]$ лето'!m1295-'[2]$ лето'!l1295+'[2]$ лето'!k1295+'[2]$ лето'!q1295+'[2]$ лето'!w1295+'[2]$ лето'!ac1295+'[2]$ лето'!ai1295+'[2]$ лето'!ao1295</f>
        <v>0</v>
      </c>
      <c r="I1295" s="109" t="n">
        <f aca="false">'[2]$ лето'!ay1295*1.1</f>
        <v>2802.8</v>
      </c>
      <c r="J1295" s="113" t="n">
        <v>2018</v>
      </c>
    </row>
    <row r="1296" customFormat="false" ht="15" hidden="true" customHeight="false" outlineLevel="0" collapsed="false">
      <c r="A1296" s="115" t="s">
        <v>1851</v>
      </c>
      <c r="B1296" s="115" t="s">
        <v>589</v>
      </c>
      <c r="C1296" s="107" t="s">
        <v>1870</v>
      </c>
      <c r="D1296" s="107"/>
      <c r="E1296" s="107"/>
      <c r="F1296" s="107"/>
      <c r="G1296" s="108" t="s">
        <v>876</v>
      </c>
      <c r="H1296" s="105" t="n">
        <f aca="false">'[2]$ лето'!j1296-'[2]$ лето'!au1296-'[2]$ лето'!at1296-'[2]$ лето'!as1296-'[2]$ лето'!ar1296-'[2]$ лето'!aq1296-'[2]$ лето'!ap1296-'[2]$ лето'!an1296-'[2]$ лето'!am1296-'[2]$ лето'!al1296-'[2]$ лето'!ak1296-'[2]$ лето'!aj1296-'[2]$ лето'!ah1296-'[2]$ лето'!ag1296-'[2]$ лето'!af1296-'[2]$ лето'!ae1296-'[2]$ лето'!ad1296-'[2]$ лето'!ab1296-'[2]$ лето'!aa1296-'[2]$ лето'!z1296-'[2]$ лето'!y1296-'[2]$ лето'!x1296-'[2]$ лето'!v1296-'[2]$ лето'!u1296-'[2]$ лето'!t1296-'[2]$ лето'!s1296-'[2]$ лето'!r1296-'[2]$ лето'!p1296-'[2]$ лето'!o1296-'[2]$ лето'!n1296-'[2]$ лето'!m1296-'[2]$ лето'!l1296+'[2]$ лето'!k1296+'[2]$ лето'!q1296+'[2]$ лето'!w1296+'[2]$ лето'!ac1296+'[2]$ лето'!ai1296+'[2]$ лето'!ao1296</f>
        <v>0</v>
      </c>
      <c r="I1296" s="109" t="n">
        <f aca="false">'[2]$ лето'!ay1296*1.1</f>
        <v>3696</v>
      </c>
      <c r="J1296" s="85" t="n">
        <v>2018</v>
      </c>
    </row>
    <row r="1297" customFormat="false" ht="15" hidden="true" customHeight="false" outlineLevel="0" collapsed="false">
      <c r="A1297" s="115" t="s">
        <v>1851</v>
      </c>
      <c r="B1297" s="115" t="s">
        <v>589</v>
      </c>
      <c r="C1297" s="107" t="s">
        <v>1871</v>
      </c>
      <c r="D1297" s="107"/>
      <c r="E1297" s="107"/>
      <c r="F1297" s="107"/>
      <c r="G1297" s="108"/>
      <c r="H1297" s="105" t="n">
        <f aca="false">'[2]$ лето'!j1297-'[2]$ лето'!au1297-'[2]$ лето'!at1297-'[2]$ лето'!as1297-'[2]$ лето'!ar1297-'[2]$ лето'!aq1297-'[2]$ лето'!ap1297-'[2]$ лето'!an1297-'[2]$ лето'!am1297-'[2]$ лето'!al1297-'[2]$ лето'!ak1297-'[2]$ лето'!aj1297-'[2]$ лето'!ah1297-'[2]$ лето'!ag1297-'[2]$ лето'!af1297-'[2]$ лето'!ae1297-'[2]$ лето'!ad1297-'[2]$ лето'!ab1297-'[2]$ лето'!aa1297-'[2]$ лето'!z1297-'[2]$ лето'!y1297-'[2]$ лето'!x1297-'[2]$ лето'!v1297-'[2]$ лето'!u1297-'[2]$ лето'!t1297-'[2]$ лето'!s1297-'[2]$ лето'!r1297-'[2]$ лето'!p1297-'[2]$ лето'!o1297-'[2]$ лето'!n1297-'[2]$ лето'!m1297-'[2]$ лето'!l1297+'[2]$ лето'!k1297+'[2]$ лето'!q1297+'[2]$ лето'!w1297+'[2]$ лето'!ac1297+'[2]$ лето'!ai1297+'[2]$ лето'!ao1297</f>
        <v>0</v>
      </c>
      <c r="I1297" s="109" t="n">
        <f aca="false">'[2]$ лето'!ay1297*1.1</f>
        <v>3480.4</v>
      </c>
    </row>
    <row r="1298" customFormat="false" ht="15" hidden="false" customHeight="false" outlineLevel="0" collapsed="false">
      <c r="A1298" s="115" t="s">
        <v>1851</v>
      </c>
      <c r="B1298" s="115" t="s">
        <v>564</v>
      </c>
      <c r="C1298" s="107" t="s">
        <v>1872</v>
      </c>
      <c r="D1298" s="107"/>
      <c r="E1298" s="116"/>
      <c r="F1298" s="116"/>
      <c r="G1298" s="108" t="s">
        <v>520</v>
      </c>
      <c r="H1298" s="105" t="n">
        <f aca="false">'[2]$ лето'!j1298-'[2]$ лето'!au1298-'[2]$ лето'!at1298-'[2]$ лето'!as1298-'[2]$ лето'!ar1298-'[2]$ лето'!aq1298-'[2]$ лето'!ap1298-'[2]$ лето'!an1298-'[2]$ лето'!am1298-'[2]$ лето'!al1298-'[2]$ лето'!ak1298-'[2]$ лето'!aj1298-'[2]$ лето'!ah1298-'[2]$ лето'!ag1298-'[2]$ лето'!af1298-'[2]$ лето'!ae1298-'[2]$ лето'!ad1298-'[2]$ лето'!ab1298-'[2]$ лето'!aa1298-'[2]$ лето'!z1298-'[2]$ лето'!y1298-'[2]$ лето'!x1298-'[2]$ лето'!v1298-'[2]$ лето'!u1298-'[2]$ лето'!t1298-'[2]$ лето'!s1298-'[2]$ лето'!r1298-'[2]$ лето'!p1298-'[2]$ лето'!o1298-'[2]$ лето'!n1298-'[2]$ лето'!m1298-'[2]$ лето'!l1298+'[2]$ лето'!k1298+'[2]$ лето'!q1298+'[2]$ лето'!w1298+'[2]$ лето'!ac1298+'[2]$ лето'!ai1298+'[2]$ лето'!ao1298</f>
        <v>4</v>
      </c>
      <c r="I1298" s="109" t="n">
        <f aca="false">'[2]$ лето'!ay1298*1.1</f>
        <v>2094.4</v>
      </c>
      <c r="J1298" s="85" t="n">
        <v>2017</v>
      </c>
    </row>
    <row r="1299" customFormat="false" ht="15" hidden="false" customHeight="false" outlineLevel="0" collapsed="false">
      <c r="A1299" s="115" t="s">
        <v>1851</v>
      </c>
      <c r="B1299" s="115" t="s">
        <v>981</v>
      </c>
      <c r="C1299" s="107" t="s">
        <v>1873</v>
      </c>
      <c r="D1299" s="107"/>
      <c r="E1299" s="116"/>
      <c r="F1299" s="116"/>
      <c r="G1299" s="108" t="s">
        <v>640</v>
      </c>
      <c r="H1299" s="105" t="n">
        <f aca="false">'[2]$ лето'!j1299-'[2]$ лето'!au1299-'[2]$ лето'!at1299-'[2]$ лето'!as1299-'[2]$ лето'!ar1299-'[2]$ лето'!aq1299-'[2]$ лето'!ap1299-'[2]$ лето'!an1299-'[2]$ лето'!am1299-'[2]$ лето'!al1299-'[2]$ лето'!ak1299-'[2]$ лето'!aj1299-'[2]$ лето'!ah1299-'[2]$ лето'!ag1299-'[2]$ лето'!af1299-'[2]$ лето'!ae1299-'[2]$ лето'!ad1299-'[2]$ лето'!ab1299-'[2]$ лето'!aa1299-'[2]$ лето'!z1299-'[2]$ лето'!y1299-'[2]$ лето'!x1299-'[2]$ лето'!v1299-'[2]$ лето'!u1299-'[2]$ лето'!t1299-'[2]$ лето'!s1299-'[2]$ лето'!r1299-'[2]$ лето'!p1299-'[2]$ лето'!o1299-'[2]$ лето'!n1299-'[2]$ лето'!m1299-'[2]$ лето'!l1299+'[2]$ лето'!k1299+'[2]$ лето'!q1299+'[2]$ лето'!w1299+'[2]$ лето'!ac1299+'[2]$ лето'!ai1299+'[2]$ лето'!ao1299</f>
        <v>4</v>
      </c>
      <c r="I1299" s="109" t="n">
        <f aca="false">'[2]$ лето'!ay1299*1.1</f>
        <v>3757.6</v>
      </c>
      <c r="J1299" s="85" t="n">
        <v>2018</v>
      </c>
    </row>
    <row r="1300" customFormat="false" ht="15" hidden="true" customHeight="false" outlineLevel="0" collapsed="false">
      <c r="A1300" s="115" t="s">
        <v>1874</v>
      </c>
      <c r="B1300" s="115" t="s">
        <v>844</v>
      </c>
      <c r="C1300" s="107" t="s">
        <v>1875</v>
      </c>
      <c r="D1300" s="107"/>
      <c r="E1300" s="107"/>
      <c r="F1300" s="107"/>
      <c r="G1300" s="108"/>
      <c r="H1300" s="105" t="n">
        <f aca="false">'[2]$ лето'!j1300-'[2]$ лето'!au1300-'[2]$ лето'!at1300-'[2]$ лето'!as1300-'[2]$ лето'!ar1300-'[2]$ лето'!aq1300-'[2]$ лето'!ap1300-'[2]$ лето'!an1300-'[2]$ лето'!am1300-'[2]$ лето'!al1300-'[2]$ лето'!ak1300-'[2]$ лето'!aj1300-'[2]$ лето'!ah1300-'[2]$ лето'!ag1300-'[2]$ лето'!af1300-'[2]$ лето'!ae1300-'[2]$ лето'!ad1300-'[2]$ лето'!ab1300-'[2]$ лето'!aa1300-'[2]$ лето'!z1300-'[2]$ лето'!y1300-'[2]$ лето'!x1300-'[2]$ лето'!v1300-'[2]$ лето'!u1300-'[2]$ лето'!t1300-'[2]$ лето'!s1300-'[2]$ лето'!r1300-'[2]$ лето'!p1300-'[2]$ лето'!o1300-'[2]$ лето'!n1300-'[2]$ лето'!m1300-'[2]$ лето'!l1300+'[2]$ лето'!k1300+'[2]$ лето'!q1300+'[2]$ лето'!w1300+'[2]$ лето'!ac1300+'[2]$ лето'!ai1300+'[2]$ лето'!ao1300</f>
        <v>0</v>
      </c>
      <c r="I1300" s="109" t="n">
        <f aca="false">'[2]$ лето'!ay1300*1.1</f>
        <v>4804.8</v>
      </c>
    </row>
    <row r="1301" customFormat="false" ht="15" hidden="true" customHeight="false" outlineLevel="0" collapsed="false">
      <c r="A1301" s="115" t="s">
        <v>1874</v>
      </c>
      <c r="B1301" s="115" t="s">
        <v>593</v>
      </c>
      <c r="C1301" s="107" t="s">
        <v>1876</v>
      </c>
      <c r="D1301" s="107"/>
      <c r="E1301" s="107"/>
      <c r="F1301" s="107"/>
      <c r="G1301" s="108"/>
      <c r="H1301" s="105" t="n">
        <f aca="false">'[2]$ лето'!j1301-'[2]$ лето'!au1301-'[2]$ лето'!at1301-'[2]$ лето'!as1301-'[2]$ лето'!ar1301-'[2]$ лето'!aq1301-'[2]$ лето'!ap1301-'[2]$ лето'!an1301-'[2]$ лето'!am1301-'[2]$ лето'!al1301-'[2]$ лето'!ak1301-'[2]$ лето'!aj1301-'[2]$ лето'!ah1301-'[2]$ лето'!ag1301-'[2]$ лето'!af1301-'[2]$ лето'!ae1301-'[2]$ лето'!ad1301-'[2]$ лето'!ab1301-'[2]$ лето'!aa1301-'[2]$ лето'!z1301-'[2]$ лето'!y1301-'[2]$ лето'!x1301-'[2]$ лето'!v1301-'[2]$ лето'!u1301-'[2]$ лето'!t1301-'[2]$ лето'!s1301-'[2]$ лето'!r1301-'[2]$ лето'!p1301-'[2]$ лето'!o1301-'[2]$ лето'!n1301-'[2]$ лето'!m1301-'[2]$ лето'!l1301+'[2]$ лето'!k1301+'[2]$ лето'!q1301+'[2]$ лето'!w1301+'[2]$ лето'!ac1301+'[2]$ лето'!ai1301+'[2]$ лето'!ao1301</f>
        <v>0</v>
      </c>
      <c r="I1301" s="109" t="n">
        <f aca="false">'[2]$ лето'!ay1301*1.1</f>
        <v>4312</v>
      </c>
    </row>
    <row r="1302" customFormat="false" ht="15" hidden="false" customHeight="false" outlineLevel="0" collapsed="false">
      <c r="A1302" s="115" t="s">
        <v>1874</v>
      </c>
      <c r="B1302" s="115" t="s">
        <v>586</v>
      </c>
      <c r="C1302" s="107" t="s">
        <v>1877</v>
      </c>
      <c r="D1302" s="107"/>
      <c r="E1302" s="116"/>
      <c r="F1302" s="116"/>
      <c r="G1302" s="108" t="s">
        <v>520</v>
      </c>
      <c r="H1302" s="105" t="n">
        <f aca="false">'[2]$ лето'!j1302-'[2]$ лето'!au1302-'[2]$ лето'!at1302-'[2]$ лето'!as1302-'[2]$ лето'!ar1302-'[2]$ лето'!aq1302-'[2]$ лето'!ap1302-'[2]$ лето'!an1302-'[2]$ лето'!am1302-'[2]$ лето'!al1302-'[2]$ лето'!ak1302-'[2]$ лето'!aj1302-'[2]$ лето'!ah1302-'[2]$ лето'!ag1302-'[2]$ лето'!af1302-'[2]$ лето'!ae1302-'[2]$ лето'!ad1302-'[2]$ лето'!ab1302-'[2]$ лето'!aa1302-'[2]$ лето'!z1302-'[2]$ лето'!y1302-'[2]$ лето'!x1302-'[2]$ лето'!v1302-'[2]$ лето'!u1302-'[2]$ лето'!t1302-'[2]$ лето'!s1302-'[2]$ лето'!r1302-'[2]$ лето'!p1302-'[2]$ лето'!o1302-'[2]$ лето'!n1302-'[2]$ лето'!m1302-'[2]$ лето'!l1302+'[2]$ лето'!k1302+'[2]$ лето'!q1302+'[2]$ лето'!w1302+'[2]$ лето'!ac1302+'[2]$ лето'!ai1302+'[2]$ лето'!ao1302</f>
        <v>2</v>
      </c>
      <c r="I1302" s="109" t="n">
        <f aca="false">'[2]$ лето'!ay1302*1.1</f>
        <v>2464</v>
      </c>
    </row>
    <row r="1303" customFormat="false" ht="15" hidden="true" customHeight="false" outlineLevel="0" collapsed="false">
      <c r="A1303" s="115" t="s">
        <v>1874</v>
      </c>
      <c r="B1303" s="115" t="s">
        <v>615</v>
      </c>
      <c r="C1303" s="107" t="s">
        <v>1878</v>
      </c>
      <c r="D1303" s="107"/>
      <c r="E1303" s="107"/>
      <c r="F1303" s="107"/>
      <c r="G1303" s="108"/>
      <c r="H1303" s="105" t="n">
        <f aca="false">'[2]$ лето'!j1303-'[2]$ лето'!au1303-'[2]$ лето'!at1303-'[2]$ лето'!as1303-'[2]$ лето'!ar1303-'[2]$ лето'!aq1303-'[2]$ лето'!ap1303-'[2]$ лето'!an1303-'[2]$ лето'!am1303-'[2]$ лето'!al1303-'[2]$ лето'!ak1303-'[2]$ лето'!aj1303-'[2]$ лето'!ah1303-'[2]$ лето'!ag1303-'[2]$ лето'!af1303-'[2]$ лето'!ae1303-'[2]$ лето'!ad1303-'[2]$ лето'!ab1303-'[2]$ лето'!aa1303-'[2]$ лето'!z1303-'[2]$ лето'!y1303-'[2]$ лето'!x1303-'[2]$ лето'!v1303-'[2]$ лето'!u1303-'[2]$ лето'!t1303-'[2]$ лето'!s1303-'[2]$ лето'!r1303-'[2]$ лето'!p1303-'[2]$ лето'!o1303-'[2]$ лето'!n1303-'[2]$ лето'!m1303-'[2]$ лето'!l1303+'[2]$ лето'!k1303+'[2]$ лето'!q1303+'[2]$ лето'!w1303+'[2]$ лето'!ac1303+'[2]$ лето'!ai1303+'[2]$ лето'!ao1303</f>
        <v>0</v>
      </c>
      <c r="I1303" s="109" t="n">
        <f aca="false">'[2]$ лето'!ay1303*1.1</f>
        <v>3080</v>
      </c>
    </row>
    <row r="1304" customFormat="false" ht="15" hidden="true" customHeight="false" outlineLevel="0" collapsed="false">
      <c r="A1304" s="115" t="s">
        <v>1874</v>
      </c>
      <c r="B1304" s="115" t="s">
        <v>589</v>
      </c>
      <c r="C1304" s="107" t="s">
        <v>1879</v>
      </c>
      <c r="D1304" s="107"/>
      <c r="E1304" s="107"/>
      <c r="F1304" s="107"/>
      <c r="G1304" s="108"/>
      <c r="H1304" s="105" t="n">
        <f aca="false">'[2]$ лето'!j1304-'[2]$ лето'!au1304-'[2]$ лето'!at1304-'[2]$ лето'!as1304-'[2]$ лето'!ar1304-'[2]$ лето'!aq1304-'[2]$ лето'!ap1304-'[2]$ лето'!an1304-'[2]$ лето'!am1304-'[2]$ лето'!al1304-'[2]$ лето'!ak1304-'[2]$ лето'!aj1304-'[2]$ лето'!ah1304-'[2]$ лето'!ag1304-'[2]$ лето'!af1304-'[2]$ лето'!ae1304-'[2]$ лето'!ad1304-'[2]$ лето'!ab1304-'[2]$ лето'!aa1304-'[2]$ лето'!z1304-'[2]$ лето'!y1304-'[2]$ лето'!x1304-'[2]$ лето'!v1304-'[2]$ лето'!u1304-'[2]$ лето'!t1304-'[2]$ лето'!s1304-'[2]$ лето'!r1304-'[2]$ лето'!p1304-'[2]$ лето'!o1304-'[2]$ лето'!n1304-'[2]$ лето'!m1304-'[2]$ лето'!l1304+'[2]$ лето'!k1304+'[2]$ лето'!q1304+'[2]$ лето'!w1304+'[2]$ лето'!ac1304+'[2]$ лето'!ai1304+'[2]$ лето'!ao1304</f>
        <v>0</v>
      </c>
      <c r="I1304" s="109" t="n">
        <f aca="false">'[2]$ лето'!ay1304*1.1</f>
        <v>3388</v>
      </c>
      <c r="J1304" s="85" t="n">
        <v>2015</v>
      </c>
    </row>
    <row r="1305" customFormat="false" ht="15" hidden="true" customHeight="false" outlineLevel="0" collapsed="false">
      <c r="A1305" s="115" t="s">
        <v>1880</v>
      </c>
      <c r="B1305" s="115" t="s">
        <v>589</v>
      </c>
      <c r="C1305" s="116" t="s">
        <v>1881</v>
      </c>
      <c r="D1305" s="116"/>
      <c r="E1305" s="116"/>
      <c r="F1305" s="116"/>
      <c r="G1305" s="108"/>
      <c r="H1305" s="105" t="n">
        <f aca="false">'[2]$ лето'!j1305-'[2]$ лето'!au1305-'[2]$ лето'!at1305-'[2]$ лето'!as1305-'[2]$ лето'!ar1305-'[2]$ лето'!aq1305-'[2]$ лето'!ap1305-'[2]$ лето'!an1305-'[2]$ лето'!am1305-'[2]$ лето'!al1305-'[2]$ лето'!ak1305-'[2]$ лето'!aj1305-'[2]$ лето'!ah1305-'[2]$ лето'!ag1305-'[2]$ лето'!af1305-'[2]$ лето'!ae1305-'[2]$ лето'!ad1305-'[2]$ лето'!ab1305-'[2]$ лето'!aa1305-'[2]$ лето'!z1305-'[2]$ лето'!y1305-'[2]$ лето'!x1305-'[2]$ лето'!v1305-'[2]$ лето'!u1305-'[2]$ лето'!t1305-'[2]$ лето'!s1305-'[2]$ лето'!r1305-'[2]$ лето'!p1305-'[2]$ лето'!o1305-'[2]$ лето'!n1305-'[2]$ лето'!m1305-'[2]$ лето'!l1305+'[2]$ лето'!k1305+'[2]$ лето'!q1305+'[2]$ лето'!w1305+'[2]$ лето'!ac1305+'[2]$ лето'!ai1305+'[2]$ лето'!ao1305</f>
        <v>0</v>
      </c>
      <c r="I1305" s="109" t="n">
        <f aca="false">'[2]$ лето'!ay1305*1.1</f>
        <v>3080</v>
      </c>
    </row>
    <row r="1306" customFormat="false" ht="15" hidden="false" customHeight="false" outlineLevel="0" collapsed="false">
      <c r="A1306" s="115" t="s">
        <v>1882</v>
      </c>
      <c r="B1306" s="115" t="s">
        <v>601</v>
      </c>
      <c r="C1306" s="116" t="s">
        <v>1883</v>
      </c>
      <c r="D1306" s="116"/>
      <c r="E1306" s="116"/>
      <c r="F1306" s="116"/>
      <c r="G1306" s="108"/>
      <c r="H1306" s="105" t="n">
        <f aca="false">'[2]$ лето'!j1306-'[2]$ лето'!au1306-'[2]$ лето'!at1306-'[2]$ лето'!as1306-'[2]$ лето'!ar1306-'[2]$ лето'!aq1306-'[2]$ лето'!ap1306-'[2]$ лето'!an1306-'[2]$ лето'!am1306-'[2]$ лето'!al1306-'[2]$ лето'!ak1306-'[2]$ лето'!aj1306-'[2]$ лето'!ah1306-'[2]$ лето'!ag1306-'[2]$ лето'!af1306-'[2]$ лето'!ae1306-'[2]$ лето'!ad1306-'[2]$ лето'!ab1306-'[2]$ лето'!aa1306-'[2]$ лето'!z1306-'[2]$ лето'!y1306-'[2]$ лето'!x1306-'[2]$ лето'!v1306-'[2]$ лето'!u1306-'[2]$ лето'!t1306-'[2]$ лето'!s1306-'[2]$ лето'!r1306-'[2]$ лето'!p1306-'[2]$ лето'!o1306-'[2]$ лето'!n1306-'[2]$ лето'!m1306-'[2]$ лето'!l1306+'[2]$ лето'!k1306+'[2]$ лето'!q1306+'[2]$ лето'!w1306+'[2]$ лето'!ac1306+'[2]$ лето'!ai1306+'[2]$ лето'!ao1306</f>
        <v>2</v>
      </c>
      <c r="I1306" s="109" t="n">
        <f aca="false">'[2]$ лето'!ay1306*1.1</f>
        <v>2772</v>
      </c>
    </row>
    <row r="1307" customFormat="false" ht="15" hidden="false" customHeight="false" outlineLevel="0" collapsed="false">
      <c r="A1307" s="115" t="s">
        <v>1882</v>
      </c>
      <c r="B1307" s="115" t="s">
        <v>601</v>
      </c>
      <c r="C1307" s="116" t="s">
        <v>1884</v>
      </c>
      <c r="D1307" s="116"/>
      <c r="E1307" s="116"/>
      <c r="F1307" s="116"/>
      <c r="G1307" s="108" t="s">
        <v>626</v>
      </c>
      <c r="H1307" s="105" t="n">
        <f aca="false">'[2]$ лето'!j1307-'[2]$ лето'!au1307-'[2]$ лето'!at1307-'[2]$ лето'!as1307-'[2]$ лето'!ar1307-'[2]$ лето'!aq1307-'[2]$ лето'!ap1307-'[2]$ лето'!an1307-'[2]$ лето'!am1307-'[2]$ лето'!al1307-'[2]$ лето'!ak1307-'[2]$ лето'!aj1307-'[2]$ лето'!ah1307-'[2]$ лето'!ag1307-'[2]$ лето'!af1307-'[2]$ лето'!ae1307-'[2]$ лето'!ad1307-'[2]$ лето'!ab1307-'[2]$ лето'!aa1307-'[2]$ лето'!z1307-'[2]$ лето'!y1307-'[2]$ лето'!x1307-'[2]$ лето'!v1307-'[2]$ лето'!u1307-'[2]$ лето'!t1307-'[2]$ лето'!s1307-'[2]$ лето'!r1307-'[2]$ лето'!p1307-'[2]$ лето'!o1307-'[2]$ лето'!n1307-'[2]$ лето'!m1307-'[2]$ лето'!l1307+'[2]$ лето'!k1307+'[2]$ лето'!q1307+'[2]$ лето'!w1307+'[2]$ лето'!ac1307+'[2]$ лето'!ai1307+'[2]$ лето'!ao1307</f>
        <v>4</v>
      </c>
      <c r="I1307" s="109" t="n">
        <f aca="false">'[2]$ лето'!ay1307*1.1</f>
        <v>3542</v>
      </c>
      <c r="J1307" s="85" t="s">
        <v>1885</v>
      </c>
    </row>
    <row r="1308" customFormat="false" ht="15" hidden="true" customHeight="false" outlineLevel="0" collapsed="false">
      <c r="A1308" s="115" t="s">
        <v>1882</v>
      </c>
      <c r="B1308" s="115" t="s">
        <v>606</v>
      </c>
      <c r="C1308" s="116" t="s">
        <v>1886</v>
      </c>
      <c r="D1308" s="116"/>
      <c r="E1308" s="116"/>
      <c r="F1308" s="116"/>
      <c r="G1308" s="108"/>
      <c r="H1308" s="105" t="n">
        <f aca="false">'[2]$ лето'!j1308-'[2]$ лето'!au1308-'[2]$ лето'!at1308-'[2]$ лето'!as1308-'[2]$ лето'!ar1308-'[2]$ лето'!aq1308-'[2]$ лето'!ap1308-'[2]$ лето'!an1308-'[2]$ лето'!am1308-'[2]$ лето'!al1308-'[2]$ лето'!ak1308-'[2]$ лето'!aj1308-'[2]$ лето'!ah1308-'[2]$ лето'!ag1308-'[2]$ лето'!af1308-'[2]$ лето'!ae1308-'[2]$ лето'!ad1308-'[2]$ лето'!ab1308-'[2]$ лето'!aa1308-'[2]$ лето'!z1308-'[2]$ лето'!y1308-'[2]$ лето'!x1308-'[2]$ лето'!v1308-'[2]$ лето'!u1308-'[2]$ лето'!t1308-'[2]$ лето'!s1308-'[2]$ лето'!r1308-'[2]$ лето'!p1308-'[2]$ лето'!o1308-'[2]$ лето'!n1308-'[2]$ лето'!m1308-'[2]$ лето'!l1308+'[2]$ лето'!k1308+'[2]$ лето'!q1308+'[2]$ лето'!w1308+'[2]$ лето'!ac1308+'[2]$ лето'!ai1308+'[2]$ лето'!ao1308</f>
        <v>0</v>
      </c>
      <c r="I1308" s="109" t="n">
        <f aca="false">'[2]$ лето'!ay1308*1.1</f>
        <v>3388</v>
      </c>
      <c r="J1308" s="85" t="n">
        <v>2017</v>
      </c>
    </row>
    <row r="1309" customFormat="false" ht="15" hidden="false" customHeight="false" outlineLevel="0" collapsed="false">
      <c r="A1309" s="115" t="s">
        <v>1882</v>
      </c>
      <c r="B1309" s="115" t="s">
        <v>593</v>
      </c>
      <c r="C1309" s="116" t="s">
        <v>1887</v>
      </c>
      <c r="D1309" s="116"/>
      <c r="E1309" s="116"/>
      <c r="F1309" s="116"/>
      <c r="G1309" s="108" t="s">
        <v>520</v>
      </c>
      <c r="H1309" s="105" t="n">
        <f aca="false">'[2]$ лето'!j1309-'[2]$ лето'!au1309-'[2]$ лето'!at1309-'[2]$ лето'!as1309-'[2]$ лето'!ar1309-'[2]$ лето'!aq1309-'[2]$ лето'!ap1309-'[2]$ лето'!an1309-'[2]$ лето'!am1309-'[2]$ лето'!al1309-'[2]$ лето'!ak1309-'[2]$ лето'!aj1309-'[2]$ лето'!ah1309-'[2]$ лето'!ag1309-'[2]$ лето'!af1309-'[2]$ лето'!ae1309-'[2]$ лето'!ad1309-'[2]$ лето'!ab1309-'[2]$ лето'!aa1309-'[2]$ лето'!z1309-'[2]$ лето'!y1309-'[2]$ лето'!x1309-'[2]$ лето'!v1309-'[2]$ лето'!u1309-'[2]$ лето'!t1309-'[2]$ лето'!s1309-'[2]$ лето'!r1309-'[2]$ лето'!p1309-'[2]$ лето'!o1309-'[2]$ лето'!n1309-'[2]$ лето'!m1309-'[2]$ лето'!l1309+'[2]$ лето'!k1309+'[2]$ лето'!q1309+'[2]$ лето'!w1309+'[2]$ лето'!ac1309+'[2]$ лето'!ai1309+'[2]$ лето'!ao1309</f>
        <v>4</v>
      </c>
      <c r="I1309" s="109" t="n">
        <f aca="false">'[2]$ лето'!ay1309*1.1</f>
        <v>3696</v>
      </c>
      <c r="J1309" s="113" t="n">
        <v>2013</v>
      </c>
    </row>
    <row r="1310" customFormat="false" ht="15" hidden="true" customHeight="false" outlineLevel="0" collapsed="false">
      <c r="A1310" s="115" t="s">
        <v>1888</v>
      </c>
      <c r="B1310" s="115" t="s">
        <v>589</v>
      </c>
      <c r="C1310" s="116" t="s">
        <v>1889</v>
      </c>
      <c r="D1310" s="116"/>
      <c r="E1310" s="116"/>
      <c r="F1310" s="116"/>
      <c r="G1310" s="108"/>
      <c r="H1310" s="105" t="n">
        <f aca="false">'[2]$ лето'!j1310-'[2]$ лето'!au1310-'[2]$ лето'!at1310-'[2]$ лето'!as1310-'[2]$ лето'!ar1310-'[2]$ лето'!aq1310-'[2]$ лето'!ap1310-'[2]$ лето'!an1310-'[2]$ лето'!am1310-'[2]$ лето'!al1310-'[2]$ лето'!ak1310-'[2]$ лето'!aj1310-'[2]$ лето'!ah1310-'[2]$ лето'!ag1310-'[2]$ лето'!af1310-'[2]$ лето'!ae1310-'[2]$ лето'!ad1310-'[2]$ лето'!ab1310-'[2]$ лето'!aa1310-'[2]$ лето'!z1310-'[2]$ лето'!y1310-'[2]$ лето'!x1310-'[2]$ лето'!v1310-'[2]$ лето'!u1310-'[2]$ лето'!t1310-'[2]$ лето'!s1310-'[2]$ лето'!r1310-'[2]$ лето'!p1310-'[2]$ лето'!o1310-'[2]$ лето'!n1310-'[2]$ лето'!m1310-'[2]$ лето'!l1310+'[2]$ лето'!k1310+'[2]$ лето'!q1310+'[2]$ лето'!w1310+'[2]$ лето'!ac1310+'[2]$ лето'!ai1310+'[2]$ лето'!ao1310</f>
        <v>0</v>
      </c>
      <c r="I1310" s="109" t="n">
        <f aca="false">'[2]$ лето'!ay1310*1.1</f>
        <v>5236</v>
      </c>
      <c r="J1310" s="113"/>
    </row>
    <row r="1311" customFormat="false" ht="15" hidden="true" customHeight="false" outlineLevel="0" collapsed="false">
      <c r="A1311" s="115" t="s">
        <v>1890</v>
      </c>
      <c r="B1311" s="115" t="s">
        <v>844</v>
      </c>
      <c r="C1311" s="116" t="s">
        <v>1891</v>
      </c>
      <c r="D1311" s="116"/>
      <c r="E1311" s="116"/>
      <c r="F1311" s="116"/>
      <c r="G1311" s="108"/>
      <c r="H1311" s="105" t="n">
        <f aca="false">'[2]$ лето'!j1311-'[2]$ лето'!au1311-'[2]$ лето'!at1311-'[2]$ лето'!as1311-'[2]$ лето'!ar1311-'[2]$ лето'!aq1311-'[2]$ лето'!ap1311-'[2]$ лето'!an1311-'[2]$ лето'!am1311-'[2]$ лето'!al1311-'[2]$ лето'!ak1311-'[2]$ лето'!aj1311-'[2]$ лето'!ah1311-'[2]$ лето'!ag1311-'[2]$ лето'!af1311-'[2]$ лето'!ae1311-'[2]$ лето'!ad1311-'[2]$ лето'!ab1311-'[2]$ лето'!aa1311-'[2]$ лето'!z1311-'[2]$ лето'!y1311-'[2]$ лето'!x1311-'[2]$ лето'!v1311-'[2]$ лето'!u1311-'[2]$ лето'!t1311-'[2]$ лето'!s1311-'[2]$ лето'!r1311-'[2]$ лето'!p1311-'[2]$ лето'!o1311-'[2]$ лето'!n1311-'[2]$ лето'!m1311-'[2]$ лето'!l1311+'[2]$ лето'!k1311+'[2]$ лето'!q1311+'[2]$ лето'!w1311+'[2]$ лето'!ac1311+'[2]$ лето'!ai1311+'[2]$ лето'!ao1311</f>
        <v>0</v>
      </c>
      <c r="I1311" s="109" t="n">
        <f aca="false">'[2]$ лето'!ay1311*1.1</f>
        <v>5605.6</v>
      </c>
      <c r="J1311" s="113" t="n">
        <v>2016</v>
      </c>
    </row>
    <row r="1312" customFormat="false" ht="15" hidden="false" customHeight="false" outlineLevel="0" collapsed="false">
      <c r="A1312" s="110" t="s">
        <v>1892</v>
      </c>
      <c r="B1312" s="111"/>
      <c r="C1312" s="112"/>
      <c r="D1312" s="112"/>
      <c r="E1312" s="112"/>
      <c r="F1312" s="112"/>
      <c r="G1312" s="104"/>
      <c r="H1312" s="105"/>
      <c r="I1312" s="105" t="n">
        <f aca="false">'[2]$ лето'!ay1312*1.1</f>
        <v>0</v>
      </c>
    </row>
    <row r="1313" customFormat="false" ht="15" hidden="false" customHeight="false" outlineLevel="0" collapsed="false">
      <c r="A1313" s="127" t="s">
        <v>1893</v>
      </c>
      <c r="B1313" s="107" t="s">
        <v>583</v>
      </c>
      <c r="C1313" s="116" t="s">
        <v>1894</v>
      </c>
      <c r="D1313" s="116"/>
      <c r="E1313" s="116"/>
      <c r="F1313" s="116"/>
      <c r="G1313" s="108" t="s">
        <v>933</v>
      </c>
      <c r="H1313" s="105" t="n">
        <f aca="false">'[2]$ лето'!j1313-'[2]$ лето'!au1313-'[2]$ лето'!at1313-'[2]$ лето'!as1313-'[2]$ лето'!ar1313-'[2]$ лето'!aq1313-'[2]$ лето'!ap1313-'[2]$ лето'!an1313-'[2]$ лето'!am1313-'[2]$ лето'!al1313-'[2]$ лето'!ak1313-'[2]$ лето'!aj1313-'[2]$ лето'!ah1313-'[2]$ лето'!ag1313-'[2]$ лето'!af1313-'[2]$ лето'!ae1313-'[2]$ лето'!ad1313-'[2]$ лето'!ab1313-'[2]$ лето'!aa1313-'[2]$ лето'!z1313-'[2]$ лето'!y1313-'[2]$ лето'!x1313-'[2]$ лето'!v1313-'[2]$ лето'!u1313-'[2]$ лето'!t1313-'[2]$ лето'!s1313-'[2]$ лето'!r1313-'[2]$ лето'!p1313-'[2]$ лето'!o1313-'[2]$ лето'!n1313-'[2]$ лето'!m1313-'[2]$ лето'!l1313+'[2]$ лето'!k1313+'[2]$ лето'!q1313+'[2]$ лето'!w1313+'[2]$ лето'!ac1313+'[2]$ лето'!ai1313+'[2]$ лето'!ao1313</f>
        <v>2</v>
      </c>
      <c r="I1313" s="109" t="n">
        <f aca="false">'[2]$ лето'!ay1313*1.1</f>
        <v>2772</v>
      </c>
      <c r="J1313" s="85" t="n">
        <v>2017</v>
      </c>
    </row>
    <row r="1314" customFormat="false" ht="15" hidden="false" customHeight="false" outlineLevel="0" collapsed="false">
      <c r="A1314" s="127" t="s">
        <v>1893</v>
      </c>
      <c r="B1314" s="107" t="s">
        <v>589</v>
      </c>
      <c r="C1314" s="116" t="s">
        <v>1895</v>
      </c>
      <c r="D1314" s="116"/>
      <c r="E1314" s="116"/>
      <c r="F1314" s="116"/>
      <c r="G1314" s="108"/>
      <c r="H1314" s="105" t="n">
        <f aca="false">'[2]$ лето'!j1314-'[2]$ лето'!au1314-'[2]$ лето'!at1314-'[2]$ лето'!as1314-'[2]$ лето'!ar1314-'[2]$ лето'!aq1314-'[2]$ лето'!ap1314-'[2]$ лето'!an1314-'[2]$ лето'!am1314-'[2]$ лето'!al1314-'[2]$ лето'!ak1314-'[2]$ лето'!aj1314-'[2]$ лето'!ah1314-'[2]$ лето'!ag1314-'[2]$ лето'!af1314-'[2]$ лето'!ae1314-'[2]$ лето'!ad1314-'[2]$ лето'!ab1314-'[2]$ лето'!aa1314-'[2]$ лето'!z1314-'[2]$ лето'!y1314-'[2]$ лето'!x1314-'[2]$ лето'!v1314-'[2]$ лето'!u1314-'[2]$ лето'!t1314-'[2]$ лето'!s1314-'[2]$ лето'!r1314-'[2]$ лето'!p1314-'[2]$ лето'!o1314-'[2]$ лето'!n1314-'[2]$ лето'!m1314-'[2]$ лето'!l1314+'[2]$ лето'!k1314+'[2]$ лето'!q1314+'[2]$ лето'!w1314+'[2]$ лето'!ac1314+'[2]$ лето'!ai1314+'[2]$ лето'!ao1314</f>
        <v>8</v>
      </c>
      <c r="I1314" s="109" t="n">
        <f aca="false">'[2]$ лето'!ay1314*1.1</f>
        <v>2343</v>
      </c>
      <c r="J1314" s="85" t="n">
        <v>2012</v>
      </c>
    </row>
    <row r="1315" customFormat="false" ht="15" hidden="false" customHeight="false" outlineLevel="0" collapsed="false">
      <c r="A1315" s="127" t="s">
        <v>1893</v>
      </c>
      <c r="B1315" s="107" t="s">
        <v>564</v>
      </c>
      <c r="C1315" s="116" t="s">
        <v>1762</v>
      </c>
      <c r="D1315" s="116"/>
      <c r="E1315" s="116"/>
      <c r="F1315" s="116"/>
      <c r="G1315" s="108" t="s">
        <v>520</v>
      </c>
      <c r="H1315" s="105" t="n">
        <f aca="false">'[2]$ лето'!j1315-'[2]$ лето'!au1315-'[2]$ лето'!at1315-'[2]$ лето'!as1315-'[2]$ лето'!ar1315-'[2]$ лето'!aq1315-'[2]$ лето'!ap1315-'[2]$ лето'!an1315-'[2]$ лето'!am1315-'[2]$ лето'!al1315-'[2]$ лето'!ak1315-'[2]$ лето'!aj1315-'[2]$ лето'!ah1315-'[2]$ лето'!ag1315-'[2]$ лето'!af1315-'[2]$ лето'!ae1315-'[2]$ лето'!ad1315-'[2]$ лето'!ab1315-'[2]$ лето'!aa1315-'[2]$ лето'!z1315-'[2]$ лето'!y1315-'[2]$ лето'!x1315-'[2]$ лето'!v1315-'[2]$ лето'!u1315-'[2]$ лето'!t1315-'[2]$ лето'!s1315-'[2]$ лето'!r1315-'[2]$ лето'!p1315-'[2]$ лето'!o1315-'[2]$ лето'!n1315-'[2]$ лето'!m1315-'[2]$ лето'!l1315+'[2]$ лето'!k1315+'[2]$ лето'!q1315+'[2]$ лето'!w1315+'[2]$ лето'!ac1315+'[2]$ лето'!ai1315+'[2]$ лето'!ao1315</f>
        <v>4</v>
      </c>
      <c r="I1315" s="109" t="n">
        <f aca="false">'[2]$ лето'!ay1315*1.1</f>
        <v>1694</v>
      </c>
      <c r="J1315" s="85" t="n">
        <v>2017</v>
      </c>
    </row>
    <row r="1316" customFormat="false" ht="15" hidden="true" customHeight="false" outlineLevel="0" collapsed="false">
      <c r="A1316" s="127" t="s">
        <v>1896</v>
      </c>
      <c r="B1316" s="107" t="s">
        <v>568</v>
      </c>
      <c r="C1316" s="116" t="s">
        <v>1897</v>
      </c>
      <c r="D1316" s="116"/>
      <c r="E1316" s="116"/>
      <c r="F1316" s="116"/>
      <c r="G1316" s="108"/>
      <c r="H1316" s="105" t="n">
        <f aca="false">'[2]$ лето'!j1316-'[2]$ лето'!au1316-'[2]$ лето'!at1316-'[2]$ лето'!as1316-'[2]$ лето'!ar1316-'[2]$ лето'!aq1316-'[2]$ лето'!ap1316-'[2]$ лето'!an1316-'[2]$ лето'!am1316-'[2]$ лето'!al1316-'[2]$ лето'!ak1316-'[2]$ лето'!aj1316-'[2]$ лето'!ah1316-'[2]$ лето'!ag1316-'[2]$ лето'!af1316-'[2]$ лето'!ae1316-'[2]$ лето'!ad1316-'[2]$ лето'!ab1316-'[2]$ лето'!aa1316-'[2]$ лето'!z1316-'[2]$ лето'!y1316-'[2]$ лето'!x1316-'[2]$ лето'!v1316-'[2]$ лето'!u1316-'[2]$ лето'!t1316-'[2]$ лето'!s1316-'[2]$ лето'!r1316-'[2]$ лето'!p1316-'[2]$ лето'!o1316-'[2]$ лето'!n1316-'[2]$ лето'!m1316-'[2]$ лето'!l1316+'[2]$ лето'!k1316+'[2]$ лето'!q1316+'[2]$ лето'!w1316+'[2]$ лето'!ac1316+'[2]$ лето'!ai1316+'[2]$ лето'!ao1316</f>
        <v>0</v>
      </c>
      <c r="I1316" s="109" t="n">
        <f aca="false">'[2]$ лето'!ay1316*1.1</f>
        <v>2156</v>
      </c>
    </row>
    <row r="1317" customFormat="false" ht="15" hidden="false" customHeight="false" outlineLevel="0" collapsed="false">
      <c r="A1317" s="127" t="s">
        <v>1896</v>
      </c>
      <c r="B1317" s="107" t="s">
        <v>646</v>
      </c>
      <c r="C1317" s="116" t="s">
        <v>1898</v>
      </c>
      <c r="D1317" s="116"/>
      <c r="E1317" s="116"/>
      <c r="F1317" s="116"/>
      <c r="G1317" s="108" t="s">
        <v>843</v>
      </c>
      <c r="H1317" s="105" t="n">
        <f aca="false">'[2]$ лето'!j1317-'[2]$ лето'!au1317-'[2]$ лето'!at1317-'[2]$ лето'!as1317-'[2]$ лето'!ar1317-'[2]$ лето'!aq1317-'[2]$ лето'!ap1317-'[2]$ лето'!an1317-'[2]$ лето'!am1317-'[2]$ лето'!al1317-'[2]$ лето'!ak1317-'[2]$ лето'!aj1317-'[2]$ лето'!ah1317-'[2]$ лето'!ag1317-'[2]$ лето'!af1317-'[2]$ лето'!ae1317-'[2]$ лето'!ad1317-'[2]$ лето'!ab1317-'[2]$ лето'!aa1317-'[2]$ лето'!z1317-'[2]$ лето'!y1317-'[2]$ лето'!x1317-'[2]$ лето'!v1317-'[2]$ лето'!u1317-'[2]$ лето'!t1317-'[2]$ лето'!s1317-'[2]$ лето'!r1317-'[2]$ лето'!p1317-'[2]$ лето'!o1317-'[2]$ лето'!n1317-'[2]$ лето'!m1317-'[2]$ лето'!l1317+'[2]$ лето'!k1317+'[2]$ лето'!q1317+'[2]$ лето'!w1317+'[2]$ лето'!ac1317+'[2]$ лето'!ai1317+'[2]$ лето'!ao1317</f>
        <v>2</v>
      </c>
      <c r="I1317" s="109" t="n">
        <f aca="false">'[2]$ лето'!ay1317*1.1</f>
        <v>1386</v>
      </c>
    </row>
    <row r="1318" customFormat="false" ht="15" hidden="true" customHeight="false" outlineLevel="0" collapsed="false">
      <c r="A1318" s="119" t="s">
        <v>1896</v>
      </c>
      <c r="B1318" s="115" t="s">
        <v>615</v>
      </c>
      <c r="C1318" s="116" t="s">
        <v>1899</v>
      </c>
      <c r="D1318" s="116"/>
      <c r="E1318" s="116"/>
      <c r="F1318" s="116"/>
      <c r="G1318" s="108"/>
      <c r="H1318" s="105" t="n">
        <f aca="false">'[2]$ лето'!j1318-'[2]$ лето'!au1318-'[2]$ лето'!at1318-'[2]$ лето'!as1318-'[2]$ лето'!ar1318-'[2]$ лето'!aq1318-'[2]$ лето'!ap1318-'[2]$ лето'!an1318-'[2]$ лето'!am1318-'[2]$ лето'!al1318-'[2]$ лето'!ak1318-'[2]$ лето'!aj1318-'[2]$ лето'!ah1318-'[2]$ лето'!ag1318-'[2]$ лето'!af1318-'[2]$ лето'!ae1318-'[2]$ лето'!ad1318-'[2]$ лето'!ab1318-'[2]$ лето'!aa1318-'[2]$ лето'!z1318-'[2]$ лето'!y1318-'[2]$ лето'!x1318-'[2]$ лето'!v1318-'[2]$ лето'!u1318-'[2]$ лето'!t1318-'[2]$ лето'!s1318-'[2]$ лето'!r1318-'[2]$ лето'!p1318-'[2]$ лето'!o1318-'[2]$ лето'!n1318-'[2]$ лето'!m1318-'[2]$ лето'!l1318+'[2]$ лето'!k1318+'[2]$ лето'!q1318+'[2]$ лето'!w1318+'[2]$ лето'!ac1318+'[2]$ лето'!ai1318+'[2]$ лето'!ao1318</f>
        <v>0</v>
      </c>
      <c r="I1318" s="109" t="n">
        <f aca="false">'[2]$ лето'!ay1318*1.1</f>
        <v>2310</v>
      </c>
    </row>
    <row r="1319" customFormat="false" ht="15" hidden="true" customHeight="false" outlineLevel="0" collapsed="false">
      <c r="A1319" s="119" t="s">
        <v>1896</v>
      </c>
      <c r="B1319" s="115" t="s">
        <v>589</v>
      </c>
      <c r="C1319" s="116" t="s">
        <v>1900</v>
      </c>
      <c r="D1319" s="116"/>
      <c r="E1319" s="116"/>
      <c r="F1319" s="116"/>
      <c r="G1319" s="108"/>
      <c r="H1319" s="105" t="n">
        <f aca="false">'[2]$ лето'!j1319-'[2]$ лето'!au1319-'[2]$ лето'!at1319-'[2]$ лето'!as1319-'[2]$ лето'!ar1319-'[2]$ лето'!aq1319-'[2]$ лето'!ap1319-'[2]$ лето'!an1319-'[2]$ лето'!am1319-'[2]$ лето'!al1319-'[2]$ лето'!ak1319-'[2]$ лето'!aj1319-'[2]$ лето'!ah1319-'[2]$ лето'!ag1319-'[2]$ лето'!af1319-'[2]$ лето'!ae1319-'[2]$ лето'!ad1319-'[2]$ лето'!ab1319-'[2]$ лето'!aa1319-'[2]$ лето'!z1319-'[2]$ лето'!y1319-'[2]$ лето'!x1319-'[2]$ лето'!v1319-'[2]$ лето'!u1319-'[2]$ лето'!t1319-'[2]$ лето'!s1319-'[2]$ лето'!r1319-'[2]$ лето'!p1319-'[2]$ лето'!o1319-'[2]$ лето'!n1319-'[2]$ лето'!m1319-'[2]$ лето'!l1319+'[2]$ лето'!k1319+'[2]$ лето'!q1319+'[2]$ лето'!w1319+'[2]$ лето'!ac1319+'[2]$ лето'!ai1319+'[2]$ лето'!ao1319</f>
        <v>0</v>
      </c>
      <c r="I1319" s="109" t="n">
        <f aca="false">'[2]$ лето'!ay1319*1.1</f>
        <v>2310</v>
      </c>
    </row>
    <row r="1320" customFormat="false" ht="15" hidden="false" customHeight="false" outlineLevel="0" collapsed="false">
      <c r="A1320" s="127" t="s">
        <v>1901</v>
      </c>
      <c r="B1320" s="115" t="s">
        <v>1902</v>
      </c>
      <c r="C1320" s="116" t="s">
        <v>1903</v>
      </c>
      <c r="D1320" s="116"/>
      <c r="E1320" s="116"/>
      <c r="F1320" s="116"/>
      <c r="G1320" s="108"/>
      <c r="H1320" s="105" t="n">
        <f aca="false">'[2]$ лето'!j1320-'[2]$ лето'!au1320-'[2]$ лето'!at1320-'[2]$ лето'!as1320-'[2]$ лето'!ar1320-'[2]$ лето'!aq1320-'[2]$ лето'!ap1320-'[2]$ лето'!an1320-'[2]$ лето'!am1320-'[2]$ лето'!al1320-'[2]$ лето'!ak1320-'[2]$ лето'!aj1320-'[2]$ лето'!ah1320-'[2]$ лето'!ag1320-'[2]$ лето'!af1320-'[2]$ лето'!ae1320-'[2]$ лето'!ad1320-'[2]$ лето'!ab1320-'[2]$ лето'!aa1320-'[2]$ лето'!z1320-'[2]$ лето'!y1320-'[2]$ лето'!x1320-'[2]$ лето'!v1320-'[2]$ лето'!u1320-'[2]$ лето'!t1320-'[2]$ лето'!s1320-'[2]$ лето'!r1320-'[2]$ лето'!p1320-'[2]$ лето'!o1320-'[2]$ лето'!n1320-'[2]$ лето'!m1320-'[2]$ лето'!l1320+'[2]$ лето'!k1320+'[2]$ лето'!q1320+'[2]$ лето'!w1320+'[2]$ лето'!ac1320+'[2]$ лето'!ai1320+'[2]$ лето'!ao1320</f>
        <v>12</v>
      </c>
      <c r="I1320" s="109" t="n">
        <f aca="false">'[2]$ лето'!ay1320*1.1</f>
        <v>1478.4</v>
      </c>
    </row>
    <row r="1321" customFormat="false" ht="15" hidden="true" customHeight="false" outlineLevel="0" collapsed="false">
      <c r="A1321" s="127" t="s">
        <v>1901</v>
      </c>
      <c r="B1321" s="115" t="s">
        <v>568</v>
      </c>
      <c r="C1321" s="116" t="s">
        <v>1904</v>
      </c>
      <c r="D1321" s="116"/>
      <c r="E1321" s="116"/>
      <c r="F1321" s="116"/>
      <c r="G1321" s="108"/>
      <c r="H1321" s="105" t="n">
        <f aca="false">'[2]$ лето'!j1321-'[2]$ лето'!au1321-'[2]$ лето'!at1321-'[2]$ лето'!as1321-'[2]$ лето'!ar1321-'[2]$ лето'!aq1321-'[2]$ лето'!ap1321-'[2]$ лето'!an1321-'[2]$ лето'!am1321-'[2]$ лето'!al1321-'[2]$ лето'!ak1321-'[2]$ лето'!aj1321-'[2]$ лето'!ah1321-'[2]$ лето'!ag1321-'[2]$ лето'!af1321-'[2]$ лето'!ae1321-'[2]$ лето'!ad1321-'[2]$ лето'!ab1321-'[2]$ лето'!aa1321-'[2]$ лето'!z1321-'[2]$ лето'!y1321-'[2]$ лето'!x1321-'[2]$ лето'!v1321-'[2]$ лето'!u1321-'[2]$ лето'!t1321-'[2]$ лето'!s1321-'[2]$ лето'!r1321-'[2]$ лето'!p1321-'[2]$ лето'!o1321-'[2]$ лето'!n1321-'[2]$ лето'!m1321-'[2]$ лето'!l1321+'[2]$ лето'!k1321+'[2]$ лето'!q1321+'[2]$ лето'!w1321+'[2]$ лето'!ac1321+'[2]$ лето'!ai1321+'[2]$ лето'!ao1321</f>
        <v>0</v>
      </c>
      <c r="I1321" s="109" t="n">
        <f aca="false">'[2]$ лето'!ay1321*1.1</f>
        <v>2156</v>
      </c>
    </row>
    <row r="1322" customFormat="false" ht="15" hidden="true" customHeight="false" outlineLevel="0" collapsed="false">
      <c r="A1322" s="127" t="s">
        <v>1901</v>
      </c>
      <c r="B1322" s="115" t="s">
        <v>1905</v>
      </c>
      <c r="C1322" s="116" t="s">
        <v>1906</v>
      </c>
      <c r="D1322" s="116"/>
      <c r="E1322" s="116"/>
      <c r="F1322" s="116"/>
      <c r="G1322" s="108"/>
      <c r="H1322" s="105" t="n">
        <f aca="false">'[2]$ лето'!j1322-'[2]$ лето'!au1322-'[2]$ лето'!at1322-'[2]$ лето'!as1322-'[2]$ лето'!ar1322-'[2]$ лето'!aq1322-'[2]$ лето'!ap1322-'[2]$ лето'!an1322-'[2]$ лето'!am1322-'[2]$ лето'!al1322-'[2]$ лето'!ak1322-'[2]$ лето'!aj1322-'[2]$ лето'!ah1322-'[2]$ лето'!ag1322-'[2]$ лето'!af1322-'[2]$ лето'!ae1322-'[2]$ лето'!ad1322-'[2]$ лето'!ab1322-'[2]$ лето'!aa1322-'[2]$ лето'!z1322-'[2]$ лето'!y1322-'[2]$ лето'!x1322-'[2]$ лето'!v1322-'[2]$ лето'!u1322-'[2]$ лето'!t1322-'[2]$ лето'!s1322-'[2]$ лето'!r1322-'[2]$ лето'!p1322-'[2]$ лето'!o1322-'[2]$ лето'!n1322-'[2]$ лето'!m1322-'[2]$ лето'!l1322+'[2]$ лето'!k1322+'[2]$ лето'!q1322+'[2]$ лето'!w1322+'[2]$ лето'!ac1322+'[2]$ лето'!ai1322+'[2]$ лето'!ao1322</f>
        <v>0</v>
      </c>
      <c r="I1322" s="109" t="n">
        <f aca="false">'[2]$ лето'!ay1322*1.1</f>
        <v>1755.6</v>
      </c>
      <c r="J1322" s="85" t="n">
        <v>2017</v>
      </c>
    </row>
    <row r="1323" customFormat="false" ht="15" hidden="true" customHeight="false" outlineLevel="0" collapsed="false">
      <c r="A1323" s="127" t="s">
        <v>1901</v>
      </c>
      <c r="B1323" s="115" t="s">
        <v>583</v>
      </c>
      <c r="C1323" s="116" t="s">
        <v>1907</v>
      </c>
      <c r="D1323" s="116"/>
      <c r="E1323" s="116"/>
      <c r="F1323" s="116"/>
      <c r="G1323" s="108" t="s">
        <v>864</v>
      </c>
      <c r="H1323" s="105" t="n">
        <f aca="false">'[2]$ лето'!j1323-'[2]$ лето'!au1323-'[2]$ лето'!at1323-'[2]$ лето'!as1323-'[2]$ лето'!ar1323-'[2]$ лето'!aq1323-'[2]$ лето'!ap1323-'[2]$ лето'!an1323-'[2]$ лето'!am1323-'[2]$ лето'!al1323-'[2]$ лето'!ak1323-'[2]$ лето'!aj1323-'[2]$ лето'!ah1323-'[2]$ лето'!ag1323-'[2]$ лето'!af1323-'[2]$ лето'!ae1323-'[2]$ лето'!ad1323-'[2]$ лето'!ab1323-'[2]$ лето'!aa1323-'[2]$ лето'!z1323-'[2]$ лето'!y1323-'[2]$ лето'!x1323-'[2]$ лето'!v1323-'[2]$ лето'!u1323-'[2]$ лето'!t1323-'[2]$ лето'!s1323-'[2]$ лето'!r1323-'[2]$ лето'!p1323-'[2]$ лето'!o1323-'[2]$ лето'!n1323-'[2]$ лето'!m1323-'[2]$ лето'!l1323+'[2]$ лето'!k1323+'[2]$ лето'!q1323+'[2]$ лето'!w1323+'[2]$ лето'!ac1323+'[2]$ лето'!ai1323+'[2]$ лето'!ao1323</f>
        <v>0</v>
      </c>
      <c r="I1323" s="109" t="n">
        <f aca="false">'[2]$ лето'!ay1323*1.1</f>
        <v>2310</v>
      </c>
      <c r="J1323" s="85" t="n">
        <v>2018</v>
      </c>
    </row>
    <row r="1324" customFormat="false" ht="15" hidden="true" customHeight="false" outlineLevel="0" collapsed="false">
      <c r="A1324" s="127" t="s">
        <v>1901</v>
      </c>
      <c r="B1324" s="115" t="s">
        <v>666</v>
      </c>
      <c r="C1324" s="116" t="s">
        <v>1908</v>
      </c>
      <c r="D1324" s="116"/>
      <c r="E1324" s="116"/>
      <c r="F1324" s="116"/>
      <c r="G1324" s="108" t="s">
        <v>631</v>
      </c>
      <c r="H1324" s="105" t="n">
        <f aca="false">'[2]$ лето'!j1324-'[2]$ лето'!au1324-'[2]$ лето'!at1324-'[2]$ лето'!as1324-'[2]$ лето'!ar1324-'[2]$ лето'!aq1324-'[2]$ лето'!ap1324-'[2]$ лето'!an1324-'[2]$ лето'!am1324-'[2]$ лето'!al1324-'[2]$ лето'!ak1324-'[2]$ лето'!aj1324-'[2]$ лето'!ah1324-'[2]$ лето'!ag1324-'[2]$ лето'!af1324-'[2]$ лето'!ae1324-'[2]$ лето'!ad1324-'[2]$ лето'!ab1324-'[2]$ лето'!aa1324-'[2]$ лето'!z1324-'[2]$ лето'!y1324-'[2]$ лето'!x1324-'[2]$ лето'!v1324-'[2]$ лето'!u1324-'[2]$ лето'!t1324-'[2]$ лето'!s1324-'[2]$ лето'!r1324-'[2]$ лето'!p1324-'[2]$ лето'!o1324-'[2]$ лето'!n1324-'[2]$ лето'!m1324-'[2]$ лето'!l1324+'[2]$ лето'!k1324+'[2]$ лето'!q1324+'[2]$ лето'!w1324+'[2]$ лето'!ac1324+'[2]$ лето'!ai1324+'[2]$ лето'!ao1324</f>
        <v>0</v>
      </c>
      <c r="I1324" s="109" t="n">
        <f aca="false">'[2]$ лето'!ay1324*1.1</f>
        <v>2464</v>
      </c>
      <c r="J1324" s="85" t="n">
        <v>2015</v>
      </c>
    </row>
    <row r="1325" customFormat="false" ht="15" hidden="true" customHeight="false" outlineLevel="0" collapsed="false">
      <c r="A1325" s="127" t="s">
        <v>1901</v>
      </c>
      <c r="B1325" s="123" t="s">
        <v>615</v>
      </c>
      <c r="C1325" s="115" t="s">
        <v>1909</v>
      </c>
      <c r="D1325" s="115"/>
      <c r="E1325" s="115"/>
      <c r="F1325" s="115"/>
      <c r="G1325" s="108" t="s">
        <v>857</v>
      </c>
      <c r="H1325" s="105" t="n">
        <f aca="false">'[2]$ лето'!j1325-'[2]$ лето'!au1325-'[2]$ лето'!at1325-'[2]$ лето'!as1325-'[2]$ лето'!ar1325-'[2]$ лето'!aq1325-'[2]$ лето'!ap1325-'[2]$ лето'!an1325-'[2]$ лето'!am1325-'[2]$ лето'!al1325-'[2]$ лето'!ak1325-'[2]$ лето'!aj1325-'[2]$ лето'!ah1325-'[2]$ лето'!ag1325-'[2]$ лето'!af1325-'[2]$ лето'!ae1325-'[2]$ лето'!ad1325-'[2]$ лето'!ab1325-'[2]$ лето'!aa1325-'[2]$ лето'!z1325-'[2]$ лето'!y1325-'[2]$ лето'!x1325-'[2]$ лето'!v1325-'[2]$ лето'!u1325-'[2]$ лето'!t1325-'[2]$ лето'!s1325-'[2]$ лето'!r1325-'[2]$ лето'!p1325-'[2]$ лето'!o1325-'[2]$ лето'!n1325-'[2]$ лето'!m1325-'[2]$ лето'!l1325+'[2]$ лето'!k1325+'[2]$ лето'!q1325+'[2]$ лето'!w1325+'[2]$ лето'!ac1325+'[2]$ лето'!ai1325+'[2]$ лето'!ao1325</f>
        <v>0</v>
      </c>
      <c r="I1325" s="109" t="n">
        <f aca="false">'[2]$ лето'!ay1325*1.1</f>
        <v>2156</v>
      </c>
      <c r="J1325" s="85" t="n">
        <v>2017</v>
      </c>
    </row>
    <row r="1326" customFormat="false" ht="15" hidden="true" customHeight="false" outlineLevel="0" collapsed="false">
      <c r="A1326" s="127" t="s">
        <v>1901</v>
      </c>
      <c r="B1326" s="123" t="s">
        <v>564</v>
      </c>
      <c r="C1326" s="115" t="s">
        <v>1910</v>
      </c>
      <c r="D1326" s="115"/>
      <c r="E1326" s="115"/>
      <c r="F1326" s="115"/>
      <c r="G1326" s="108" t="s">
        <v>520</v>
      </c>
      <c r="H1326" s="105" t="n">
        <f aca="false">'[2]$ лето'!j1326-'[2]$ лето'!au1326-'[2]$ лето'!at1326-'[2]$ лето'!as1326-'[2]$ лето'!ar1326-'[2]$ лето'!aq1326-'[2]$ лето'!ap1326-'[2]$ лето'!an1326-'[2]$ лето'!am1326-'[2]$ лето'!al1326-'[2]$ лето'!ak1326-'[2]$ лето'!aj1326-'[2]$ лето'!ah1326-'[2]$ лето'!ag1326-'[2]$ лето'!af1326-'[2]$ лето'!ae1326-'[2]$ лето'!ad1326-'[2]$ лето'!ab1326-'[2]$ лето'!aa1326-'[2]$ лето'!z1326-'[2]$ лето'!y1326-'[2]$ лето'!x1326-'[2]$ лето'!v1326-'[2]$ лето'!u1326-'[2]$ лето'!t1326-'[2]$ лето'!s1326-'[2]$ лето'!r1326-'[2]$ лето'!p1326-'[2]$ лето'!o1326-'[2]$ лето'!n1326-'[2]$ лето'!m1326-'[2]$ лето'!l1326+'[2]$ лето'!k1326+'[2]$ лето'!q1326+'[2]$ лето'!w1326+'[2]$ лето'!ac1326+'[2]$ лето'!ai1326+'[2]$ лето'!ao1326</f>
        <v>0</v>
      </c>
      <c r="I1326" s="109" t="n">
        <f aca="false">'[2]$ лето'!ay1326*1.1</f>
        <v>1601.6</v>
      </c>
      <c r="J1326" s="85" t="n">
        <v>2017</v>
      </c>
    </row>
    <row r="1327" customFormat="false" ht="15" hidden="true" customHeight="false" outlineLevel="0" collapsed="false">
      <c r="A1327" s="127" t="s">
        <v>1911</v>
      </c>
      <c r="B1327" s="123" t="s">
        <v>568</v>
      </c>
      <c r="C1327" s="115" t="s">
        <v>1912</v>
      </c>
      <c r="D1327" s="115"/>
      <c r="E1327" s="115"/>
      <c r="F1327" s="115"/>
      <c r="G1327" s="108" t="s">
        <v>1240</v>
      </c>
      <c r="H1327" s="105" t="n">
        <f aca="false">'[2]$ лето'!j1327-'[2]$ лето'!au1327-'[2]$ лето'!at1327-'[2]$ лето'!as1327-'[2]$ лето'!ar1327-'[2]$ лето'!aq1327-'[2]$ лето'!ap1327-'[2]$ лето'!an1327-'[2]$ лето'!am1327-'[2]$ лето'!al1327-'[2]$ лето'!ak1327-'[2]$ лето'!aj1327-'[2]$ лето'!ah1327-'[2]$ лето'!ag1327-'[2]$ лето'!af1327-'[2]$ лето'!ae1327-'[2]$ лето'!ad1327-'[2]$ лето'!ab1327-'[2]$ лето'!aa1327-'[2]$ лето'!z1327-'[2]$ лето'!y1327-'[2]$ лето'!x1327-'[2]$ лето'!v1327-'[2]$ лето'!u1327-'[2]$ лето'!t1327-'[2]$ лето'!s1327-'[2]$ лето'!r1327-'[2]$ лето'!p1327-'[2]$ лето'!o1327-'[2]$ лето'!n1327-'[2]$ лето'!m1327-'[2]$ лето'!l1327+'[2]$ лето'!k1327+'[2]$ лето'!q1327+'[2]$ лето'!w1327+'[2]$ лето'!ac1327+'[2]$ лето'!ai1327+'[2]$ лето'!ao1327</f>
        <v>0</v>
      </c>
      <c r="I1327" s="109" t="n">
        <f aca="false">'[2]$ лето'!ay1327*1.1</f>
        <v>2833.6</v>
      </c>
      <c r="J1327" s="85" t="n">
        <v>2017</v>
      </c>
    </row>
    <row r="1328" customFormat="false" ht="15" hidden="true" customHeight="false" outlineLevel="0" collapsed="false">
      <c r="A1328" s="127" t="s">
        <v>1911</v>
      </c>
      <c r="B1328" s="123" t="s">
        <v>601</v>
      </c>
      <c r="C1328" s="107" t="s">
        <v>1913</v>
      </c>
      <c r="D1328" s="107"/>
      <c r="E1328" s="107"/>
      <c r="F1328" s="107"/>
      <c r="G1328" s="108" t="s">
        <v>876</v>
      </c>
      <c r="H1328" s="105" t="n">
        <f aca="false">'[2]$ лето'!j1328-'[2]$ лето'!au1328-'[2]$ лето'!at1328-'[2]$ лето'!as1328-'[2]$ лето'!ar1328-'[2]$ лето'!aq1328-'[2]$ лето'!ap1328-'[2]$ лето'!an1328-'[2]$ лето'!am1328-'[2]$ лето'!al1328-'[2]$ лето'!ak1328-'[2]$ лето'!aj1328-'[2]$ лето'!ah1328-'[2]$ лето'!ag1328-'[2]$ лето'!af1328-'[2]$ лето'!ae1328-'[2]$ лето'!ad1328-'[2]$ лето'!ab1328-'[2]$ лето'!aa1328-'[2]$ лето'!z1328-'[2]$ лето'!y1328-'[2]$ лето'!x1328-'[2]$ лето'!v1328-'[2]$ лето'!u1328-'[2]$ лето'!t1328-'[2]$ лето'!s1328-'[2]$ лето'!r1328-'[2]$ лето'!p1328-'[2]$ лето'!o1328-'[2]$ лето'!n1328-'[2]$ лето'!m1328-'[2]$ лето'!l1328+'[2]$ лето'!k1328+'[2]$ лето'!q1328+'[2]$ лето'!w1328+'[2]$ лето'!ac1328+'[2]$ лето'!ai1328+'[2]$ лето'!ao1328</f>
        <v>0</v>
      </c>
      <c r="I1328" s="109" t="n">
        <f aca="false">'[2]$ лето'!ay1328*1.1</f>
        <v>3080</v>
      </c>
    </row>
    <row r="1329" customFormat="false" ht="15" hidden="false" customHeight="false" outlineLevel="0" collapsed="false">
      <c r="A1329" s="127" t="s">
        <v>1911</v>
      </c>
      <c r="B1329" s="123" t="s">
        <v>658</v>
      </c>
      <c r="C1329" s="107" t="s">
        <v>1914</v>
      </c>
      <c r="D1329" s="107"/>
      <c r="E1329" s="116"/>
      <c r="F1329" s="116"/>
      <c r="G1329" s="108" t="s">
        <v>570</v>
      </c>
      <c r="H1329" s="105" t="n">
        <f aca="false">'[2]$ лето'!j1329-'[2]$ лето'!au1329-'[2]$ лето'!at1329-'[2]$ лето'!as1329-'[2]$ лето'!ar1329-'[2]$ лето'!aq1329-'[2]$ лето'!ap1329-'[2]$ лето'!an1329-'[2]$ лето'!am1329-'[2]$ лето'!al1329-'[2]$ лето'!ak1329-'[2]$ лето'!aj1329-'[2]$ лето'!ah1329-'[2]$ лето'!ag1329-'[2]$ лето'!af1329-'[2]$ лето'!ae1329-'[2]$ лето'!ad1329-'[2]$ лето'!ab1329-'[2]$ лето'!aa1329-'[2]$ лето'!z1329-'[2]$ лето'!y1329-'[2]$ лето'!x1329-'[2]$ лето'!v1329-'[2]$ лето'!u1329-'[2]$ лето'!t1329-'[2]$ лето'!s1329-'[2]$ лето'!r1329-'[2]$ лето'!p1329-'[2]$ лето'!o1329-'[2]$ лето'!n1329-'[2]$ лето'!m1329-'[2]$ лето'!l1329+'[2]$ лето'!k1329+'[2]$ лето'!q1329+'[2]$ лето'!w1329+'[2]$ лето'!ac1329+'[2]$ лето'!ai1329+'[2]$ лето'!ao1329</f>
        <v>4</v>
      </c>
      <c r="I1329" s="109" t="n">
        <f aca="false">'[2]$ лето'!ay1329*1.1</f>
        <v>4004</v>
      </c>
      <c r="J1329" s="85" t="n">
        <v>2017</v>
      </c>
    </row>
    <row r="1330" customFormat="false" ht="15" hidden="true" customHeight="false" outlineLevel="0" collapsed="false">
      <c r="A1330" s="127" t="s">
        <v>1911</v>
      </c>
      <c r="B1330" s="123" t="s">
        <v>744</v>
      </c>
      <c r="C1330" s="116" t="s">
        <v>1915</v>
      </c>
      <c r="D1330" s="116"/>
      <c r="E1330" s="116"/>
      <c r="F1330" s="116"/>
      <c r="G1330" s="108" t="s">
        <v>1240</v>
      </c>
      <c r="H1330" s="105" t="n">
        <f aca="false">'[2]$ лето'!j1330-'[2]$ лето'!au1330-'[2]$ лето'!at1330-'[2]$ лето'!as1330-'[2]$ лето'!ar1330-'[2]$ лето'!aq1330-'[2]$ лето'!ap1330-'[2]$ лето'!an1330-'[2]$ лето'!am1330-'[2]$ лето'!al1330-'[2]$ лето'!ak1330-'[2]$ лето'!aj1330-'[2]$ лето'!ah1330-'[2]$ лето'!ag1330-'[2]$ лето'!af1330-'[2]$ лето'!ae1330-'[2]$ лето'!ad1330-'[2]$ лето'!ab1330-'[2]$ лето'!aa1330-'[2]$ лето'!z1330-'[2]$ лето'!y1330-'[2]$ лето'!x1330-'[2]$ лето'!v1330-'[2]$ лето'!u1330-'[2]$ лето'!t1330-'[2]$ лето'!s1330-'[2]$ лето'!r1330-'[2]$ лето'!p1330-'[2]$ лето'!o1330-'[2]$ лето'!n1330-'[2]$ лето'!m1330-'[2]$ лето'!l1330+'[2]$ лето'!k1330+'[2]$ лето'!q1330+'[2]$ лето'!w1330+'[2]$ лето'!ac1330+'[2]$ лето'!ai1330+'[2]$ лето'!ao1330</f>
        <v>0</v>
      </c>
      <c r="I1330" s="109" t="n">
        <f aca="false">'[2]$ лето'!ay1330*1.1</f>
        <v>4620</v>
      </c>
    </row>
    <row r="1331" customFormat="false" ht="15" hidden="true" customHeight="false" outlineLevel="0" collapsed="false">
      <c r="A1331" s="127" t="s">
        <v>1911</v>
      </c>
      <c r="B1331" s="123" t="s">
        <v>606</v>
      </c>
      <c r="C1331" s="107" t="s">
        <v>1916</v>
      </c>
      <c r="D1331" s="107"/>
      <c r="E1331" s="107"/>
      <c r="F1331" s="107"/>
      <c r="G1331" s="108"/>
      <c r="H1331" s="105" t="n">
        <f aca="false">'[2]$ лето'!j1331-'[2]$ лето'!au1331-'[2]$ лето'!at1331-'[2]$ лето'!as1331-'[2]$ лето'!ar1331-'[2]$ лето'!aq1331-'[2]$ лето'!ap1331-'[2]$ лето'!an1331-'[2]$ лето'!am1331-'[2]$ лето'!al1331-'[2]$ лето'!ak1331-'[2]$ лето'!aj1331-'[2]$ лето'!ah1331-'[2]$ лето'!ag1331-'[2]$ лето'!af1331-'[2]$ лето'!ae1331-'[2]$ лето'!ad1331-'[2]$ лето'!ab1331-'[2]$ лето'!aa1331-'[2]$ лето'!z1331-'[2]$ лето'!y1331-'[2]$ лето'!x1331-'[2]$ лето'!v1331-'[2]$ лето'!u1331-'[2]$ лето'!t1331-'[2]$ лето'!s1331-'[2]$ лето'!r1331-'[2]$ лето'!p1331-'[2]$ лето'!o1331-'[2]$ лето'!n1331-'[2]$ лето'!m1331-'[2]$ лето'!l1331+'[2]$ лето'!k1331+'[2]$ лето'!q1331+'[2]$ лето'!w1331+'[2]$ лето'!ac1331+'[2]$ лето'!ai1331+'[2]$ лето'!ao1331</f>
        <v>0</v>
      </c>
      <c r="I1331" s="109" t="n">
        <f aca="false">'[2]$ лето'!ay1331*1.1</f>
        <v>2710.4</v>
      </c>
    </row>
    <row r="1332" customFormat="false" ht="15" hidden="true" customHeight="false" outlineLevel="0" collapsed="false">
      <c r="A1332" s="127" t="s">
        <v>1911</v>
      </c>
      <c r="B1332" s="123" t="s">
        <v>1130</v>
      </c>
      <c r="C1332" s="107" t="s">
        <v>1917</v>
      </c>
      <c r="D1332" s="107"/>
      <c r="E1332" s="107"/>
      <c r="F1332" s="107"/>
      <c r="G1332" s="108"/>
      <c r="H1332" s="105" t="n">
        <f aca="false">'[2]$ лето'!j1332-'[2]$ лето'!au1332-'[2]$ лето'!at1332-'[2]$ лето'!as1332-'[2]$ лето'!ar1332-'[2]$ лето'!aq1332-'[2]$ лето'!ap1332-'[2]$ лето'!an1332-'[2]$ лето'!am1332-'[2]$ лето'!al1332-'[2]$ лето'!ak1332-'[2]$ лето'!aj1332-'[2]$ лето'!ah1332-'[2]$ лето'!ag1332-'[2]$ лето'!af1332-'[2]$ лето'!ae1332-'[2]$ лето'!ad1332-'[2]$ лето'!ab1332-'[2]$ лето'!aa1332-'[2]$ лето'!z1332-'[2]$ лето'!y1332-'[2]$ лето'!x1332-'[2]$ лето'!v1332-'[2]$ лето'!u1332-'[2]$ лето'!t1332-'[2]$ лето'!s1332-'[2]$ лето'!r1332-'[2]$ лето'!p1332-'[2]$ лето'!o1332-'[2]$ лето'!n1332-'[2]$ лето'!m1332-'[2]$ лето'!l1332+'[2]$ лето'!k1332+'[2]$ лето'!q1332+'[2]$ лето'!w1332+'[2]$ лето'!ac1332+'[2]$ лето'!ai1332+'[2]$ лето'!ao1332</f>
        <v>0</v>
      </c>
      <c r="I1332" s="109" t="n">
        <f aca="false">'[2]$ лето'!ay1332*1.1</f>
        <v>1694</v>
      </c>
    </row>
    <row r="1333" customFormat="false" ht="15" hidden="true" customHeight="false" outlineLevel="0" collapsed="false">
      <c r="A1333" s="127" t="s">
        <v>1911</v>
      </c>
      <c r="B1333" s="123" t="s">
        <v>668</v>
      </c>
      <c r="C1333" s="107" t="s">
        <v>1566</v>
      </c>
      <c r="D1333" s="107"/>
      <c r="E1333" s="107"/>
      <c r="F1333" s="107"/>
      <c r="G1333" s="108" t="s">
        <v>609</v>
      </c>
      <c r="H1333" s="105" t="n">
        <f aca="false">'[2]$ лето'!j1333-'[2]$ лето'!au1333-'[2]$ лето'!at1333-'[2]$ лето'!as1333-'[2]$ лето'!ar1333-'[2]$ лето'!aq1333-'[2]$ лето'!ap1333-'[2]$ лето'!an1333-'[2]$ лето'!am1333-'[2]$ лето'!al1333-'[2]$ лето'!ak1333-'[2]$ лето'!aj1333-'[2]$ лето'!ah1333-'[2]$ лето'!ag1333-'[2]$ лето'!af1333-'[2]$ лето'!ae1333-'[2]$ лето'!ad1333-'[2]$ лето'!ab1333-'[2]$ лето'!aa1333-'[2]$ лето'!z1333-'[2]$ лето'!y1333-'[2]$ лето'!x1333-'[2]$ лето'!v1333-'[2]$ лето'!u1333-'[2]$ лето'!t1333-'[2]$ лето'!s1333-'[2]$ лето'!r1333-'[2]$ лето'!p1333-'[2]$ лето'!o1333-'[2]$ лето'!n1333-'[2]$ лето'!m1333-'[2]$ лето'!l1333+'[2]$ лето'!k1333+'[2]$ лето'!q1333+'[2]$ лето'!w1333+'[2]$ лето'!ac1333+'[2]$ лето'!ai1333+'[2]$ лето'!ao1333</f>
        <v>0</v>
      </c>
      <c r="I1333" s="109" t="n">
        <f aca="false">'[2]$ лето'!ay1333*1.1</f>
        <v>2464</v>
      </c>
      <c r="J1333" s="85" t="n">
        <v>2015</v>
      </c>
    </row>
    <row r="1334" customFormat="false" ht="15" hidden="false" customHeight="false" outlineLevel="0" collapsed="false">
      <c r="A1334" s="127" t="s">
        <v>1911</v>
      </c>
      <c r="B1334" s="123" t="s">
        <v>574</v>
      </c>
      <c r="C1334" s="116" t="s">
        <v>1918</v>
      </c>
      <c r="D1334" s="116"/>
      <c r="E1334" s="116"/>
      <c r="F1334" s="116"/>
      <c r="G1334" s="108" t="s">
        <v>576</v>
      </c>
      <c r="H1334" s="105" t="n">
        <f aca="false">'[2]$ лето'!j1334-'[2]$ лето'!au1334-'[2]$ лето'!at1334-'[2]$ лето'!as1334-'[2]$ лето'!ar1334-'[2]$ лето'!aq1334-'[2]$ лето'!ap1334-'[2]$ лето'!an1334-'[2]$ лето'!am1334-'[2]$ лето'!al1334-'[2]$ лето'!ak1334-'[2]$ лето'!aj1334-'[2]$ лето'!ah1334-'[2]$ лето'!ag1334-'[2]$ лето'!af1334-'[2]$ лето'!ae1334-'[2]$ лето'!ad1334-'[2]$ лето'!ab1334-'[2]$ лето'!aa1334-'[2]$ лето'!z1334-'[2]$ лето'!y1334-'[2]$ лето'!x1334-'[2]$ лето'!v1334-'[2]$ лето'!u1334-'[2]$ лето'!t1334-'[2]$ лето'!s1334-'[2]$ лето'!r1334-'[2]$ лето'!p1334-'[2]$ лето'!o1334-'[2]$ лето'!n1334-'[2]$ лето'!m1334-'[2]$ лето'!l1334+'[2]$ лето'!k1334+'[2]$ лето'!q1334+'[2]$ лето'!w1334+'[2]$ лето'!ac1334+'[2]$ лето'!ai1334+'[2]$ лето'!ao1334</f>
        <v>8</v>
      </c>
      <c r="I1334" s="109" t="n">
        <f aca="false">'[2]$ лето'!ay1334*1.1</f>
        <v>2686.64</v>
      </c>
      <c r="J1334" s="85" t="n">
        <v>2018</v>
      </c>
    </row>
    <row r="1335" customFormat="false" ht="15" hidden="false" customHeight="false" outlineLevel="0" collapsed="false">
      <c r="A1335" s="127" t="s">
        <v>1911</v>
      </c>
      <c r="B1335" s="123" t="s">
        <v>583</v>
      </c>
      <c r="C1335" s="116" t="s">
        <v>1919</v>
      </c>
      <c r="D1335" s="116"/>
      <c r="E1335" s="116"/>
      <c r="F1335" s="116"/>
      <c r="G1335" s="108" t="s">
        <v>933</v>
      </c>
      <c r="H1335" s="105" t="n">
        <f aca="false">'[2]$ лето'!j1335-'[2]$ лето'!au1335-'[2]$ лето'!at1335-'[2]$ лето'!as1335-'[2]$ лето'!ar1335-'[2]$ лето'!aq1335-'[2]$ лето'!ap1335-'[2]$ лето'!an1335-'[2]$ лето'!am1335-'[2]$ лето'!al1335-'[2]$ лето'!ak1335-'[2]$ лето'!aj1335-'[2]$ лето'!ah1335-'[2]$ лето'!ag1335-'[2]$ лето'!af1335-'[2]$ лето'!ae1335-'[2]$ лето'!ad1335-'[2]$ лето'!ab1335-'[2]$ лето'!aa1335-'[2]$ лето'!z1335-'[2]$ лето'!y1335-'[2]$ лето'!x1335-'[2]$ лето'!v1335-'[2]$ лето'!u1335-'[2]$ лето'!t1335-'[2]$ лето'!s1335-'[2]$ лето'!r1335-'[2]$ лето'!p1335-'[2]$ лето'!o1335-'[2]$ лето'!n1335-'[2]$ лето'!m1335-'[2]$ лето'!l1335+'[2]$ лето'!k1335+'[2]$ лето'!q1335+'[2]$ лето'!w1335+'[2]$ лето'!ac1335+'[2]$ лето'!ai1335+'[2]$ лето'!ao1335</f>
        <v>8</v>
      </c>
      <c r="I1335" s="109" t="n">
        <f aca="false">'[2]$ лето'!ay1335*1.1</f>
        <v>2618</v>
      </c>
      <c r="J1335" s="85" t="n">
        <v>2018</v>
      </c>
    </row>
    <row r="1336" customFormat="false" ht="15" hidden="false" customHeight="false" outlineLevel="0" collapsed="false">
      <c r="A1336" s="127" t="s">
        <v>1911</v>
      </c>
      <c r="B1336" s="123" t="s">
        <v>613</v>
      </c>
      <c r="C1336" s="116" t="s">
        <v>1550</v>
      </c>
      <c r="D1336" s="116"/>
      <c r="E1336" s="116"/>
      <c r="F1336" s="116"/>
      <c r="G1336" s="108"/>
      <c r="H1336" s="105" t="n">
        <f aca="false">'[2]$ лето'!j1336-'[2]$ лето'!au1336-'[2]$ лето'!at1336-'[2]$ лето'!as1336-'[2]$ лето'!ar1336-'[2]$ лето'!aq1336-'[2]$ лето'!ap1336-'[2]$ лето'!an1336-'[2]$ лето'!am1336-'[2]$ лето'!al1336-'[2]$ лето'!ak1336-'[2]$ лето'!aj1336-'[2]$ лето'!ah1336-'[2]$ лето'!ag1336-'[2]$ лето'!af1336-'[2]$ лето'!ae1336-'[2]$ лето'!ad1336-'[2]$ лето'!ab1336-'[2]$ лето'!aa1336-'[2]$ лето'!z1336-'[2]$ лето'!y1336-'[2]$ лето'!x1336-'[2]$ лето'!v1336-'[2]$ лето'!u1336-'[2]$ лето'!t1336-'[2]$ лето'!s1336-'[2]$ лето'!r1336-'[2]$ лето'!p1336-'[2]$ лето'!o1336-'[2]$ лето'!n1336-'[2]$ лето'!m1336-'[2]$ лето'!l1336+'[2]$ лето'!k1336+'[2]$ лето'!q1336+'[2]$ лето'!w1336+'[2]$ лето'!ac1336+'[2]$ лето'!ai1336+'[2]$ лето'!ao1336</f>
        <v>6</v>
      </c>
      <c r="I1336" s="109" t="n">
        <f aca="false">'[2]$ лето'!ay1336*1.1</f>
        <v>2156</v>
      </c>
      <c r="J1336" s="85" t="n">
        <v>2016</v>
      </c>
    </row>
    <row r="1337" customFormat="false" ht="15" hidden="false" customHeight="false" outlineLevel="0" collapsed="false">
      <c r="A1337" s="127" t="s">
        <v>1911</v>
      </c>
      <c r="B1337" s="123" t="s">
        <v>593</v>
      </c>
      <c r="C1337" s="116" t="s">
        <v>1321</v>
      </c>
      <c r="D1337" s="116"/>
      <c r="E1337" s="116"/>
      <c r="F1337" s="116"/>
      <c r="G1337" s="108" t="s">
        <v>935</v>
      </c>
      <c r="H1337" s="105" t="n">
        <f aca="false">'[2]$ лето'!j1337-'[2]$ лето'!au1337-'[2]$ лето'!at1337-'[2]$ лето'!as1337-'[2]$ лето'!ar1337-'[2]$ лето'!aq1337-'[2]$ лето'!ap1337-'[2]$ лето'!an1337-'[2]$ лето'!am1337-'[2]$ лето'!al1337-'[2]$ лето'!ak1337-'[2]$ лето'!aj1337-'[2]$ лето'!ah1337-'[2]$ лето'!ag1337-'[2]$ лето'!af1337-'[2]$ лето'!ae1337-'[2]$ лето'!ad1337-'[2]$ лето'!ab1337-'[2]$ лето'!aa1337-'[2]$ лето'!z1337-'[2]$ лето'!y1337-'[2]$ лето'!x1337-'[2]$ лето'!v1337-'[2]$ лето'!u1337-'[2]$ лето'!t1337-'[2]$ лето'!s1337-'[2]$ лето'!r1337-'[2]$ лето'!p1337-'[2]$ лето'!o1337-'[2]$ лето'!n1337-'[2]$ лето'!m1337-'[2]$ лето'!l1337+'[2]$ лето'!k1337+'[2]$ лето'!q1337+'[2]$ лето'!w1337+'[2]$ лето'!ac1337+'[2]$ лето'!ai1337+'[2]$ лето'!ao1337</f>
        <v>4</v>
      </c>
      <c r="I1337" s="109" t="n">
        <f aca="false">'[2]$ лето'!ay1337*1.1</f>
        <v>4096.4</v>
      </c>
      <c r="J1337" s="85" t="n">
        <v>2015</v>
      </c>
    </row>
    <row r="1338" customFormat="false" ht="15" hidden="false" customHeight="false" outlineLevel="0" collapsed="false">
      <c r="A1338" s="127" t="s">
        <v>1911</v>
      </c>
      <c r="B1338" s="115" t="s">
        <v>589</v>
      </c>
      <c r="C1338" s="126" t="s">
        <v>1920</v>
      </c>
      <c r="D1338" s="126"/>
      <c r="E1338" s="126"/>
      <c r="F1338" s="126"/>
      <c r="G1338" s="108" t="s">
        <v>626</v>
      </c>
      <c r="H1338" s="105" t="n">
        <f aca="false">'[2]$ лето'!j1338-'[2]$ лето'!au1338-'[2]$ лето'!at1338-'[2]$ лето'!as1338-'[2]$ лето'!ar1338-'[2]$ лето'!aq1338-'[2]$ лето'!ap1338-'[2]$ лето'!an1338-'[2]$ лето'!am1338-'[2]$ лето'!al1338-'[2]$ лето'!ak1338-'[2]$ лето'!aj1338-'[2]$ лето'!ah1338-'[2]$ лето'!ag1338-'[2]$ лето'!af1338-'[2]$ лето'!ae1338-'[2]$ лето'!ad1338-'[2]$ лето'!ab1338-'[2]$ лето'!aa1338-'[2]$ лето'!z1338-'[2]$ лето'!y1338-'[2]$ лето'!x1338-'[2]$ лето'!v1338-'[2]$ лето'!u1338-'[2]$ лето'!t1338-'[2]$ лето'!s1338-'[2]$ лето'!r1338-'[2]$ лето'!p1338-'[2]$ лето'!o1338-'[2]$ лето'!n1338-'[2]$ лето'!m1338-'[2]$ лето'!l1338+'[2]$ лето'!k1338+'[2]$ лето'!q1338+'[2]$ лето'!w1338+'[2]$ лето'!ac1338+'[2]$ лето'!ai1338+'[2]$ лето'!ao1338</f>
        <v>4</v>
      </c>
      <c r="I1338" s="109" t="n">
        <f aca="false">'[2]$ лето'!ay1338*1.1</f>
        <v>3967.48</v>
      </c>
      <c r="J1338" s="85" t="n">
        <v>2017</v>
      </c>
    </row>
    <row r="1339" customFormat="false" ht="15" hidden="false" customHeight="false" outlineLevel="0" collapsed="false">
      <c r="A1339" s="127" t="s">
        <v>1911</v>
      </c>
      <c r="B1339" s="115" t="s">
        <v>564</v>
      </c>
      <c r="C1339" s="126" t="s">
        <v>1921</v>
      </c>
      <c r="D1339" s="126"/>
      <c r="E1339" s="126"/>
      <c r="F1339" s="126"/>
      <c r="G1339" s="108" t="s">
        <v>520</v>
      </c>
      <c r="H1339" s="105" t="n">
        <f aca="false">'[2]$ лето'!j1339-'[2]$ лето'!au1339-'[2]$ лето'!at1339-'[2]$ лето'!as1339-'[2]$ лето'!ar1339-'[2]$ лето'!aq1339-'[2]$ лето'!ap1339-'[2]$ лето'!an1339-'[2]$ лето'!am1339-'[2]$ лето'!al1339-'[2]$ лето'!ak1339-'[2]$ лето'!aj1339-'[2]$ лето'!ah1339-'[2]$ лето'!ag1339-'[2]$ лето'!af1339-'[2]$ лето'!ae1339-'[2]$ лето'!ad1339-'[2]$ лето'!ab1339-'[2]$ лето'!aa1339-'[2]$ лето'!z1339-'[2]$ лето'!y1339-'[2]$ лето'!x1339-'[2]$ лето'!v1339-'[2]$ лето'!u1339-'[2]$ лето'!t1339-'[2]$ лето'!s1339-'[2]$ лето'!r1339-'[2]$ лето'!p1339-'[2]$ лето'!o1339-'[2]$ лето'!n1339-'[2]$ лето'!m1339-'[2]$ лето'!l1339+'[2]$ лето'!k1339+'[2]$ лето'!q1339+'[2]$ лето'!w1339+'[2]$ лето'!ac1339+'[2]$ лето'!ai1339+'[2]$ лето'!ao1339</f>
        <v>4</v>
      </c>
      <c r="I1339" s="109" t="n">
        <f aca="false">'[2]$ лето'!ay1339*1.1</f>
        <v>1786.4</v>
      </c>
      <c r="J1339" s="85" t="n">
        <v>2017</v>
      </c>
    </row>
    <row r="1340" customFormat="false" ht="15" hidden="false" customHeight="false" outlineLevel="0" collapsed="false">
      <c r="A1340" s="127" t="s">
        <v>1911</v>
      </c>
      <c r="B1340" s="123" t="s">
        <v>981</v>
      </c>
      <c r="C1340" s="107" t="s">
        <v>1922</v>
      </c>
      <c r="D1340" s="107"/>
      <c r="E1340" s="116"/>
      <c r="F1340" s="116"/>
      <c r="G1340" s="108" t="s">
        <v>933</v>
      </c>
      <c r="H1340" s="105" t="n">
        <f aca="false">'[2]$ лето'!j1340-'[2]$ лето'!au1340-'[2]$ лето'!at1340-'[2]$ лето'!as1340-'[2]$ лето'!ar1340-'[2]$ лето'!aq1340-'[2]$ лето'!ap1340-'[2]$ лето'!an1340-'[2]$ лето'!am1340-'[2]$ лето'!al1340-'[2]$ лето'!ak1340-'[2]$ лето'!aj1340-'[2]$ лето'!ah1340-'[2]$ лето'!ag1340-'[2]$ лето'!af1340-'[2]$ лето'!ae1340-'[2]$ лето'!ad1340-'[2]$ лето'!ab1340-'[2]$ лето'!aa1340-'[2]$ лето'!z1340-'[2]$ лето'!y1340-'[2]$ лето'!x1340-'[2]$ лето'!v1340-'[2]$ лето'!u1340-'[2]$ лето'!t1340-'[2]$ лето'!s1340-'[2]$ лето'!r1340-'[2]$ лето'!p1340-'[2]$ лето'!o1340-'[2]$ лето'!n1340-'[2]$ лето'!m1340-'[2]$ лето'!l1340+'[2]$ лето'!k1340+'[2]$ лето'!q1340+'[2]$ лето'!w1340+'[2]$ лето'!ac1340+'[2]$ лето'!ai1340+'[2]$ лето'!ao1340</f>
        <v>4</v>
      </c>
      <c r="I1340" s="109" t="n">
        <f aca="false">'[2]$ лето'!ay1340*1.1</f>
        <v>3264.8</v>
      </c>
      <c r="J1340" s="85" t="n">
        <v>2018</v>
      </c>
    </row>
    <row r="1341" customFormat="false" ht="15" hidden="true" customHeight="false" outlineLevel="0" collapsed="false">
      <c r="A1341" s="127" t="s">
        <v>1923</v>
      </c>
      <c r="B1341" s="123" t="s">
        <v>741</v>
      </c>
      <c r="C1341" s="107" t="s">
        <v>1399</v>
      </c>
      <c r="D1341" s="107"/>
      <c r="E1341" s="107"/>
      <c r="F1341" s="107"/>
      <c r="G1341" s="108" t="s">
        <v>1037</v>
      </c>
      <c r="H1341" s="105" t="n">
        <f aca="false">'[2]$ лето'!j1341-'[2]$ лето'!au1341-'[2]$ лето'!at1341-'[2]$ лето'!as1341-'[2]$ лето'!ar1341-'[2]$ лето'!aq1341-'[2]$ лето'!ap1341-'[2]$ лето'!an1341-'[2]$ лето'!am1341-'[2]$ лето'!al1341-'[2]$ лето'!ak1341-'[2]$ лето'!aj1341-'[2]$ лето'!ah1341-'[2]$ лето'!ag1341-'[2]$ лето'!af1341-'[2]$ лето'!ae1341-'[2]$ лето'!ad1341-'[2]$ лето'!ab1341-'[2]$ лето'!aa1341-'[2]$ лето'!z1341-'[2]$ лето'!y1341-'[2]$ лето'!x1341-'[2]$ лето'!v1341-'[2]$ лето'!u1341-'[2]$ лето'!t1341-'[2]$ лето'!s1341-'[2]$ лето'!r1341-'[2]$ лето'!p1341-'[2]$ лето'!o1341-'[2]$ лето'!n1341-'[2]$ лето'!m1341-'[2]$ лето'!l1341+'[2]$ лето'!k1341+'[2]$ лето'!q1341+'[2]$ лето'!w1341+'[2]$ лето'!ac1341+'[2]$ лето'!ai1341+'[2]$ лето'!ao1341</f>
        <v>0</v>
      </c>
      <c r="I1341" s="109" t="n">
        <f aca="false">'[2]$ лето'!ay1341*1.1</f>
        <v>3172.4</v>
      </c>
      <c r="J1341" s="85" t="n">
        <v>2018</v>
      </c>
    </row>
    <row r="1342" customFormat="false" ht="15" hidden="true" customHeight="false" outlineLevel="0" collapsed="false">
      <c r="A1342" s="123" t="s">
        <v>1923</v>
      </c>
      <c r="B1342" s="115" t="s">
        <v>668</v>
      </c>
      <c r="C1342" s="116" t="s">
        <v>1924</v>
      </c>
      <c r="D1342" s="116"/>
      <c r="E1342" s="116"/>
      <c r="F1342" s="116"/>
      <c r="G1342" s="108" t="s">
        <v>609</v>
      </c>
      <c r="H1342" s="105" t="n">
        <f aca="false">'[2]$ лето'!j1342-'[2]$ лето'!au1342-'[2]$ лето'!at1342-'[2]$ лето'!as1342-'[2]$ лето'!ar1342-'[2]$ лето'!aq1342-'[2]$ лето'!ap1342-'[2]$ лето'!an1342-'[2]$ лето'!am1342-'[2]$ лето'!al1342-'[2]$ лето'!ak1342-'[2]$ лето'!aj1342-'[2]$ лето'!ah1342-'[2]$ лето'!ag1342-'[2]$ лето'!af1342-'[2]$ лето'!ae1342-'[2]$ лето'!ad1342-'[2]$ лето'!ab1342-'[2]$ лето'!aa1342-'[2]$ лето'!z1342-'[2]$ лето'!y1342-'[2]$ лето'!x1342-'[2]$ лето'!v1342-'[2]$ лето'!u1342-'[2]$ лето'!t1342-'[2]$ лето'!s1342-'[2]$ лето'!r1342-'[2]$ лето'!p1342-'[2]$ лето'!o1342-'[2]$ лето'!n1342-'[2]$ лето'!m1342-'[2]$ лето'!l1342+'[2]$ лето'!k1342+'[2]$ лето'!q1342+'[2]$ лето'!w1342+'[2]$ лето'!ac1342+'[2]$ лето'!ai1342+'[2]$ лето'!ao1342</f>
        <v>0</v>
      </c>
      <c r="I1342" s="109" t="n">
        <f aca="false">'[2]$ лето'!ay1342*1.1</f>
        <v>2816</v>
      </c>
      <c r="J1342" s="85" t="n">
        <v>2017</v>
      </c>
    </row>
    <row r="1343" customFormat="false" ht="15" hidden="false" customHeight="false" outlineLevel="0" collapsed="false">
      <c r="A1343" s="123" t="s">
        <v>1923</v>
      </c>
      <c r="B1343" s="115" t="s">
        <v>574</v>
      </c>
      <c r="C1343" s="116" t="s">
        <v>1925</v>
      </c>
      <c r="D1343" s="116"/>
      <c r="E1343" s="116"/>
      <c r="F1343" s="116"/>
      <c r="G1343" s="108" t="s">
        <v>576</v>
      </c>
      <c r="H1343" s="105" t="n">
        <f aca="false">'[2]$ лето'!j1343-'[2]$ лето'!au1343-'[2]$ лето'!at1343-'[2]$ лето'!as1343-'[2]$ лето'!ar1343-'[2]$ лето'!aq1343-'[2]$ лето'!ap1343-'[2]$ лето'!an1343-'[2]$ лето'!am1343-'[2]$ лето'!al1343-'[2]$ лето'!ak1343-'[2]$ лето'!aj1343-'[2]$ лето'!ah1343-'[2]$ лето'!ag1343-'[2]$ лето'!af1343-'[2]$ лето'!ae1343-'[2]$ лето'!ad1343-'[2]$ лето'!ab1343-'[2]$ лето'!aa1343-'[2]$ лето'!z1343-'[2]$ лето'!y1343-'[2]$ лето'!x1343-'[2]$ лето'!v1343-'[2]$ лето'!u1343-'[2]$ лето'!t1343-'[2]$ лето'!s1343-'[2]$ лето'!r1343-'[2]$ лето'!p1343-'[2]$ лето'!o1343-'[2]$ лето'!n1343-'[2]$ лето'!m1343-'[2]$ лето'!l1343+'[2]$ лето'!k1343+'[2]$ лето'!q1343+'[2]$ лето'!w1343+'[2]$ лето'!ac1343+'[2]$ лето'!ai1343+'[2]$ лето'!ao1343</f>
        <v>4</v>
      </c>
      <c r="I1343" s="109" t="n">
        <f aca="false">'[2]$ лето'!ay1343*1.1</f>
        <v>2780.36</v>
      </c>
      <c r="J1343" s="85" t="n">
        <v>2018</v>
      </c>
    </row>
    <row r="1344" customFormat="false" ht="15" hidden="true" customHeight="false" outlineLevel="0" collapsed="false">
      <c r="A1344" s="123" t="s">
        <v>1923</v>
      </c>
      <c r="B1344" s="115" t="s">
        <v>577</v>
      </c>
      <c r="C1344" s="116" t="s">
        <v>1926</v>
      </c>
      <c r="D1344" s="116"/>
      <c r="E1344" s="116"/>
      <c r="F1344" s="116"/>
      <c r="G1344" s="108" t="s">
        <v>563</v>
      </c>
      <c r="H1344" s="105" t="n">
        <f aca="false">'[2]$ лето'!j1344-'[2]$ лето'!au1344-'[2]$ лето'!at1344-'[2]$ лето'!as1344-'[2]$ лето'!ar1344-'[2]$ лето'!aq1344-'[2]$ лето'!ap1344-'[2]$ лето'!an1344-'[2]$ лето'!am1344-'[2]$ лето'!al1344-'[2]$ лето'!ak1344-'[2]$ лето'!aj1344-'[2]$ лето'!ah1344-'[2]$ лето'!ag1344-'[2]$ лето'!af1344-'[2]$ лето'!ae1344-'[2]$ лето'!ad1344-'[2]$ лето'!ab1344-'[2]$ лето'!aa1344-'[2]$ лето'!z1344-'[2]$ лето'!y1344-'[2]$ лето'!x1344-'[2]$ лето'!v1344-'[2]$ лето'!u1344-'[2]$ лето'!t1344-'[2]$ лето'!s1344-'[2]$ лето'!r1344-'[2]$ лето'!p1344-'[2]$ лето'!o1344-'[2]$ лето'!n1344-'[2]$ лето'!m1344-'[2]$ лето'!l1344+'[2]$ лето'!k1344+'[2]$ лето'!q1344+'[2]$ лето'!w1344+'[2]$ лето'!ac1344+'[2]$ лето'!ai1344+'[2]$ лето'!ao1344</f>
        <v>0</v>
      </c>
      <c r="I1344" s="109" t="n">
        <f aca="false">'[2]$ лето'!ay1344*1.1</f>
        <v>2310</v>
      </c>
    </row>
    <row r="1345" customFormat="false" ht="15" hidden="true" customHeight="false" outlineLevel="0" collapsed="false">
      <c r="A1345" s="123" t="s">
        <v>1923</v>
      </c>
      <c r="B1345" s="115" t="s">
        <v>613</v>
      </c>
      <c r="C1345" s="116" t="s">
        <v>1927</v>
      </c>
      <c r="D1345" s="116"/>
      <c r="E1345" s="116"/>
      <c r="F1345" s="116"/>
      <c r="G1345" s="108"/>
      <c r="H1345" s="105" t="n">
        <f aca="false">'[2]$ лето'!j1345-'[2]$ лето'!au1345-'[2]$ лето'!at1345-'[2]$ лето'!as1345-'[2]$ лето'!ar1345-'[2]$ лето'!aq1345-'[2]$ лето'!ap1345-'[2]$ лето'!an1345-'[2]$ лето'!am1345-'[2]$ лето'!al1345-'[2]$ лето'!ak1345-'[2]$ лето'!aj1345-'[2]$ лето'!ah1345-'[2]$ лето'!ag1345-'[2]$ лето'!af1345-'[2]$ лето'!ae1345-'[2]$ лето'!ad1345-'[2]$ лето'!ab1345-'[2]$ лето'!aa1345-'[2]$ лето'!z1345-'[2]$ лето'!y1345-'[2]$ лето'!x1345-'[2]$ лето'!v1345-'[2]$ лето'!u1345-'[2]$ лето'!t1345-'[2]$ лето'!s1345-'[2]$ лето'!r1345-'[2]$ лето'!p1345-'[2]$ лето'!o1345-'[2]$ лето'!n1345-'[2]$ лето'!m1345-'[2]$ лето'!l1345+'[2]$ лето'!k1345+'[2]$ лето'!q1345+'[2]$ лето'!w1345+'[2]$ лето'!ac1345+'[2]$ лето'!ai1345+'[2]$ лето'!ao1345</f>
        <v>0</v>
      </c>
      <c r="I1345" s="109" t="n">
        <f aca="false">'[2]$ лето'!ay1345*1.1</f>
        <v>2156</v>
      </c>
    </row>
    <row r="1346" customFormat="false" ht="15" hidden="true" customHeight="false" outlineLevel="0" collapsed="false">
      <c r="A1346" s="123" t="s">
        <v>1923</v>
      </c>
      <c r="B1346" s="115" t="s">
        <v>593</v>
      </c>
      <c r="C1346" s="116" t="s">
        <v>1928</v>
      </c>
      <c r="D1346" s="116"/>
      <c r="E1346" s="116"/>
      <c r="F1346" s="116"/>
      <c r="G1346" s="108" t="s">
        <v>1127</v>
      </c>
      <c r="H1346" s="105" t="n">
        <f aca="false">'[2]$ лето'!j1346-'[2]$ лето'!au1346-'[2]$ лето'!at1346-'[2]$ лето'!as1346-'[2]$ лето'!ar1346-'[2]$ лето'!aq1346-'[2]$ лето'!ap1346-'[2]$ лето'!an1346-'[2]$ лето'!am1346-'[2]$ лето'!al1346-'[2]$ лето'!ak1346-'[2]$ лето'!aj1346-'[2]$ лето'!ah1346-'[2]$ лето'!ag1346-'[2]$ лето'!af1346-'[2]$ лето'!ae1346-'[2]$ лето'!ad1346-'[2]$ лето'!ab1346-'[2]$ лето'!aa1346-'[2]$ лето'!z1346-'[2]$ лето'!y1346-'[2]$ лето'!x1346-'[2]$ лето'!v1346-'[2]$ лето'!u1346-'[2]$ лето'!t1346-'[2]$ лето'!s1346-'[2]$ лето'!r1346-'[2]$ лето'!p1346-'[2]$ лето'!o1346-'[2]$ лето'!n1346-'[2]$ лето'!m1346-'[2]$ лето'!l1346+'[2]$ лето'!k1346+'[2]$ лето'!q1346+'[2]$ лето'!w1346+'[2]$ лето'!ac1346+'[2]$ лето'!ai1346+'[2]$ лето'!ao1346</f>
        <v>0</v>
      </c>
      <c r="I1346" s="109" t="n">
        <f aca="false">'[2]$ лето'!ay1346*1.1</f>
        <v>4681.6</v>
      </c>
      <c r="J1346" s="85" t="n">
        <v>2018</v>
      </c>
    </row>
    <row r="1347" customFormat="false" ht="15" hidden="false" customHeight="false" outlineLevel="0" collapsed="false">
      <c r="A1347" s="129" t="s">
        <v>1923</v>
      </c>
      <c r="B1347" s="129" t="s">
        <v>593</v>
      </c>
      <c r="C1347" s="131" t="s">
        <v>1929</v>
      </c>
      <c r="D1347" s="131"/>
      <c r="E1347" s="131"/>
      <c r="F1347" s="131"/>
      <c r="G1347" s="132"/>
      <c r="H1347" s="105" t="n">
        <f aca="false">'[2]$ лето'!j1347-'[2]$ лето'!au1347-'[2]$ лето'!at1347-'[2]$ лето'!as1347-'[2]$ лето'!ar1347-'[2]$ лето'!aq1347-'[2]$ лето'!ap1347-'[2]$ лето'!an1347-'[2]$ лето'!am1347-'[2]$ лето'!al1347-'[2]$ лето'!ak1347-'[2]$ лето'!aj1347-'[2]$ лето'!ah1347-'[2]$ лето'!ag1347-'[2]$ лето'!af1347-'[2]$ лето'!ae1347-'[2]$ лето'!ad1347-'[2]$ лето'!ab1347-'[2]$ лето'!aa1347-'[2]$ лето'!z1347-'[2]$ лето'!y1347-'[2]$ лето'!x1347-'[2]$ лето'!v1347-'[2]$ лето'!u1347-'[2]$ лето'!t1347-'[2]$ лето'!s1347-'[2]$ лето'!r1347-'[2]$ лето'!p1347-'[2]$ лето'!o1347-'[2]$ лето'!n1347-'[2]$ лето'!m1347-'[2]$ лето'!l1347+'[2]$ лето'!k1347+'[2]$ лето'!q1347+'[2]$ лето'!w1347+'[2]$ лето'!ac1347+'[2]$ лето'!ai1347+'[2]$ лето'!ao1347</f>
        <v>2</v>
      </c>
      <c r="I1347" s="133" t="n">
        <f aca="false">'[2]$ лето'!ay1347*1.1</f>
        <v>1650</v>
      </c>
    </row>
    <row r="1348" customFormat="false" ht="15" hidden="true" customHeight="false" outlineLevel="0" collapsed="false">
      <c r="A1348" s="123" t="s">
        <v>1923</v>
      </c>
      <c r="B1348" s="115" t="s">
        <v>677</v>
      </c>
      <c r="C1348" s="116" t="s">
        <v>1930</v>
      </c>
      <c r="D1348" s="116"/>
      <c r="E1348" s="116"/>
      <c r="F1348" s="116"/>
      <c r="G1348" s="108"/>
      <c r="H1348" s="105" t="n">
        <f aca="false">'[2]$ лето'!j1348-'[2]$ лето'!au1348-'[2]$ лето'!at1348-'[2]$ лето'!as1348-'[2]$ лето'!ar1348-'[2]$ лето'!aq1348-'[2]$ лето'!ap1348-'[2]$ лето'!an1348-'[2]$ лето'!am1348-'[2]$ лето'!al1348-'[2]$ лето'!ak1348-'[2]$ лето'!aj1348-'[2]$ лето'!ah1348-'[2]$ лето'!ag1348-'[2]$ лето'!af1348-'[2]$ лето'!ae1348-'[2]$ лето'!ad1348-'[2]$ лето'!ab1348-'[2]$ лето'!aa1348-'[2]$ лето'!z1348-'[2]$ лето'!y1348-'[2]$ лето'!x1348-'[2]$ лето'!v1348-'[2]$ лето'!u1348-'[2]$ лето'!t1348-'[2]$ лето'!s1348-'[2]$ лето'!r1348-'[2]$ лето'!p1348-'[2]$ лето'!o1348-'[2]$ лето'!n1348-'[2]$ лето'!m1348-'[2]$ лето'!l1348+'[2]$ лето'!k1348+'[2]$ лето'!q1348+'[2]$ лето'!w1348+'[2]$ лето'!ac1348+'[2]$ лето'!ai1348+'[2]$ лето'!ao1348</f>
        <v>0</v>
      </c>
      <c r="I1348" s="109" t="n">
        <f aca="false">'[2]$ лето'!ay1348*1.1</f>
        <v>1848</v>
      </c>
    </row>
    <row r="1349" customFormat="false" ht="15" hidden="true" customHeight="false" outlineLevel="0" collapsed="false">
      <c r="A1349" s="123" t="s">
        <v>1923</v>
      </c>
      <c r="B1349" s="123" t="s">
        <v>589</v>
      </c>
      <c r="C1349" s="116" t="s">
        <v>1931</v>
      </c>
      <c r="D1349" s="116"/>
      <c r="E1349" s="116"/>
      <c r="F1349" s="116"/>
      <c r="G1349" s="108"/>
      <c r="H1349" s="105" t="n">
        <f aca="false">'[2]$ лето'!j1349-'[2]$ лето'!au1349-'[2]$ лето'!at1349-'[2]$ лето'!as1349-'[2]$ лето'!ar1349-'[2]$ лето'!aq1349-'[2]$ лето'!ap1349-'[2]$ лето'!an1349-'[2]$ лето'!am1349-'[2]$ лето'!al1349-'[2]$ лето'!ak1349-'[2]$ лето'!aj1349-'[2]$ лето'!ah1349-'[2]$ лето'!ag1349-'[2]$ лето'!af1349-'[2]$ лето'!ae1349-'[2]$ лето'!ad1349-'[2]$ лето'!ab1349-'[2]$ лето'!aa1349-'[2]$ лето'!z1349-'[2]$ лето'!y1349-'[2]$ лето'!x1349-'[2]$ лето'!v1349-'[2]$ лето'!u1349-'[2]$ лето'!t1349-'[2]$ лето'!s1349-'[2]$ лето'!r1349-'[2]$ лето'!p1349-'[2]$ лето'!o1349-'[2]$ лето'!n1349-'[2]$ лето'!m1349-'[2]$ лето'!l1349+'[2]$ лето'!k1349+'[2]$ лето'!q1349+'[2]$ лето'!w1349+'[2]$ лето'!ac1349+'[2]$ лето'!ai1349+'[2]$ лето'!ao1349</f>
        <v>0</v>
      </c>
      <c r="I1349" s="109" t="n">
        <f aca="false">'[2]$ лето'!ay1349*1.1</f>
        <v>3234</v>
      </c>
    </row>
    <row r="1350" customFormat="false" ht="15" hidden="true" customHeight="false" outlineLevel="0" collapsed="false">
      <c r="A1350" s="123" t="s">
        <v>1923</v>
      </c>
      <c r="B1350" s="123" t="s">
        <v>589</v>
      </c>
      <c r="C1350" s="116" t="s">
        <v>1932</v>
      </c>
      <c r="D1350" s="116"/>
      <c r="E1350" s="116"/>
      <c r="F1350" s="116"/>
      <c r="G1350" s="108"/>
      <c r="H1350" s="105" t="n">
        <f aca="false">'[2]$ лето'!j1350-'[2]$ лето'!au1350-'[2]$ лето'!at1350-'[2]$ лето'!as1350-'[2]$ лето'!ar1350-'[2]$ лето'!aq1350-'[2]$ лето'!ap1350-'[2]$ лето'!an1350-'[2]$ лето'!am1350-'[2]$ лето'!al1350-'[2]$ лето'!ak1350-'[2]$ лето'!aj1350-'[2]$ лето'!ah1350-'[2]$ лето'!ag1350-'[2]$ лето'!af1350-'[2]$ лето'!ae1350-'[2]$ лето'!ad1350-'[2]$ лето'!ab1350-'[2]$ лето'!aa1350-'[2]$ лето'!z1350-'[2]$ лето'!y1350-'[2]$ лето'!x1350-'[2]$ лето'!v1350-'[2]$ лето'!u1350-'[2]$ лето'!t1350-'[2]$ лето'!s1350-'[2]$ лето'!r1350-'[2]$ лето'!p1350-'[2]$ лето'!o1350-'[2]$ лето'!n1350-'[2]$ лето'!m1350-'[2]$ лето'!l1350+'[2]$ лето'!k1350+'[2]$ лето'!q1350+'[2]$ лето'!w1350+'[2]$ лето'!ac1350+'[2]$ лето'!ai1350+'[2]$ лето'!ao1350</f>
        <v>0</v>
      </c>
      <c r="I1350" s="109" t="n">
        <f aca="false">'[2]$ лето'!ay1350*1.1</f>
        <v>3357.2</v>
      </c>
    </row>
    <row r="1351" customFormat="false" ht="15" hidden="true" customHeight="false" outlineLevel="0" collapsed="false">
      <c r="A1351" s="123" t="s">
        <v>1923</v>
      </c>
      <c r="B1351" s="123" t="s">
        <v>589</v>
      </c>
      <c r="C1351" s="116" t="s">
        <v>1933</v>
      </c>
      <c r="D1351" s="116"/>
      <c r="E1351" s="116"/>
      <c r="F1351" s="116"/>
      <c r="G1351" s="108" t="s">
        <v>876</v>
      </c>
      <c r="H1351" s="105" t="n">
        <f aca="false">'[2]$ лето'!j1351-'[2]$ лето'!au1351-'[2]$ лето'!at1351-'[2]$ лето'!as1351-'[2]$ лето'!ar1351-'[2]$ лето'!aq1351-'[2]$ лето'!ap1351-'[2]$ лето'!an1351-'[2]$ лето'!am1351-'[2]$ лето'!al1351-'[2]$ лето'!ak1351-'[2]$ лето'!aj1351-'[2]$ лето'!ah1351-'[2]$ лето'!ag1351-'[2]$ лето'!af1351-'[2]$ лето'!ae1351-'[2]$ лето'!ad1351-'[2]$ лето'!ab1351-'[2]$ лето'!aa1351-'[2]$ лето'!z1351-'[2]$ лето'!y1351-'[2]$ лето'!x1351-'[2]$ лето'!v1351-'[2]$ лето'!u1351-'[2]$ лето'!t1351-'[2]$ лето'!s1351-'[2]$ лето'!r1351-'[2]$ лето'!p1351-'[2]$ лето'!o1351-'[2]$ лето'!n1351-'[2]$ лето'!m1351-'[2]$ лето'!l1351+'[2]$ лето'!k1351+'[2]$ лето'!q1351+'[2]$ лето'!w1351+'[2]$ лето'!ac1351+'[2]$ лето'!ai1351+'[2]$ лето'!ao1351</f>
        <v>0</v>
      </c>
      <c r="I1351" s="109" t="n">
        <f aca="false">'[2]$ лето'!ay1351*1.1</f>
        <v>3080</v>
      </c>
    </row>
    <row r="1352" customFormat="false" ht="15" hidden="false" customHeight="false" outlineLevel="0" collapsed="false">
      <c r="A1352" s="123" t="s">
        <v>1923</v>
      </c>
      <c r="B1352" s="123" t="s">
        <v>564</v>
      </c>
      <c r="C1352" s="116" t="s">
        <v>1934</v>
      </c>
      <c r="D1352" s="116"/>
      <c r="E1352" s="116"/>
      <c r="F1352" s="116"/>
      <c r="G1352" s="108" t="s">
        <v>520</v>
      </c>
      <c r="H1352" s="105" t="n">
        <f aca="false">'[2]$ лето'!j1352-'[2]$ лето'!au1352-'[2]$ лето'!at1352-'[2]$ лето'!as1352-'[2]$ лето'!ar1352-'[2]$ лето'!aq1352-'[2]$ лето'!ap1352-'[2]$ лето'!an1352-'[2]$ лето'!am1352-'[2]$ лето'!al1352-'[2]$ лето'!ak1352-'[2]$ лето'!aj1352-'[2]$ лето'!ah1352-'[2]$ лето'!ag1352-'[2]$ лето'!af1352-'[2]$ лето'!ae1352-'[2]$ лето'!ad1352-'[2]$ лето'!ab1352-'[2]$ лето'!aa1352-'[2]$ лето'!z1352-'[2]$ лето'!y1352-'[2]$ лето'!x1352-'[2]$ лето'!v1352-'[2]$ лето'!u1352-'[2]$ лето'!t1352-'[2]$ лето'!s1352-'[2]$ лето'!r1352-'[2]$ лето'!p1352-'[2]$ лето'!o1352-'[2]$ лето'!n1352-'[2]$ лето'!m1352-'[2]$ лето'!l1352+'[2]$ лето'!k1352+'[2]$ лето'!q1352+'[2]$ лето'!w1352+'[2]$ лето'!ac1352+'[2]$ лето'!ai1352+'[2]$ лето'!ao1352</f>
        <v>4</v>
      </c>
      <c r="I1352" s="109" t="n">
        <f aca="false">'[2]$ лето'!ay1352*1.1</f>
        <v>1848</v>
      </c>
      <c r="J1352" s="85" t="n">
        <v>2017</v>
      </c>
    </row>
    <row r="1353" customFormat="false" ht="15" hidden="false" customHeight="false" outlineLevel="0" collapsed="false">
      <c r="A1353" s="123" t="s">
        <v>1923</v>
      </c>
      <c r="B1353" s="123" t="s">
        <v>981</v>
      </c>
      <c r="C1353" s="116" t="s">
        <v>1935</v>
      </c>
      <c r="D1353" s="116"/>
      <c r="E1353" s="116"/>
      <c r="F1353" s="116"/>
      <c r="G1353" s="108" t="s">
        <v>640</v>
      </c>
      <c r="H1353" s="105" t="n">
        <f aca="false">'[2]$ лето'!j1353-'[2]$ лето'!au1353-'[2]$ лето'!at1353-'[2]$ лето'!as1353-'[2]$ лето'!ar1353-'[2]$ лето'!aq1353-'[2]$ лето'!ap1353-'[2]$ лето'!an1353-'[2]$ лето'!am1353-'[2]$ лето'!al1353-'[2]$ лето'!ak1353-'[2]$ лето'!aj1353-'[2]$ лето'!ah1353-'[2]$ лето'!ag1353-'[2]$ лето'!af1353-'[2]$ лето'!ae1353-'[2]$ лето'!ad1353-'[2]$ лето'!ab1353-'[2]$ лето'!aa1353-'[2]$ лето'!z1353-'[2]$ лето'!y1353-'[2]$ лето'!x1353-'[2]$ лето'!v1353-'[2]$ лето'!u1353-'[2]$ лето'!t1353-'[2]$ лето'!s1353-'[2]$ лето'!r1353-'[2]$ лето'!p1353-'[2]$ лето'!o1353-'[2]$ лето'!n1353-'[2]$ лето'!m1353-'[2]$ лето'!l1353+'[2]$ лето'!k1353+'[2]$ лето'!q1353+'[2]$ лето'!w1353+'[2]$ лето'!ac1353+'[2]$ лето'!ai1353+'[2]$ лето'!ao1353</f>
        <v>4</v>
      </c>
      <c r="I1353" s="109" t="n">
        <f aca="false">'[2]$ лето'!ay1353*1.1</f>
        <v>3264.8</v>
      </c>
      <c r="J1353" s="85" t="n">
        <v>2017</v>
      </c>
    </row>
    <row r="1354" customFormat="false" ht="15" hidden="true" customHeight="false" outlineLevel="0" collapsed="false">
      <c r="A1354" s="115" t="s">
        <v>1936</v>
      </c>
      <c r="B1354" s="115" t="s">
        <v>589</v>
      </c>
      <c r="C1354" s="116" t="s">
        <v>1881</v>
      </c>
      <c r="D1354" s="116"/>
      <c r="E1354" s="116"/>
      <c r="F1354" s="116"/>
      <c r="G1354" s="108"/>
      <c r="H1354" s="105" t="n">
        <f aca="false">'[2]$ лето'!j1354-'[2]$ лето'!au1354-'[2]$ лето'!at1354-'[2]$ лето'!as1354-'[2]$ лето'!ar1354-'[2]$ лето'!aq1354-'[2]$ лето'!ap1354-'[2]$ лето'!an1354-'[2]$ лето'!am1354-'[2]$ лето'!al1354-'[2]$ лето'!ak1354-'[2]$ лето'!aj1354-'[2]$ лето'!ah1354-'[2]$ лето'!ag1354-'[2]$ лето'!af1354-'[2]$ лето'!ae1354-'[2]$ лето'!ad1354-'[2]$ лето'!ab1354-'[2]$ лето'!aa1354-'[2]$ лето'!z1354-'[2]$ лето'!y1354-'[2]$ лето'!x1354-'[2]$ лето'!v1354-'[2]$ лето'!u1354-'[2]$ лето'!t1354-'[2]$ лето'!s1354-'[2]$ лето'!r1354-'[2]$ лето'!p1354-'[2]$ лето'!o1354-'[2]$ лето'!n1354-'[2]$ лето'!m1354-'[2]$ лето'!l1354+'[2]$ лето'!k1354+'[2]$ лето'!q1354+'[2]$ лето'!w1354+'[2]$ лето'!ac1354+'[2]$ лето'!ai1354+'[2]$ лето'!ao1354</f>
        <v>0</v>
      </c>
      <c r="I1354" s="109" t="n">
        <f aca="false">'[2]$ лето'!ay1354*1.1</f>
        <v>2772</v>
      </c>
    </row>
    <row r="1355" customFormat="false" ht="15" hidden="false" customHeight="false" outlineLevel="0" collapsed="false">
      <c r="A1355" s="129" t="s">
        <v>1936</v>
      </c>
      <c r="B1355" s="129" t="s">
        <v>707</v>
      </c>
      <c r="C1355" s="141" t="s">
        <v>1937</v>
      </c>
      <c r="D1355" s="141"/>
      <c r="E1355" s="141"/>
      <c r="F1355" s="141"/>
      <c r="G1355" s="132"/>
      <c r="H1355" s="105" t="n">
        <f aca="false">'[2]$ лето'!j1355-'[2]$ лето'!au1355-'[2]$ лето'!at1355-'[2]$ лето'!as1355-'[2]$ лето'!ar1355-'[2]$ лето'!aq1355-'[2]$ лето'!ap1355-'[2]$ лето'!an1355-'[2]$ лето'!am1355-'[2]$ лето'!al1355-'[2]$ лето'!ak1355-'[2]$ лето'!aj1355-'[2]$ лето'!ah1355-'[2]$ лето'!ag1355-'[2]$ лето'!af1355-'[2]$ лето'!ae1355-'[2]$ лето'!ad1355-'[2]$ лето'!ab1355-'[2]$ лето'!aa1355-'[2]$ лето'!z1355-'[2]$ лето'!y1355-'[2]$ лето'!x1355-'[2]$ лето'!v1355-'[2]$ лето'!u1355-'[2]$ лето'!t1355-'[2]$ лето'!s1355-'[2]$ лето'!r1355-'[2]$ лето'!p1355-'[2]$ лето'!o1355-'[2]$ лето'!n1355-'[2]$ лето'!m1355-'[2]$ лето'!l1355+'[2]$ лето'!k1355+'[2]$ лето'!q1355+'[2]$ лето'!w1355+'[2]$ лето'!ac1355+'[2]$ лето'!ai1355+'[2]$ лето'!ao1355</f>
        <v>2</v>
      </c>
      <c r="I1355" s="133" t="n">
        <f aca="false">'[2]$ лето'!ay1355*1.1</f>
        <v>616</v>
      </c>
    </row>
    <row r="1356" customFormat="false" ht="15" hidden="true" customHeight="false" outlineLevel="0" collapsed="false">
      <c r="A1356" s="115" t="s">
        <v>1938</v>
      </c>
      <c r="B1356" s="115" t="s">
        <v>991</v>
      </c>
      <c r="C1356" s="119" t="s">
        <v>1266</v>
      </c>
      <c r="D1356" s="119"/>
      <c r="E1356" s="119"/>
      <c r="F1356" s="119"/>
      <c r="G1356" s="108" t="s">
        <v>520</v>
      </c>
      <c r="H1356" s="105" t="n">
        <f aca="false">'[2]$ лето'!j1356-'[2]$ лето'!au1356-'[2]$ лето'!at1356-'[2]$ лето'!as1356-'[2]$ лето'!ar1356-'[2]$ лето'!aq1356-'[2]$ лето'!ap1356-'[2]$ лето'!an1356-'[2]$ лето'!am1356-'[2]$ лето'!al1356-'[2]$ лето'!ak1356-'[2]$ лето'!aj1356-'[2]$ лето'!ah1356-'[2]$ лето'!ag1356-'[2]$ лето'!af1356-'[2]$ лето'!ae1356-'[2]$ лето'!ad1356-'[2]$ лето'!ab1356-'[2]$ лето'!aa1356-'[2]$ лето'!z1356-'[2]$ лето'!y1356-'[2]$ лето'!x1356-'[2]$ лето'!v1356-'[2]$ лето'!u1356-'[2]$ лето'!t1356-'[2]$ лето'!s1356-'[2]$ лето'!r1356-'[2]$ лето'!p1356-'[2]$ лето'!o1356-'[2]$ лето'!n1356-'[2]$ лето'!m1356-'[2]$ лето'!l1356+'[2]$ лето'!k1356+'[2]$ лето'!q1356+'[2]$ лето'!w1356+'[2]$ лето'!ac1356+'[2]$ лето'!ai1356+'[2]$ лето'!ao1356</f>
        <v>0</v>
      </c>
      <c r="I1356" s="109" t="n">
        <f aca="false">'[2]$ лето'!ay1356*1.1</f>
        <v>1540</v>
      </c>
    </row>
    <row r="1357" customFormat="false" ht="15" hidden="true" customHeight="false" outlineLevel="0" collapsed="false">
      <c r="A1357" s="115" t="s">
        <v>1938</v>
      </c>
      <c r="B1357" s="115" t="s">
        <v>568</v>
      </c>
      <c r="C1357" s="119" t="s">
        <v>1939</v>
      </c>
      <c r="D1357" s="119"/>
      <c r="E1357" s="119"/>
      <c r="F1357" s="119"/>
      <c r="G1357" s="108"/>
      <c r="H1357" s="105" t="n">
        <f aca="false">'[2]$ лето'!j1357-'[2]$ лето'!au1357-'[2]$ лето'!at1357-'[2]$ лето'!as1357-'[2]$ лето'!ar1357-'[2]$ лето'!aq1357-'[2]$ лето'!ap1357-'[2]$ лето'!an1357-'[2]$ лето'!am1357-'[2]$ лето'!al1357-'[2]$ лето'!ak1357-'[2]$ лето'!aj1357-'[2]$ лето'!ah1357-'[2]$ лето'!ag1357-'[2]$ лето'!af1357-'[2]$ лето'!ae1357-'[2]$ лето'!ad1357-'[2]$ лето'!ab1357-'[2]$ лето'!aa1357-'[2]$ лето'!z1357-'[2]$ лето'!y1357-'[2]$ лето'!x1357-'[2]$ лето'!v1357-'[2]$ лето'!u1357-'[2]$ лето'!t1357-'[2]$ лето'!s1357-'[2]$ лето'!r1357-'[2]$ лето'!p1357-'[2]$ лето'!o1357-'[2]$ лето'!n1357-'[2]$ лето'!m1357-'[2]$ лето'!l1357+'[2]$ лето'!k1357+'[2]$ лето'!q1357+'[2]$ лето'!w1357+'[2]$ лето'!ac1357+'[2]$ лето'!ai1357+'[2]$ лето'!ao1357</f>
        <v>0</v>
      </c>
      <c r="I1357" s="109" t="n">
        <f aca="false">'[2]$ лето'!ay1357*1.1</f>
        <v>2310</v>
      </c>
    </row>
    <row r="1358" customFormat="false" ht="15" hidden="true" customHeight="false" outlineLevel="0" collapsed="false">
      <c r="A1358" s="115" t="s">
        <v>1938</v>
      </c>
      <c r="B1358" s="115" t="s">
        <v>658</v>
      </c>
      <c r="C1358" s="119" t="s">
        <v>1940</v>
      </c>
      <c r="D1358" s="119"/>
      <c r="E1358" s="119"/>
      <c r="F1358" s="119"/>
      <c r="G1358" s="108"/>
      <c r="H1358" s="105" t="n">
        <f aca="false">'[2]$ лето'!j1358-'[2]$ лето'!au1358-'[2]$ лето'!at1358-'[2]$ лето'!as1358-'[2]$ лето'!ar1358-'[2]$ лето'!aq1358-'[2]$ лето'!ap1358-'[2]$ лето'!an1358-'[2]$ лето'!am1358-'[2]$ лето'!al1358-'[2]$ лето'!ak1358-'[2]$ лето'!aj1358-'[2]$ лето'!ah1358-'[2]$ лето'!ag1358-'[2]$ лето'!af1358-'[2]$ лето'!ae1358-'[2]$ лето'!ad1358-'[2]$ лето'!ab1358-'[2]$ лето'!aa1358-'[2]$ лето'!z1358-'[2]$ лето'!y1358-'[2]$ лето'!x1358-'[2]$ лето'!v1358-'[2]$ лето'!u1358-'[2]$ лето'!t1358-'[2]$ лето'!s1358-'[2]$ лето'!r1358-'[2]$ лето'!p1358-'[2]$ лето'!o1358-'[2]$ лето'!n1358-'[2]$ лето'!m1358-'[2]$ лето'!l1358+'[2]$ лето'!k1358+'[2]$ лето'!q1358+'[2]$ лето'!w1358+'[2]$ лето'!ac1358+'[2]$ лето'!ai1358+'[2]$ лето'!ao1358</f>
        <v>0</v>
      </c>
      <c r="I1358" s="109" t="n">
        <f aca="false">'[2]$ лето'!ay1358*1.1</f>
        <v>4373.6</v>
      </c>
    </row>
    <row r="1359" customFormat="false" ht="15" hidden="true" customHeight="false" outlineLevel="0" collapsed="false">
      <c r="A1359" s="115" t="s">
        <v>1938</v>
      </c>
      <c r="B1359" s="115" t="s">
        <v>593</v>
      </c>
      <c r="C1359" s="116" t="s">
        <v>1941</v>
      </c>
      <c r="D1359" s="116"/>
      <c r="E1359" s="116"/>
      <c r="F1359" s="116"/>
      <c r="G1359" s="108"/>
      <c r="H1359" s="105" t="n">
        <f aca="false">'[2]$ лето'!j1359-'[2]$ лето'!au1359-'[2]$ лето'!at1359-'[2]$ лето'!as1359-'[2]$ лето'!ar1359-'[2]$ лето'!aq1359-'[2]$ лето'!ap1359-'[2]$ лето'!an1359-'[2]$ лето'!am1359-'[2]$ лето'!al1359-'[2]$ лето'!ak1359-'[2]$ лето'!aj1359-'[2]$ лето'!ah1359-'[2]$ лето'!ag1359-'[2]$ лето'!af1359-'[2]$ лето'!ae1359-'[2]$ лето'!ad1359-'[2]$ лето'!ab1359-'[2]$ лето'!aa1359-'[2]$ лето'!z1359-'[2]$ лето'!y1359-'[2]$ лето'!x1359-'[2]$ лето'!v1359-'[2]$ лето'!u1359-'[2]$ лето'!t1359-'[2]$ лето'!s1359-'[2]$ лето'!r1359-'[2]$ лето'!p1359-'[2]$ лето'!o1359-'[2]$ лето'!n1359-'[2]$ лето'!m1359-'[2]$ лето'!l1359+'[2]$ лето'!k1359+'[2]$ лето'!q1359+'[2]$ лето'!w1359+'[2]$ лето'!ac1359+'[2]$ лето'!ai1359+'[2]$ лето'!ao1359</f>
        <v>0</v>
      </c>
      <c r="I1359" s="109" t="n">
        <f aca="false">'[2]$ лето'!ay1359*1.1</f>
        <v>5236</v>
      </c>
    </row>
    <row r="1360" customFormat="false" ht="15" hidden="false" customHeight="false" outlineLevel="0" collapsed="false">
      <c r="A1360" s="115" t="s">
        <v>1938</v>
      </c>
      <c r="B1360" s="115" t="s">
        <v>615</v>
      </c>
      <c r="C1360" s="116" t="s">
        <v>1942</v>
      </c>
      <c r="D1360" s="116"/>
      <c r="E1360" s="116"/>
      <c r="F1360" s="116"/>
      <c r="G1360" s="108"/>
      <c r="H1360" s="105" t="n">
        <f aca="false">'[2]$ лето'!j1360-'[2]$ лето'!au1360-'[2]$ лето'!at1360-'[2]$ лето'!as1360-'[2]$ лето'!ar1360-'[2]$ лето'!aq1360-'[2]$ лето'!ap1360-'[2]$ лето'!an1360-'[2]$ лето'!am1360-'[2]$ лето'!al1360-'[2]$ лето'!ak1360-'[2]$ лето'!aj1360-'[2]$ лето'!ah1360-'[2]$ лето'!ag1360-'[2]$ лето'!af1360-'[2]$ лето'!ae1360-'[2]$ лето'!ad1360-'[2]$ лето'!ab1360-'[2]$ лето'!aa1360-'[2]$ лето'!z1360-'[2]$ лето'!y1360-'[2]$ лето'!x1360-'[2]$ лето'!v1360-'[2]$ лето'!u1360-'[2]$ лето'!t1360-'[2]$ лето'!s1360-'[2]$ лето'!r1360-'[2]$ лето'!p1360-'[2]$ лето'!o1360-'[2]$ лето'!n1360-'[2]$ лето'!m1360-'[2]$ лето'!l1360+'[2]$ лето'!k1360+'[2]$ лето'!q1360+'[2]$ лето'!w1360+'[2]$ лето'!ac1360+'[2]$ лето'!ai1360+'[2]$ лето'!ao1360</f>
        <v>4</v>
      </c>
      <c r="I1360" s="109" t="n">
        <f aca="false">'[2]$ лето'!ay1360*1.1</f>
        <v>1848</v>
      </c>
    </row>
    <row r="1361" customFormat="false" ht="15" hidden="true" customHeight="false" outlineLevel="0" collapsed="false">
      <c r="A1361" s="115" t="s">
        <v>1938</v>
      </c>
      <c r="B1361" s="115" t="s">
        <v>615</v>
      </c>
      <c r="C1361" s="116" t="s">
        <v>1943</v>
      </c>
      <c r="D1361" s="116"/>
      <c r="E1361" s="116"/>
      <c r="F1361" s="116"/>
      <c r="G1361" s="108"/>
      <c r="H1361" s="105" t="n">
        <f aca="false">'[2]$ лето'!j1361-'[2]$ лето'!au1361-'[2]$ лето'!at1361-'[2]$ лето'!as1361-'[2]$ лето'!ar1361-'[2]$ лето'!aq1361-'[2]$ лето'!ap1361-'[2]$ лето'!an1361-'[2]$ лето'!am1361-'[2]$ лето'!al1361-'[2]$ лето'!ak1361-'[2]$ лето'!aj1361-'[2]$ лето'!ah1361-'[2]$ лето'!ag1361-'[2]$ лето'!af1361-'[2]$ лето'!ae1361-'[2]$ лето'!ad1361-'[2]$ лето'!ab1361-'[2]$ лето'!aa1361-'[2]$ лето'!z1361-'[2]$ лето'!y1361-'[2]$ лето'!x1361-'[2]$ лето'!v1361-'[2]$ лето'!u1361-'[2]$ лето'!t1361-'[2]$ лето'!s1361-'[2]$ лето'!r1361-'[2]$ лето'!p1361-'[2]$ лето'!o1361-'[2]$ лето'!n1361-'[2]$ лето'!m1361-'[2]$ лето'!l1361+'[2]$ лето'!k1361+'[2]$ лето'!q1361+'[2]$ лето'!w1361+'[2]$ лето'!ac1361+'[2]$ лето'!ai1361+'[2]$ лето'!ao1361</f>
        <v>0</v>
      </c>
      <c r="I1361" s="109" t="n">
        <f aca="false">'[2]$ лето'!ay1361*1.1</f>
        <v>2464</v>
      </c>
    </row>
    <row r="1362" customFormat="false" ht="15" hidden="true" customHeight="false" outlineLevel="0" collapsed="false">
      <c r="A1362" s="115" t="s">
        <v>1938</v>
      </c>
      <c r="B1362" s="115" t="s">
        <v>615</v>
      </c>
      <c r="C1362" s="116" t="s">
        <v>1944</v>
      </c>
      <c r="D1362" s="116"/>
      <c r="E1362" s="116"/>
      <c r="F1362" s="116"/>
      <c r="G1362" s="108"/>
      <c r="H1362" s="105" t="n">
        <f aca="false">'[2]$ лето'!j1362-'[2]$ лето'!au1362-'[2]$ лето'!at1362-'[2]$ лето'!as1362-'[2]$ лето'!ar1362-'[2]$ лето'!aq1362-'[2]$ лето'!ap1362-'[2]$ лето'!an1362-'[2]$ лето'!am1362-'[2]$ лето'!al1362-'[2]$ лето'!ak1362-'[2]$ лето'!aj1362-'[2]$ лето'!ah1362-'[2]$ лето'!ag1362-'[2]$ лето'!af1362-'[2]$ лето'!ae1362-'[2]$ лето'!ad1362-'[2]$ лето'!ab1362-'[2]$ лето'!aa1362-'[2]$ лето'!z1362-'[2]$ лето'!y1362-'[2]$ лето'!x1362-'[2]$ лето'!v1362-'[2]$ лето'!u1362-'[2]$ лето'!t1362-'[2]$ лето'!s1362-'[2]$ лето'!r1362-'[2]$ лето'!p1362-'[2]$ лето'!o1362-'[2]$ лето'!n1362-'[2]$ лето'!m1362-'[2]$ лето'!l1362+'[2]$ лето'!k1362+'[2]$ лето'!q1362+'[2]$ лето'!w1362+'[2]$ лето'!ac1362+'[2]$ лето'!ai1362+'[2]$ лето'!ao1362</f>
        <v>0</v>
      </c>
      <c r="I1362" s="109" t="n">
        <f aca="false">'[2]$ лето'!ay1362*1.1</f>
        <v>3542</v>
      </c>
    </row>
    <row r="1363" customFormat="false" ht="15" hidden="true" customHeight="false" outlineLevel="0" collapsed="false">
      <c r="A1363" s="115" t="s">
        <v>1938</v>
      </c>
      <c r="B1363" s="115" t="s">
        <v>589</v>
      </c>
      <c r="C1363" s="116" t="s">
        <v>1730</v>
      </c>
      <c r="D1363" s="116"/>
      <c r="E1363" s="116"/>
      <c r="F1363" s="116"/>
      <c r="G1363" s="108"/>
      <c r="H1363" s="105" t="n">
        <f aca="false">'[2]$ лето'!j1363-'[2]$ лето'!au1363-'[2]$ лето'!at1363-'[2]$ лето'!as1363-'[2]$ лето'!ar1363-'[2]$ лето'!aq1363-'[2]$ лето'!ap1363-'[2]$ лето'!an1363-'[2]$ лето'!am1363-'[2]$ лето'!al1363-'[2]$ лето'!ak1363-'[2]$ лето'!aj1363-'[2]$ лето'!ah1363-'[2]$ лето'!ag1363-'[2]$ лето'!af1363-'[2]$ лето'!ae1363-'[2]$ лето'!ad1363-'[2]$ лето'!ab1363-'[2]$ лето'!aa1363-'[2]$ лето'!z1363-'[2]$ лето'!y1363-'[2]$ лето'!x1363-'[2]$ лето'!v1363-'[2]$ лето'!u1363-'[2]$ лето'!t1363-'[2]$ лето'!s1363-'[2]$ лето'!r1363-'[2]$ лето'!p1363-'[2]$ лето'!o1363-'[2]$ лето'!n1363-'[2]$ лето'!m1363-'[2]$ лето'!l1363+'[2]$ лето'!k1363+'[2]$ лето'!q1363+'[2]$ лето'!w1363+'[2]$ лето'!ac1363+'[2]$ лето'!ai1363+'[2]$ лето'!ao1363</f>
        <v>0</v>
      </c>
      <c r="I1363" s="109" t="n">
        <f aca="false">'[2]$ лето'!ay1363*1.1</f>
        <v>2772</v>
      </c>
    </row>
    <row r="1364" customFormat="false" ht="15" hidden="false" customHeight="false" outlineLevel="0" collapsed="false">
      <c r="A1364" s="115" t="s">
        <v>1945</v>
      </c>
      <c r="B1364" s="115" t="s">
        <v>1902</v>
      </c>
      <c r="C1364" s="116" t="s">
        <v>1946</v>
      </c>
      <c r="D1364" s="116"/>
      <c r="E1364" s="116"/>
      <c r="F1364" s="116"/>
      <c r="G1364" s="108"/>
      <c r="H1364" s="105" t="n">
        <f aca="false">'[2]$ лето'!j1364-'[2]$ лето'!au1364-'[2]$ лето'!at1364-'[2]$ лето'!as1364-'[2]$ лето'!ar1364-'[2]$ лето'!aq1364-'[2]$ лето'!ap1364-'[2]$ лето'!an1364-'[2]$ лето'!am1364-'[2]$ лето'!al1364-'[2]$ лето'!ak1364-'[2]$ лето'!aj1364-'[2]$ лето'!ah1364-'[2]$ лето'!ag1364-'[2]$ лето'!af1364-'[2]$ лето'!ae1364-'[2]$ лето'!ad1364-'[2]$ лето'!ab1364-'[2]$ лето'!aa1364-'[2]$ лето'!z1364-'[2]$ лето'!y1364-'[2]$ лето'!x1364-'[2]$ лето'!v1364-'[2]$ лето'!u1364-'[2]$ лето'!t1364-'[2]$ лето'!s1364-'[2]$ лето'!r1364-'[2]$ лето'!p1364-'[2]$ лето'!o1364-'[2]$ лето'!n1364-'[2]$ лето'!m1364-'[2]$ лето'!l1364+'[2]$ лето'!k1364+'[2]$ лето'!q1364+'[2]$ лето'!w1364+'[2]$ лето'!ac1364+'[2]$ лето'!ai1364+'[2]$ лето'!ao1364</f>
        <v>4</v>
      </c>
      <c r="I1364" s="109" t="n">
        <f aca="false">'[2]$ лето'!ay1364*1.1</f>
        <v>1694</v>
      </c>
    </row>
    <row r="1365" customFormat="false" ht="15" hidden="true" customHeight="false" outlineLevel="0" collapsed="false">
      <c r="A1365" s="115" t="s">
        <v>1945</v>
      </c>
      <c r="B1365" s="115" t="s">
        <v>568</v>
      </c>
      <c r="C1365" s="116" t="s">
        <v>1947</v>
      </c>
      <c r="D1365" s="116"/>
      <c r="E1365" s="116"/>
      <c r="F1365" s="116"/>
      <c r="G1365" s="108" t="s">
        <v>1240</v>
      </c>
      <c r="H1365" s="105" t="n">
        <f aca="false">'[2]$ лето'!j1365-'[2]$ лето'!au1365-'[2]$ лето'!at1365-'[2]$ лето'!as1365-'[2]$ лето'!ar1365-'[2]$ лето'!aq1365-'[2]$ лето'!ap1365-'[2]$ лето'!an1365-'[2]$ лето'!am1365-'[2]$ лето'!al1365-'[2]$ лето'!ak1365-'[2]$ лето'!aj1365-'[2]$ лето'!ah1365-'[2]$ лето'!ag1365-'[2]$ лето'!af1365-'[2]$ лето'!ae1365-'[2]$ лето'!ad1365-'[2]$ лето'!ab1365-'[2]$ лето'!aa1365-'[2]$ лето'!z1365-'[2]$ лето'!y1365-'[2]$ лето'!x1365-'[2]$ лето'!v1365-'[2]$ лето'!u1365-'[2]$ лето'!t1365-'[2]$ лето'!s1365-'[2]$ лето'!r1365-'[2]$ лето'!p1365-'[2]$ лето'!o1365-'[2]$ лето'!n1365-'[2]$ лето'!m1365-'[2]$ лето'!l1365+'[2]$ лето'!k1365+'[2]$ лето'!q1365+'[2]$ лето'!w1365+'[2]$ лето'!ac1365+'[2]$ лето'!ai1365+'[2]$ лето'!ao1365</f>
        <v>0</v>
      </c>
      <c r="I1365" s="109" t="n">
        <f aca="false">'[2]$ лето'!ay1365*1.1</f>
        <v>2833.6</v>
      </c>
    </row>
    <row r="1366" customFormat="false" ht="15" hidden="false" customHeight="false" outlineLevel="0" collapsed="false">
      <c r="A1366" s="115" t="s">
        <v>1945</v>
      </c>
      <c r="B1366" s="115" t="s">
        <v>658</v>
      </c>
      <c r="C1366" s="116" t="s">
        <v>1948</v>
      </c>
      <c r="D1366" s="116"/>
      <c r="E1366" s="116" t="n">
        <v>98</v>
      </c>
      <c r="F1366" s="116" t="s">
        <v>1949</v>
      </c>
      <c r="G1366" s="108" t="s">
        <v>933</v>
      </c>
      <c r="H1366" s="105" t="n">
        <f aca="false">'[2]$ лето'!j1366-'[2]$ лето'!au1366-'[2]$ лето'!at1366-'[2]$ лето'!as1366-'[2]$ лето'!ar1366-'[2]$ лето'!aq1366-'[2]$ лето'!ap1366-'[2]$ лето'!an1366-'[2]$ лето'!am1366-'[2]$ лето'!al1366-'[2]$ лето'!ak1366-'[2]$ лето'!aj1366-'[2]$ лето'!ah1366-'[2]$ лето'!ag1366-'[2]$ лето'!af1366-'[2]$ лето'!ae1366-'[2]$ лето'!ad1366-'[2]$ лето'!ab1366-'[2]$ лето'!aa1366-'[2]$ лето'!z1366-'[2]$ лето'!y1366-'[2]$ лето'!x1366-'[2]$ лето'!v1366-'[2]$ лето'!u1366-'[2]$ лето'!t1366-'[2]$ лето'!s1366-'[2]$ лето'!r1366-'[2]$ лето'!p1366-'[2]$ лето'!o1366-'[2]$ лето'!n1366-'[2]$ лето'!m1366-'[2]$ лето'!l1366+'[2]$ лето'!k1366+'[2]$ лето'!q1366+'[2]$ лето'!w1366+'[2]$ лето'!ac1366+'[2]$ лето'!ai1366+'[2]$ лето'!ao1366</f>
        <v>4</v>
      </c>
      <c r="I1366" s="109" t="n">
        <f aca="false">'[2]$ лето'!ay1366*1.1</f>
        <v>4866.4</v>
      </c>
      <c r="J1366" s="85" t="n">
        <v>2017</v>
      </c>
    </row>
    <row r="1367" customFormat="false" ht="15" hidden="true" customHeight="false" outlineLevel="0" collapsed="false">
      <c r="A1367" s="115" t="s">
        <v>1945</v>
      </c>
      <c r="B1367" s="115" t="s">
        <v>553</v>
      </c>
      <c r="C1367" s="116" t="s">
        <v>1950</v>
      </c>
      <c r="D1367" s="116"/>
      <c r="E1367" s="116"/>
      <c r="F1367" s="116"/>
      <c r="G1367" s="108"/>
      <c r="H1367" s="105" t="n">
        <f aca="false">'[2]$ лето'!j1367-'[2]$ лето'!au1367-'[2]$ лето'!at1367-'[2]$ лето'!as1367-'[2]$ лето'!ar1367-'[2]$ лето'!aq1367-'[2]$ лето'!ap1367-'[2]$ лето'!an1367-'[2]$ лето'!am1367-'[2]$ лето'!al1367-'[2]$ лето'!ak1367-'[2]$ лето'!aj1367-'[2]$ лето'!ah1367-'[2]$ лето'!ag1367-'[2]$ лето'!af1367-'[2]$ лето'!ae1367-'[2]$ лето'!ad1367-'[2]$ лето'!ab1367-'[2]$ лето'!aa1367-'[2]$ лето'!z1367-'[2]$ лето'!y1367-'[2]$ лето'!x1367-'[2]$ лето'!v1367-'[2]$ лето'!u1367-'[2]$ лето'!t1367-'[2]$ лето'!s1367-'[2]$ лето'!r1367-'[2]$ лето'!p1367-'[2]$ лето'!o1367-'[2]$ лето'!n1367-'[2]$ лето'!m1367-'[2]$ лето'!l1367+'[2]$ лето'!k1367+'[2]$ лето'!q1367+'[2]$ лето'!w1367+'[2]$ лето'!ac1367+'[2]$ лето'!ai1367+'[2]$ лето'!ao1367</f>
        <v>0</v>
      </c>
      <c r="I1367" s="109" t="n">
        <f aca="false">'[2]$ лето'!ay1367*1.1</f>
        <v>3542</v>
      </c>
    </row>
    <row r="1368" customFormat="false" ht="15" hidden="true" customHeight="false" outlineLevel="0" collapsed="false">
      <c r="A1368" s="115" t="s">
        <v>1945</v>
      </c>
      <c r="B1368" s="115" t="s">
        <v>604</v>
      </c>
      <c r="C1368" s="116" t="s">
        <v>1951</v>
      </c>
      <c r="D1368" s="116"/>
      <c r="E1368" s="116"/>
      <c r="F1368" s="116"/>
      <c r="G1368" s="108" t="s">
        <v>868</v>
      </c>
      <c r="H1368" s="105" t="n">
        <f aca="false">'[2]$ лето'!j1368-'[2]$ лето'!au1368-'[2]$ лето'!at1368-'[2]$ лето'!as1368-'[2]$ лето'!ar1368-'[2]$ лето'!aq1368-'[2]$ лето'!ap1368-'[2]$ лето'!an1368-'[2]$ лето'!am1368-'[2]$ лето'!al1368-'[2]$ лето'!ak1368-'[2]$ лето'!aj1368-'[2]$ лето'!ah1368-'[2]$ лето'!ag1368-'[2]$ лето'!af1368-'[2]$ лето'!ae1368-'[2]$ лето'!ad1368-'[2]$ лето'!ab1368-'[2]$ лето'!aa1368-'[2]$ лето'!z1368-'[2]$ лето'!y1368-'[2]$ лето'!x1368-'[2]$ лето'!v1368-'[2]$ лето'!u1368-'[2]$ лето'!t1368-'[2]$ лето'!s1368-'[2]$ лето'!r1368-'[2]$ лето'!p1368-'[2]$ лето'!o1368-'[2]$ лето'!n1368-'[2]$ лето'!m1368-'[2]$ лето'!l1368+'[2]$ лето'!k1368+'[2]$ лето'!q1368+'[2]$ лето'!w1368+'[2]$ лето'!ac1368+'[2]$ лето'!ai1368+'[2]$ лето'!ao1368</f>
        <v>0</v>
      </c>
      <c r="I1368" s="109" t="n">
        <f aca="false">'[2]$ лето'!ay1368*1.1</f>
        <v>3542</v>
      </c>
      <c r="J1368" s="85" t="n">
        <v>2017</v>
      </c>
    </row>
    <row r="1369" customFormat="false" ht="15" hidden="true" customHeight="false" outlineLevel="0" collapsed="false">
      <c r="A1369" s="115" t="s">
        <v>1945</v>
      </c>
      <c r="B1369" s="115" t="s">
        <v>574</v>
      </c>
      <c r="C1369" s="116" t="s">
        <v>1952</v>
      </c>
      <c r="D1369" s="116"/>
      <c r="E1369" s="116"/>
      <c r="F1369" s="116"/>
      <c r="G1369" s="108" t="s">
        <v>576</v>
      </c>
      <c r="H1369" s="105" t="n">
        <f aca="false">'[2]$ лето'!j1369-'[2]$ лето'!au1369-'[2]$ лето'!at1369-'[2]$ лето'!as1369-'[2]$ лето'!ar1369-'[2]$ лето'!aq1369-'[2]$ лето'!ap1369-'[2]$ лето'!an1369-'[2]$ лето'!am1369-'[2]$ лето'!al1369-'[2]$ лето'!ak1369-'[2]$ лето'!aj1369-'[2]$ лето'!ah1369-'[2]$ лето'!ag1369-'[2]$ лето'!af1369-'[2]$ лето'!ae1369-'[2]$ лето'!ad1369-'[2]$ лето'!ab1369-'[2]$ лето'!aa1369-'[2]$ лето'!z1369-'[2]$ лето'!y1369-'[2]$ лето'!x1369-'[2]$ лето'!v1369-'[2]$ лето'!u1369-'[2]$ лето'!t1369-'[2]$ лето'!s1369-'[2]$ лето'!r1369-'[2]$ лето'!p1369-'[2]$ лето'!o1369-'[2]$ лето'!n1369-'[2]$ лето'!m1369-'[2]$ лето'!l1369+'[2]$ лето'!k1369+'[2]$ лето'!q1369+'[2]$ лето'!w1369+'[2]$ лето'!ac1369+'[2]$ лето'!ai1369+'[2]$ лето'!ao1369</f>
        <v>0</v>
      </c>
      <c r="I1369" s="109" t="n">
        <f aca="false">'[2]$ лето'!ay1369*1.1</f>
        <v>2525.6</v>
      </c>
      <c r="J1369" s="85" t="n">
        <v>2017</v>
      </c>
    </row>
    <row r="1370" customFormat="false" ht="15" hidden="true" customHeight="false" outlineLevel="0" collapsed="false">
      <c r="A1370" s="115" t="s">
        <v>1945</v>
      </c>
      <c r="B1370" s="115" t="s">
        <v>593</v>
      </c>
      <c r="C1370" s="116" t="s">
        <v>1953</v>
      </c>
      <c r="D1370" s="116"/>
      <c r="E1370" s="116"/>
      <c r="F1370" s="116"/>
      <c r="G1370" s="108" t="s">
        <v>1954</v>
      </c>
      <c r="H1370" s="105" t="n">
        <f aca="false">'[2]$ лето'!j1370-'[2]$ лето'!au1370-'[2]$ лето'!at1370-'[2]$ лето'!as1370-'[2]$ лето'!ar1370-'[2]$ лето'!aq1370-'[2]$ лето'!ap1370-'[2]$ лето'!an1370-'[2]$ лето'!am1370-'[2]$ лето'!al1370-'[2]$ лето'!ak1370-'[2]$ лето'!aj1370-'[2]$ лето'!ah1370-'[2]$ лето'!ag1370-'[2]$ лето'!af1370-'[2]$ лето'!ae1370-'[2]$ лето'!ad1370-'[2]$ лето'!ab1370-'[2]$ лето'!aa1370-'[2]$ лето'!z1370-'[2]$ лето'!y1370-'[2]$ лето'!x1370-'[2]$ лето'!v1370-'[2]$ лето'!u1370-'[2]$ лето'!t1370-'[2]$ лето'!s1370-'[2]$ лето'!r1370-'[2]$ лето'!p1370-'[2]$ лето'!o1370-'[2]$ лето'!n1370-'[2]$ лето'!m1370-'[2]$ лето'!l1370+'[2]$ лето'!k1370+'[2]$ лето'!q1370+'[2]$ лето'!w1370+'[2]$ лето'!ac1370+'[2]$ лето'!ai1370+'[2]$ лето'!ao1370</f>
        <v>0</v>
      </c>
      <c r="I1370" s="109" t="n">
        <f aca="false">'[2]$ лето'!ay1370*1.1</f>
        <v>4466</v>
      </c>
    </row>
    <row r="1371" customFormat="false" ht="15" hidden="true" customHeight="false" outlineLevel="0" collapsed="false">
      <c r="A1371" s="115" t="s">
        <v>1945</v>
      </c>
      <c r="B1371" s="115" t="s">
        <v>593</v>
      </c>
      <c r="C1371" s="116" t="s">
        <v>1955</v>
      </c>
      <c r="D1371" s="116"/>
      <c r="E1371" s="116"/>
      <c r="F1371" s="116"/>
      <c r="G1371" s="108" t="s">
        <v>1240</v>
      </c>
      <c r="H1371" s="105" t="n">
        <f aca="false">'[2]$ лето'!j1371-'[2]$ лето'!au1371-'[2]$ лето'!at1371-'[2]$ лето'!as1371-'[2]$ лето'!ar1371-'[2]$ лето'!aq1371-'[2]$ лето'!ap1371-'[2]$ лето'!an1371-'[2]$ лето'!am1371-'[2]$ лето'!al1371-'[2]$ лето'!ak1371-'[2]$ лето'!aj1371-'[2]$ лето'!ah1371-'[2]$ лето'!ag1371-'[2]$ лето'!af1371-'[2]$ лето'!ae1371-'[2]$ лето'!ad1371-'[2]$ лето'!ab1371-'[2]$ лето'!aa1371-'[2]$ лето'!z1371-'[2]$ лето'!y1371-'[2]$ лето'!x1371-'[2]$ лето'!v1371-'[2]$ лето'!u1371-'[2]$ лето'!t1371-'[2]$ лето'!s1371-'[2]$ лето'!r1371-'[2]$ лето'!p1371-'[2]$ лето'!o1371-'[2]$ лето'!n1371-'[2]$ лето'!m1371-'[2]$ лето'!l1371+'[2]$ лето'!k1371+'[2]$ лето'!q1371+'[2]$ лето'!w1371+'[2]$ лето'!ac1371+'[2]$ лето'!ai1371+'[2]$ лето'!ao1371</f>
        <v>0</v>
      </c>
      <c r="I1371" s="109" t="n">
        <f aca="false">'[2]$ лето'!ay1371*1.1</f>
        <v>6837.6</v>
      </c>
    </row>
    <row r="1372" customFormat="false" ht="15" hidden="true" customHeight="false" outlineLevel="0" collapsed="false">
      <c r="A1372" s="115" t="s">
        <v>1945</v>
      </c>
      <c r="B1372" s="115" t="s">
        <v>615</v>
      </c>
      <c r="C1372" s="116" t="s">
        <v>1956</v>
      </c>
      <c r="D1372" s="116"/>
      <c r="E1372" s="116"/>
      <c r="F1372" s="116"/>
      <c r="G1372" s="108"/>
      <c r="H1372" s="105" t="n">
        <f aca="false">'[2]$ лето'!j1372-'[2]$ лето'!au1372-'[2]$ лето'!at1372-'[2]$ лето'!as1372-'[2]$ лето'!ar1372-'[2]$ лето'!aq1372-'[2]$ лето'!ap1372-'[2]$ лето'!an1372-'[2]$ лето'!am1372-'[2]$ лето'!al1372-'[2]$ лето'!ak1372-'[2]$ лето'!aj1372-'[2]$ лето'!ah1372-'[2]$ лето'!ag1372-'[2]$ лето'!af1372-'[2]$ лето'!ae1372-'[2]$ лето'!ad1372-'[2]$ лето'!ab1372-'[2]$ лето'!aa1372-'[2]$ лето'!z1372-'[2]$ лето'!y1372-'[2]$ лето'!x1372-'[2]$ лето'!v1372-'[2]$ лето'!u1372-'[2]$ лето'!t1372-'[2]$ лето'!s1372-'[2]$ лето'!r1372-'[2]$ лето'!p1372-'[2]$ лето'!o1372-'[2]$ лето'!n1372-'[2]$ лето'!m1372-'[2]$ лето'!l1372+'[2]$ лето'!k1372+'[2]$ лето'!q1372+'[2]$ лето'!w1372+'[2]$ лето'!ac1372+'[2]$ лето'!ai1372+'[2]$ лето'!ao1372</f>
        <v>0</v>
      </c>
      <c r="I1372" s="109" t="n">
        <f aca="false">'[2]$ лето'!ay1372*1.1</f>
        <v>2618</v>
      </c>
    </row>
    <row r="1373" customFormat="false" ht="15" hidden="false" customHeight="false" outlineLevel="0" collapsed="false">
      <c r="A1373" s="115" t="s">
        <v>1945</v>
      </c>
      <c r="B1373" s="115" t="s">
        <v>981</v>
      </c>
      <c r="C1373" s="116" t="s">
        <v>1957</v>
      </c>
      <c r="D1373" s="116"/>
      <c r="E1373" s="116"/>
      <c r="F1373" s="116"/>
      <c r="G1373" s="108" t="s">
        <v>933</v>
      </c>
      <c r="H1373" s="105" t="n">
        <f aca="false">'[2]$ лето'!j1373-'[2]$ лето'!au1373-'[2]$ лето'!at1373-'[2]$ лето'!as1373-'[2]$ лето'!ar1373-'[2]$ лето'!aq1373-'[2]$ лето'!ap1373-'[2]$ лето'!an1373-'[2]$ лето'!am1373-'[2]$ лето'!al1373-'[2]$ лето'!ak1373-'[2]$ лето'!aj1373-'[2]$ лето'!ah1373-'[2]$ лето'!ag1373-'[2]$ лето'!af1373-'[2]$ лето'!ae1373-'[2]$ лето'!ad1373-'[2]$ лето'!ab1373-'[2]$ лето'!aa1373-'[2]$ лето'!z1373-'[2]$ лето'!y1373-'[2]$ лето'!x1373-'[2]$ лето'!v1373-'[2]$ лето'!u1373-'[2]$ лето'!t1373-'[2]$ лето'!s1373-'[2]$ лето'!r1373-'[2]$ лето'!p1373-'[2]$ лето'!o1373-'[2]$ лето'!n1373-'[2]$ лето'!m1373-'[2]$ лето'!l1373+'[2]$ лето'!k1373+'[2]$ лето'!q1373+'[2]$ лето'!w1373+'[2]$ лето'!ac1373+'[2]$ лето'!ai1373+'[2]$ лето'!ao1373</f>
        <v>2</v>
      </c>
      <c r="I1373" s="109" t="n">
        <f aca="false">'[2]$ лето'!ay1373*1.1</f>
        <v>3696</v>
      </c>
      <c r="J1373" s="85" t="n">
        <v>2017</v>
      </c>
    </row>
    <row r="1374" customFormat="false" ht="15" hidden="true" customHeight="false" outlineLevel="0" collapsed="false">
      <c r="A1374" s="115" t="s">
        <v>1945</v>
      </c>
      <c r="B1374" s="115" t="s">
        <v>623</v>
      </c>
      <c r="C1374" s="116" t="s">
        <v>1623</v>
      </c>
      <c r="D1374" s="116"/>
      <c r="E1374" s="116"/>
      <c r="F1374" s="116"/>
      <c r="G1374" s="108"/>
      <c r="H1374" s="105" t="n">
        <f aca="false">'[2]$ лето'!j1374-'[2]$ лето'!au1374-'[2]$ лето'!at1374-'[2]$ лето'!as1374-'[2]$ лето'!ar1374-'[2]$ лето'!aq1374-'[2]$ лето'!ap1374-'[2]$ лето'!an1374-'[2]$ лето'!am1374-'[2]$ лето'!al1374-'[2]$ лето'!ak1374-'[2]$ лето'!aj1374-'[2]$ лето'!ah1374-'[2]$ лето'!ag1374-'[2]$ лето'!af1374-'[2]$ лето'!ae1374-'[2]$ лето'!ad1374-'[2]$ лето'!ab1374-'[2]$ лето'!aa1374-'[2]$ лето'!z1374-'[2]$ лето'!y1374-'[2]$ лето'!x1374-'[2]$ лето'!v1374-'[2]$ лето'!u1374-'[2]$ лето'!t1374-'[2]$ лето'!s1374-'[2]$ лето'!r1374-'[2]$ лето'!p1374-'[2]$ лето'!o1374-'[2]$ лето'!n1374-'[2]$ лето'!m1374-'[2]$ лето'!l1374+'[2]$ лето'!k1374+'[2]$ лето'!q1374+'[2]$ лето'!w1374+'[2]$ лето'!ac1374+'[2]$ лето'!ai1374+'[2]$ лето'!ao1374</f>
        <v>0</v>
      </c>
      <c r="I1374" s="109" t="n">
        <f aca="false">'[2]$ лето'!ay1374*1.1</f>
        <v>1909.6</v>
      </c>
      <c r="J1374" s="85" t="n">
        <v>2018</v>
      </c>
    </row>
    <row r="1375" customFormat="false" ht="15" hidden="true" customHeight="false" outlineLevel="0" collapsed="false">
      <c r="A1375" s="115" t="s">
        <v>1945</v>
      </c>
      <c r="B1375" s="115" t="s">
        <v>564</v>
      </c>
      <c r="C1375" s="116" t="s">
        <v>1958</v>
      </c>
      <c r="D1375" s="116"/>
      <c r="E1375" s="116"/>
      <c r="F1375" s="116"/>
      <c r="G1375" s="108" t="s">
        <v>520</v>
      </c>
      <c r="H1375" s="105" t="n">
        <f aca="false">'[2]$ лето'!j1375-'[2]$ лето'!au1375-'[2]$ лето'!at1375-'[2]$ лето'!as1375-'[2]$ лето'!ar1375-'[2]$ лето'!aq1375-'[2]$ лето'!ap1375-'[2]$ лето'!an1375-'[2]$ лето'!am1375-'[2]$ лето'!al1375-'[2]$ лето'!ak1375-'[2]$ лето'!aj1375-'[2]$ лето'!ah1375-'[2]$ лето'!ag1375-'[2]$ лето'!af1375-'[2]$ лето'!ae1375-'[2]$ лето'!ad1375-'[2]$ лето'!ab1375-'[2]$ лето'!aa1375-'[2]$ лето'!z1375-'[2]$ лето'!y1375-'[2]$ лето'!x1375-'[2]$ лето'!v1375-'[2]$ лето'!u1375-'[2]$ лето'!t1375-'[2]$ лето'!s1375-'[2]$ лето'!r1375-'[2]$ лето'!p1375-'[2]$ лето'!o1375-'[2]$ лето'!n1375-'[2]$ лето'!m1375-'[2]$ лето'!l1375+'[2]$ лето'!k1375+'[2]$ лето'!q1375+'[2]$ лето'!w1375+'[2]$ лето'!ac1375+'[2]$ лето'!ai1375+'[2]$ лето'!ao1375</f>
        <v>0</v>
      </c>
      <c r="I1375" s="109" t="n">
        <f aca="false">'[2]$ лето'!ay1375*1.1</f>
        <v>1694</v>
      </c>
      <c r="J1375" s="85" t="n">
        <v>2017</v>
      </c>
    </row>
    <row r="1376" customFormat="false" ht="15" hidden="true" customHeight="false" outlineLevel="0" collapsed="false">
      <c r="A1376" s="115" t="s">
        <v>1945</v>
      </c>
      <c r="B1376" s="115" t="s">
        <v>564</v>
      </c>
      <c r="C1376" s="116" t="s">
        <v>1959</v>
      </c>
      <c r="D1376" s="116"/>
      <c r="E1376" s="116"/>
      <c r="F1376" s="116"/>
      <c r="G1376" s="108" t="s">
        <v>520</v>
      </c>
      <c r="H1376" s="105" t="n">
        <f aca="false">'[2]$ лето'!j1376-'[2]$ лето'!au1376-'[2]$ лето'!at1376-'[2]$ лето'!as1376-'[2]$ лето'!ar1376-'[2]$ лето'!aq1376-'[2]$ лето'!ap1376-'[2]$ лето'!an1376-'[2]$ лето'!am1376-'[2]$ лето'!al1376-'[2]$ лето'!ak1376-'[2]$ лето'!aj1376-'[2]$ лето'!ah1376-'[2]$ лето'!ag1376-'[2]$ лето'!af1376-'[2]$ лето'!ae1376-'[2]$ лето'!ad1376-'[2]$ лето'!ab1376-'[2]$ лето'!aa1376-'[2]$ лето'!z1376-'[2]$ лето'!y1376-'[2]$ лето'!x1376-'[2]$ лето'!v1376-'[2]$ лето'!u1376-'[2]$ лето'!t1376-'[2]$ лето'!s1376-'[2]$ лето'!r1376-'[2]$ лето'!p1376-'[2]$ лето'!o1376-'[2]$ лето'!n1376-'[2]$ лето'!m1376-'[2]$ лето'!l1376+'[2]$ лето'!k1376+'[2]$ лето'!q1376+'[2]$ лето'!w1376+'[2]$ лето'!ac1376+'[2]$ лето'!ai1376+'[2]$ лето'!ao1376</f>
        <v>0</v>
      </c>
      <c r="I1376" s="109" t="n">
        <f aca="false">'[2]$ лето'!ay1376*1.1</f>
        <v>1694</v>
      </c>
      <c r="J1376" s="85" t="n">
        <v>2017</v>
      </c>
    </row>
    <row r="1377" customFormat="false" ht="15" hidden="true" customHeight="false" outlineLevel="0" collapsed="false">
      <c r="A1377" s="115" t="s">
        <v>1960</v>
      </c>
      <c r="B1377" s="115" t="s">
        <v>1528</v>
      </c>
      <c r="C1377" s="116" t="s">
        <v>1961</v>
      </c>
      <c r="D1377" s="116"/>
      <c r="E1377" s="116"/>
      <c r="F1377" s="116"/>
      <c r="G1377" s="108" t="s">
        <v>563</v>
      </c>
      <c r="H1377" s="105" t="n">
        <f aca="false">'[2]$ лето'!j1377-'[2]$ лето'!au1377-'[2]$ лето'!at1377-'[2]$ лето'!as1377-'[2]$ лето'!ar1377-'[2]$ лето'!aq1377-'[2]$ лето'!ap1377-'[2]$ лето'!an1377-'[2]$ лето'!am1377-'[2]$ лето'!al1377-'[2]$ лето'!ak1377-'[2]$ лето'!aj1377-'[2]$ лето'!ah1377-'[2]$ лето'!ag1377-'[2]$ лето'!af1377-'[2]$ лето'!ae1377-'[2]$ лето'!ad1377-'[2]$ лето'!ab1377-'[2]$ лето'!aa1377-'[2]$ лето'!z1377-'[2]$ лето'!y1377-'[2]$ лето'!x1377-'[2]$ лето'!v1377-'[2]$ лето'!u1377-'[2]$ лето'!t1377-'[2]$ лето'!s1377-'[2]$ лето'!r1377-'[2]$ лето'!p1377-'[2]$ лето'!o1377-'[2]$ лето'!n1377-'[2]$ лето'!m1377-'[2]$ лето'!l1377+'[2]$ лето'!k1377+'[2]$ лето'!q1377+'[2]$ лето'!w1377+'[2]$ лето'!ac1377+'[2]$ лето'!ai1377+'[2]$ лето'!ao1377</f>
        <v>0</v>
      </c>
      <c r="I1377" s="109" t="n">
        <f aca="false">'[2]$ лето'!ay1377*1.1</f>
        <v>1909.6</v>
      </c>
      <c r="J1377" s="85" t="n">
        <v>2016</v>
      </c>
    </row>
    <row r="1378" customFormat="false" ht="15" hidden="true" customHeight="false" outlineLevel="0" collapsed="false">
      <c r="A1378" s="115" t="s">
        <v>1960</v>
      </c>
      <c r="B1378" s="115" t="s">
        <v>658</v>
      </c>
      <c r="C1378" s="116" t="s">
        <v>1962</v>
      </c>
      <c r="D1378" s="116"/>
      <c r="E1378" s="116" t="n">
        <v>97</v>
      </c>
      <c r="F1378" s="116" t="s">
        <v>814</v>
      </c>
      <c r="G1378" s="108" t="s">
        <v>585</v>
      </c>
      <c r="H1378" s="105" t="n">
        <f aca="false">'[2]$ лето'!j1378-'[2]$ лето'!au1378-'[2]$ лето'!at1378-'[2]$ лето'!as1378-'[2]$ лето'!ar1378-'[2]$ лето'!aq1378-'[2]$ лето'!ap1378-'[2]$ лето'!an1378-'[2]$ лето'!am1378-'[2]$ лето'!al1378-'[2]$ лето'!ak1378-'[2]$ лето'!aj1378-'[2]$ лето'!ah1378-'[2]$ лето'!ag1378-'[2]$ лето'!af1378-'[2]$ лето'!ae1378-'[2]$ лето'!ad1378-'[2]$ лето'!ab1378-'[2]$ лето'!aa1378-'[2]$ лето'!z1378-'[2]$ лето'!y1378-'[2]$ лето'!x1378-'[2]$ лето'!v1378-'[2]$ лето'!u1378-'[2]$ лето'!t1378-'[2]$ лето'!s1378-'[2]$ лето'!r1378-'[2]$ лето'!p1378-'[2]$ лето'!o1378-'[2]$ лето'!n1378-'[2]$ лето'!m1378-'[2]$ лето'!l1378+'[2]$ лето'!k1378+'[2]$ лето'!q1378+'[2]$ лето'!w1378+'[2]$ лето'!ac1378+'[2]$ лето'!ai1378+'[2]$ лето'!ao1378</f>
        <v>0</v>
      </c>
      <c r="I1378" s="109" t="n">
        <f aca="false">'[2]$ лето'!ay1378*1.1</f>
        <v>4312</v>
      </c>
      <c r="J1378" s="85" t="n">
        <v>2017</v>
      </c>
    </row>
    <row r="1379" customFormat="false" ht="15" hidden="true" customHeight="false" outlineLevel="0" collapsed="false">
      <c r="A1379" s="115" t="s">
        <v>1960</v>
      </c>
      <c r="B1379" s="115" t="s">
        <v>606</v>
      </c>
      <c r="C1379" s="116" t="s">
        <v>1963</v>
      </c>
      <c r="D1379" s="116"/>
      <c r="E1379" s="116"/>
      <c r="F1379" s="116"/>
      <c r="G1379" s="108"/>
      <c r="H1379" s="105" t="n">
        <f aca="false">'[2]$ лето'!j1379-'[2]$ лето'!au1379-'[2]$ лето'!at1379-'[2]$ лето'!as1379-'[2]$ лето'!ar1379-'[2]$ лето'!aq1379-'[2]$ лето'!ap1379-'[2]$ лето'!an1379-'[2]$ лето'!am1379-'[2]$ лето'!al1379-'[2]$ лето'!ak1379-'[2]$ лето'!aj1379-'[2]$ лето'!ah1379-'[2]$ лето'!ag1379-'[2]$ лето'!af1379-'[2]$ лето'!ae1379-'[2]$ лето'!ad1379-'[2]$ лето'!ab1379-'[2]$ лето'!aa1379-'[2]$ лето'!z1379-'[2]$ лето'!y1379-'[2]$ лето'!x1379-'[2]$ лето'!v1379-'[2]$ лето'!u1379-'[2]$ лето'!t1379-'[2]$ лето'!s1379-'[2]$ лето'!r1379-'[2]$ лето'!p1379-'[2]$ лето'!o1379-'[2]$ лето'!n1379-'[2]$ лето'!m1379-'[2]$ лето'!l1379+'[2]$ лето'!k1379+'[2]$ лето'!q1379+'[2]$ лето'!w1379+'[2]$ лето'!ac1379+'[2]$ лето'!ai1379+'[2]$ лето'!ao1379</f>
        <v>0</v>
      </c>
      <c r="I1379" s="109" t="n">
        <f aca="false">'[2]$ лето'!ay1379*1.1</f>
        <v>2926</v>
      </c>
      <c r="J1379" s="85" t="n">
        <v>2016</v>
      </c>
    </row>
    <row r="1380" customFormat="false" ht="15" hidden="true" customHeight="false" outlineLevel="0" collapsed="false">
      <c r="A1380" s="115" t="s">
        <v>1960</v>
      </c>
      <c r="B1380" s="115" t="s">
        <v>668</v>
      </c>
      <c r="C1380" s="116" t="s">
        <v>1964</v>
      </c>
      <c r="D1380" s="116"/>
      <c r="E1380" s="116"/>
      <c r="F1380" s="116"/>
      <c r="G1380" s="108" t="s">
        <v>609</v>
      </c>
      <c r="H1380" s="105" t="n">
        <f aca="false">'[2]$ лето'!j1380-'[2]$ лето'!au1380-'[2]$ лето'!at1380-'[2]$ лето'!as1380-'[2]$ лето'!ar1380-'[2]$ лето'!aq1380-'[2]$ лето'!ap1380-'[2]$ лето'!an1380-'[2]$ лето'!am1380-'[2]$ лето'!al1380-'[2]$ лето'!ak1380-'[2]$ лето'!aj1380-'[2]$ лето'!ah1380-'[2]$ лето'!ag1380-'[2]$ лето'!af1380-'[2]$ лето'!ae1380-'[2]$ лето'!ad1380-'[2]$ лето'!ab1380-'[2]$ лето'!aa1380-'[2]$ лето'!z1380-'[2]$ лето'!y1380-'[2]$ лето'!x1380-'[2]$ лето'!v1380-'[2]$ лето'!u1380-'[2]$ лето'!t1380-'[2]$ лето'!s1380-'[2]$ лето'!r1380-'[2]$ лето'!p1380-'[2]$ лето'!o1380-'[2]$ лето'!n1380-'[2]$ лето'!m1380-'[2]$ лето'!l1380+'[2]$ лето'!k1380+'[2]$ лето'!q1380+'[2]$ лето'!w1380+'[2]$ лето'!ac1380+'[2]$ лето'!ai1380+'[2]$ лето'!ao1380</f>
        <v>0</v>
      </c>
      <c r="I1380" s="109" t="n">
        <f aca="false">'[2]$ лето'!ay1380*1.1</f>
        <v>1232</v>
      </c>
    </row>
    <row r="1381" customFormat="false" ht="15" hidden="true" customHeight="false" outlineLevel="0" collapsed="false">
      <c r="A1381" s="115" t="s">
        <v>1960</v>
      </c>
      <c r="B1381" s="115" t="s">
        <v>668</v>
      </c>
      <c r="C1381" s="116" t="s">
        <v>1965</v>
      </c>
      <c r="D1381" s="116"/>
      <c r="E1381" s="116"/>
      <c r="F1381" s="116"/>
      <c r="G1381" s="108" t="s">
        <v>609</v>
      </c>
      <c r="H1381" s="105" t="n">
        <f aca="false">'[2]$ лето'!j1381-'[2]$ лето'!au1381-'[2]$ лето'!at1381-'[2]$ лето'!as1381-'[2]$ лето'!ar1381-'[2]$ лето'!aq1381-'[2]$ лето'!ap1381-'[2]$ лето'!an1381-'[2]$ лето'!am1381-'[2]$ лето'!al1381-'[2]$ лето'!ak1381-'[2]$ лето'!aj1381-'[2]$ лето'!ah1381-'[2]$ лето'!ag1381-'[2]$ лето'!af1381-'[2]$ лето'!ae1381-'[2]$ лето'!ad1381-'[2]$ лето'!ab1381-'[2]$ лето'!aa1381-'[2]$ лето'!z1381-'[2]$ лето'!y1381-'[2]$ лето'!x1381-'[2]$ лето'!v1381-'[2]$ лето'!u1381-'[2]$ лето'!t1381-'[2]$ лето'!s1381-'[2]$ лето'!r1381-'[2]$ лето'!p1381-'[2]$ лето'!o1381-'[2]$ лето'!n1381-'[2]$ лето'!m1381-'[2]$ лето'!l1381+'[2]$ лето'!k1381+'[2]$ лето'!q1381+'[2]$ лето'!w1381+'[2]$ лето'!ac1381+'[2]$ лето'!ai1381+'[2]$ лето'!ao1381</f>
        <v>0</v>
      </c>
      <c r="I1381" s="109" t="n">
        <f aca="false">'[2]$ лето'!ay1381*1.1</f>
        <v>3080</v>
      </c>
    </row>
    <row r="1382" customFormat="false" ht="15" hidden="true" customHeight="false" outlineLevel="0" collapsed="false">
      <c r="A1382" s="115" t="s">
        <v>1960</v>
      </c>
      <c r="B1382" s="115" t="s">
        <v>583</v>
      </c>
      <c r="C1382" s="116" t="s">
        <v>1966</v>
      </c>
      <c r="D1382" s="116"/>
      <c r="E1382" s="116"/>
      <c r="F1382" s="116"/>
      <c r="G1382" s="108" t="s">
        <v>1240</v>
      </c>
      <c r="H1382" s="105" t="n">
        <f aca="false">'[2]$ лето'!j1382-'[2]$ лето'!au1382-'[2]$ лето'!at1382-'[2]$ лето'!as1382-'[2]$ лето'!ar1382-'[2]$ лето'!aq1382-'[2]$ лето'!ap1382-'[2]$ лето'!an1382-'[2]$ лето'!am1382-'[2]$ лето'!al1382-'[2]$ лето'!ak1382-'[2]$ лето'!aj1382-'[2]$ лето'!ah1382-'[2]$ лето'!ag1382-'[2]$ лето'!af1382-'[2]$ лето'!ae1382-'[2]$ лето'!ad1382-'[2]$ лето'!ab1382-'[2]$ лето'!aa1382-'[2]$ лето'!z1382-'[2]$ лето'!y1382-'[2]$ лето'!x1382-'[2]$ лето'!v1382-'[2]$ лето'!u1382-'[2]$ лето'!t1382-'[2]$ лето'!s1382-'[2]$ лето'!r1382-'[2]$ лето'!p1382-'[2]$ лето'!o1382-'[2]$ лето'!n1382-'[2]$ лето'!m1382-'[2]$ лето'!l1382+'[2]$ лето'!k1382+'[2]$ лето'!q1382+'[2]$ лето'!w1382+'[2]$ лето'!ac1382+'[2]$ лето'!ai1382+'[2]$ лето'!ao1382</f>
        <v>0</v>
      </c>
      <c r="I1382" s="109" t="n">
        <f aca="false">'[2]$ лето'!ay1382*1.1</f>
        <v>2926</v>
      </c>
      <c r="J1382" s="85" t="n">
        <v>2017</v>
      </c>
    </row>
    <row r="1383" customFormat="false" ht="15" hidden="true" customHeight="false" outlineLevel="0" collapsed="false">
      <c r="A1383" s="115" t="s">
        <v>1960</v>
      </c>
      <c r="B1383" s="115" t="s">
        <v>593</v>
      </c>
      <c r="C1383" s="107" t="s">
        <v>1967</v>
      </c>
      <c r="D1383" s="107"/>
      <c r="E1383" s="107"/>
      <c r="F1383" s="107"/>
      <c r="G1383" s="108"/>
      <c r="H1383" s="105" t="n">
        <f aca="false">'[2]$ лето'!j1383-'[2]$ лето'!au1383-'[2]$ лето'!at1383-'[2]$ лето'!as1383-'[2]$ лето'!ar1383-'[2]$ лето'!aq1383-'[2]$ лето'!ap1383-'[2]$ лето'!an1383-'[2]$ лето'!am1383-'[2]$ лето'!al1383-'[2]$ лето'!ak1383-'[2]$ лето'!aj1383-'[2]$ лето'!ah1383-'[2]$ лето'!ag1383-'[2]$ лето'!af1383-'[2]$ лето'!ae1383-'[2]$ лето'!ad1383-'[2]$ лето'!ab1383-'[2]$ лето'!aa1383-'[2]$ лето'!z1383-'[2]$ лето'!y1383-'[2]$ лето'!x1383-'[2]$ лето'!v1383-'[2]$ лето'!u1383-'[2]$ лето'!t1383-'[2]$ лето'!s1383-'[2]$ лето'!r1383-'[2]$ лето'!p1383-'[2]$ лето'!o1383-'[2]$ лето'!n1383-'[2]$ лето'!m1383-'[2]$ лето'!l1383+'[2]$ лето'!k1383+'[2]$ лето'!q1383+'[2]$ лето'!w1383+'[2]$ лето'!ac1383+'[2]$ лето'!ai1383+'[2]$ лето'!ao1383</f>
        <v>0</v>
      </c>
      <c r="I1383" s="109" t="n">
        <f aca="false">'[2]$ лето'!ay1383*1.1</f>
        <v>6344.8</v>
      </c>
    </row>
    <row r="1384" customFormat="false" ht="15" hidden="false" customHeight="false" outlineLevel="0" collapsed="false">
      <c r="A1384" s="115" t="s">
        <v>1960</v>
      </c>
      <c r="B1384" s="115" t="s">
        <v>615</v>
      </c>
      <c r="C1384" s="107" t="s">
        <v>1968</v>
      </c>
      <c r="D1384" s="107"/>
      <c r="E1384" s="116"/>
      <c r="F1384" s="116"/>
      <c r="G1384" s="108"/>
      <c r="H1384" s="105" t="n">
        <f aca="false">'[2]$ лето'!j1384-'[2]$ лето'!au1384-'[2]$ лето'!at1384-'[2]$ лето'!as1384-'[2]$ лето'!ar1384-'[2]$ лето'!aq1384-'[2]$ лето'!ap1384-'[2]$ лето'!an1384-'[2]$ лето'!am1384-'[2]$ лето'!al1384-'[2]$ лето'!ak1384-'[2]$ лето'!aj1384-'[2]$ лето'!ah1384-'[2]$ лето'!ag1384-'[2]$ лето'!af1384-'[2]$ лето'!ae1384-'[2]$ лето'!ad1384-'[2]$ лето'!ab1384-'[2]$ лето'!aa1384-'[2]$ лето'!z1384-'[2]$ лето'!y1384-'[2]$ лето'!x1384-'[2]$ лето'!v1384-'[2]$ лето'!u1384-'[2]$ лето'!t1384-'[2]$ лето'!s1384-'[2]$ лето'!r1384-'[2]$ лето'!p1384-'[2]$ лето'!o1384-'[2]$ лето'!n1384-'[2]$ лето'!m1384-'[2]$ лето'!l1384+'[2]$ лето'!k1384+'[2]$ лето'!q1384+'[2]$ лето'!w1384+'[2]$ лето'!ac1384+'[2]$ лето'!ai1384+'[2]$ лето'!ao1384</f>
        <v>2</v>
      </c>
      <c r="I1384" s="109" t="n">
        <f aca="false">'[2]$ лето'!ay1384*1.1</f>
        <v>2679.6</v>
      </c>
    </row>
    <row r="1385" customFormat="false" ht="15" hidden="true" customHeight="false" outlineLevel="0" collapsed="false">
      <c r="A1385" s="115" t="s">
        <v>1960</v>
      </c>
      <c r="B1385" s="115" t="s">
        <v>589</v>
      </c>
      <c r="C1385" s="116" t="s">
        <v>1969</v>
      </c>
      <c r="D1385" s="116"/>
      <c r="E1385" s="116"/>
      <c r="F1385" s="116"/>
      <c r="G1385" s="108"/>
      <c r="H1385" s="105" t="n">
        <f aca="false">'[2]$ лето'!j1385-'[2]$ лето'!au1385-'[2]$ лето'!at1385-'[2]$ лето'!as1385-'[2]$ лето'!ar1385-'[2]$ лето'!aq1385-'[2]$ лето'!ap1385-'[2]$ лето'!an1385-'[2]$ лето'!am1385-'[2]$ лето'!al1385-'[2]$ лето'!ak1385-'[2]$ лето'!aj1385-'[2]$ лето'!ah1385-'[2]$ лето'!ag1385-'[2]$ лето'!af1385-'[2]$ лето'!ae1385-'[2]$ лето'!ad1385-'[2]$ лето'!ab1385-'[2]$ лето'!aa1385-'[2]$ лето'!z1385-'[2]$ лето'!y1385-'[2]$ лето'!x1385-'[2]$ лето'!v1385-'[2]$ лето'!u1385-'[2]$ лето'!t1385-'[2]$ лето'!s1385-'[2]$ лето'!r1385-'[2]$ лето'!p1385-'[2]$ лето'!o1385-'[2]$ лето'!n1385-'[2]$ лето'!m1385-'[2]$ лето'!l1385+'[2]$ лето'!k1385+'[2]$ лето'!q1385+'[2]$ лето'!w1385+'[2]$ лето'!ac1385+'[2]$ лето'!ai1385+'[2]$ лето'!ao1385</f>
        <v>0</v>
      </c>
      <c r="I1385" s="109" t="n">
        <f aca="false">'[2]$ лето'!ay1385*1.1</f>
        <v>2772</v>
      </c>
      <c r="J1385" s="85" t="n">
        <v>2013</v>
      </c>
    </row>
    <row r="1386" customFormat="false" ht="15" hidden="true" customHeight="false" outlineLevel="0" collapsed="false">
      <c r="A1386" s="115" t="s">
        <v>1960</v>
      </c>
      <c r="B1386" s="115" t="s">
        <v>589</v>
      </c>
      <c r="C1386" s="116" t="s">
        <v>1970</v>
      </c>
      <c r="D1386" s="116"/>
      <c r="E1386" s="116"/>
      <c r="F1386" s="116"/>
      <c r="G1386" s="108" t="s">
        <v>876</v>
      </c>
      <c r="H1386" s="105" t="n">
        <f aca="false">'[2]$ лето'!j1386-'[2]$ лето'!au1386-'[2]$ лето'!at1386-'[2]$ лето'!as1386-'[2]$ лето'!ar1386-'[2]$ лето'!aq1386-'[2]$ лето'!ap1386-'[2]$ лето'!an1386-'[2]$ лето'!am1386-'[2]$ лето'!al1386-'[2]$ лето'!ak1386-'[2]$ лето'!aj1386-'[2]$ лето'!ah1386-'[2]$ лето'!ag1386-'[2]$ лето'!af1386-'[2]$ лето'!ae1386-'[2]$ лето'!ad1386-'[2]$ лето'!ab1386-'[2]$ лето'!aa1386-'[2]$ лето'!z1386-'[2]$ лето'!y1386-'[2]$ лето'!x1386-'[2]$ лето'!v1386-'[2]$ лето'!u1386-'[2]$ лето'!t1386-'[2]$ лето'!s1386-'[2]$ лето'!r1386-'[2]$ лето'!p1386-'[2]$ лето'!o1386-'[2]$ лето'!n1386-'[2]$ лето'!m1386-'[2]$ лето'!l1386+'[2]$ лето'!k1386+'[2]$ лето'!q1386+'[2]$ лето'!w1386+'[2]$ лето'!ac1386+'[2]$ лето'!ai1386+'[2]$ лето'!ao1386</f>
        <v>0</v>
      </c>
      <c r="I1386" s="109" t="n">
        <f aca="false">'[2]$ лето'!ay1386*1.1</f>
        <v>3696</v>
      </c>
    </row>
    <row r="1387" customFormat="false" ht="15" hidden="false" customHeight="false" outlineLevel="0" collapsed="false">
      <c r="A1387" s="115" t="s">
        <v>1960</v>
      </c>
      <c r="B1387" s="115" t="s">
        <v>564</v>
      </c>
      <c r="C1387" s="116" t="s">
        <v>1971</v>
      </c>
      <c r="D1387" s="116"/>
      <c r="E1387" s="116"/>
      <c r="F1387" s="116"/>
      <c r="G1387" s="108" t="s">
        <v>520</v>
      </c>
      <c r="H1387" s="105" t="n">
        <f aca="false">'[2]$ лето'!j1387-'[2]$ лето'!au1387-'[2]$ лето'!at1387-'[2]$ лето'!as1387-'[2]$ лето'!ar1387-'[2]$ лето'!aq1387-'[2]$ лето'!ap1387-'[2]$ лето'!an1387-'[2]$ лето'!am1387-'[2]$ лето'!al1387-'[2]$ лето'!ak1387-'[2]$ лето'!aj1387-'[2]$ лето'!ah1387-'[2]$ лето'!ag1387-'[2]$ лето'!af1387-'[2]$ лето'!ae1387-'[2]$ лето'!ad1387-'[2]$ лето'!ab1387-'[2]$ лето'!aa1387-'[2]$ лето'!z1387-'[2]$ лето'!y1387-'[2]$ лето'!x1387-'[2]$ лето'!v1387-'[2]$ лето'!u1387-'[2]$ лето'!t1387-'[2]$ лето'!s1387-'[2]$ лето'!r1387-'[2]$ лето'!p1387-'[2]$ лето'!o1387-'[2]$ лето'!n1387-'[2]$ лето'!m1387-'[2]$ лето'!l1387+'[2]$ лето'!k1387+'[2]$ лето'!q1387+'[2]$ лето'!w1387+'[2]$ лето'!ac1387+'[2]$ лето'!ai1387+'[2]$ лето'!ao1387</f>
        <v>4</v>
      </c>
      <c r="I1387" s="109" t="n">
        <f aca="false">'[2]$ лето'!ay1387*1.1</f>
        <v>1909.6</v>
      </c>
      <c r="J1387" s="85" t="n">
        <v>2017</v>
      </c>
    </row>
    <row r="1388" customFormat="false" ht="15" hidden="true" customHeight="false" outlineLevel="0" collapsed="false">
      <c r="A1388" s="115" t="s">
        <v>1960</v>
      </c>
      <c r="B1388" s="115" t="s">
        <v>981</v>
      </c>
      <c r="C1388" s="116" t="s">
        <v>1972</v>
      </c>
      <c r="D1388" s="116"/>
      <c r="E1388" s="116"/>
      <c r="F1388" s="116"/>
      <c r="G1388" s="108" t="s">
        <v>1240</v>
      </c>
      <c r="H1388" s="105" t="n">
        <f aca="false">'[2]$ лето'!j1388-'[2]$ лето'!au1388-'[2]$ лето'!at1388-'[2]$ лето'!as1388-'[2]$ лето'!ar1388-'[2]$ лето'!aq1388-'[2]$ лето'!ap1388-'[2]$ лето'!an1388-'[2]$ лето'!am1388-'[2]$ лето'!al1388-'[2]$ лето'!ak1388-'[2]$ лето'!aj1388-'[2]$ лето'!ah1388-'[2]$ лето'!ag1388-'[2]$ лето'!af1388-'[2]$ лето'!ae1388-'[2]$ лето'!ad1388-'[2]$ лето'!ab1388-'[2]$ лето'!aa1388-'[2]$ лето'!z1388-'[2]$ лето'!y1388-'[2]$ лето'!x1388-'[2]$ лето'!v1388-'[2]$ лето'!u1388-'[2]$ лето'!t1388-'[2]$ лето'!s1388-'[2]$ лето'!r1388-'[2]$ лето'!p1388-'[2]$ лето'!o1388-'[2]$ лето'!n1388-'[2]$ лето'!m1388-'[2]$ лето'!l1388+'[2]$ лето'!k1388+'[2]$ лето'!q1388+'[2]$ лето'!w1388+'[2]$ лето'!ac1388+'[2]$ лето'!ai1388+'[2]$ лето'!ao1388</f>
        <v>0</v>
      </c>
      <c r="I1388" s="109" t="n">
        <f aca="false">'[2]$ лето'!ay1388*1.1</f>
        <v>3264.8</v>
      </c>
      <c r="J1388" s="85" t="n">
        <v>2017</v>
      </c>
    </row>
    <row r="1389" customFormat="false" ht="15" hidden="true" customHeight="false" outlineLevel="0" collapsed="false">
      <c r="A1389" s="115" t="s">
        <v>1960</v>
      </c>
      <c r="B1389" s="115" t="s">
        <v>1028</v>
      </c>
      <c r="C1389" s="134" t="s">
        <v>1973</v>
      </c>
      <c r="D1389" s="134"/>
      <c r="E1389" s="134"/>
      <c r="F1389" s="134"/>
      <c r="G1389" s="108"/>
      <c r="H1389" s="105" t="n">
        <f aca="false">'[2]$ лето'!j1389-'[2]$ лето'!au1389-'[2]$ лето'!at1389-'[2]$ лето'!as1389-'[2]$ лето'!ar1389-'[2]$ лето'!aq1389-'[2]$ лето'!ap1389-'[2]$ лето'!an1389-'[2]$ лето'!am1389-'[2]$ лето'!al1389-'[2]$ лето'!ak1389-'[2]$ лето'!aj1389-'[2]$ лето'!ah1389-'[2]$ лето'!ag1389-'[2]$ лето'!af1389-'[2]$ лето'!ae1389-'[2]$ лето'!ad1389-'[2]$ лето'!ab1389-'[2]$ лето'!aa1389-'[2]$ лето'!z1389-'[2]$ лето'!y1389-'[2]$ лето'!x1389-'[2]$ лето'!v1389-'[2]$ лето'!u1389-'[2]$ лето'!t1389-'[2]$ лето'!s1389-'[2]$ лето'!r1389-'[2]$ лето'!p1389-'[2]$ лето'!o1389-'[2]$ лето'!n1389-'[2]$ лето'!m1389-'[2]$ лето'!l1389+'[2]$ лето'!k1389+'[2]$ лето'!q1389+'[2]$ лето'!w1389+'[2]$ лето'!ac1389+'[2]$ лето'!ai1389+'[2]$ лето'!ao1389</f>
        <v>0</v>
      </c>
      <c r="I1389" s="109" t="n">
        <f aca="false">'[2]$ лето'!ay1389*1.1</f>
        <v>3080</v>
      </c>
    </row>
    <row r="1390" customFormat="false" ht="15" hidden="true" customHeight="false" outlineLevel="0" collapsed="false">
      <c r="A1390" s="115" t="s">
        <v>1974</v>
      </c>
      <c r="B1390" s="115" t="s">
        <v>601</v>
      </c>
      <c r="C1390" s="134" t="s">
        <v>1975</v>
      </c>
      <c r="D1390" s="134"/>
      <c r="E1390" s="134"/>
      <c r="F1390" s="134"/>
      <c r="G1390" s="108"/>
      <c r="H1390" s="105" t="n">
        <f aca="false">'[2]$ лето'!j1390-'[2]$ лето'!au1390-'[2]$ лето'!at1390-'[2]$ лето'!as1390-'[2]$ лето'!ar1390-'[2]$ лето'!aq1390-'[2]$ лето'!ap1390-'[2]$ лето'!an1390-'[2]$ лето'!am1390-'[2]$ лето'!al1390-'[2]$ лето'!ak1390-'[2]$ лето'!aj1390-'[2]$ лето'!ah1390-'[2]$ лето'!ag1390-'[2]$ лето'!af1390-'[2]$ лето'!ae1390-'[2]$ лето'!ad1390-'[2]$ лето'!ab1390-'[2]$ лето'!aa1390-'[2]$ лето'!z1390-'[2]$ лето'!y1390-'[2]$ лето'!x1390-'[2]$ лето'!v1390-'[2]$ лето'!u1390-'[2]$ лето'!t1390-'[2]$ лето'!s1390-'[2]$ лето'!r1390-'[2]$ лето'!p1390-'[2]$ лето'!o1390-'[2]$ лето'!n1390-'[2]$ лето'!m1390-'[2]$ лето'!l1390+'[2]$ лето'!k1390+'[2]$ лето'!q1390+'[2]$ лето'!w1390+'[2]$ лето'!ac1390+'[2]$ лето'!ai1390+'[2]$ лето'!ao1390</f>
        <v>0</v>
      </c>
      <c r="I1390" s="109" t="n">
        <f aca="false">'[2]$ лето'!ay1390*1.1</f>
        <v>3388</v>
      </c>
    </row>
    <row r="1391" customFormat="false" ht="15" hidden="true" customHeight="false" outlineLevel="0" collapsed="false">
      <c r="A1391" s="115" t="s">
        <v>1974</v>
      </c>
      <c r="B1391" s="115" t="s">
        <v>658</v>
      </c>
      <c r="C1391" s="116" t="s">
        <v>1976</v>
      </c>
      <c r="D1391" s="116"/>
      <c r="E1391" s="116"/>
      <c r="F1391" s="116"/>
      <c r="G1391" s="108" t="s">
        <v>640</v>
      </c>
      <c r="H1391" s="105" t="n">
        <f aca="false">'[2]$ лето'!j1391-'[2]$ лето'!au1391-'[2]$ лето'!at1391-'[2]$ лето'!as1391-'[2]$ лето'!ar1391-'[2]$ лето'!aq1391-'[2]$ лето'!ap1391-'[2]$ лето'!an1391-'[2]$ лето'!am1391-'[2]$ лето'!al1391-'[2]$ лето'!ak1391-'[2]$ лето'!aj1391-'[2]$ лето'!ah1391-'[2]$ лето'!ag1391-'[2]$ лето'!af1391-'[2]$ лето'!ae1391-'[2]$ лето'!ad1391-'[2]$ лето'!ab1391-'[2]$ лето'!aa1391-'[2]$ лето'!z1391-'[2]$ лето'!y1391-'[2]$ лето'!x1391-'[2]$ лето'!v1391-'[2]$ лето'!u1391-'[2]$ лето'!t1391-'[2]$ лето'!s1391-'[2]$ лето'!r1391-'[2]$ лето'!p1391-'[2]$ лето'!o1391-'[2]$ лето'!n1391-'[2]$ лето'!m1391-'[2]$ лето'!l1391+'[2]$ лето'!k1391+'[2]$ лето'!q1391+'[2]$ лето'!w1391+'[2]$ лето'!ac1391+'[2]$ лето'!ai1391+'[2]$ лето'!ao1391</f>
        <v>0</v>
      </c>
      <c r="I1391" s="109" t="n">
        <f aca="false">'[2]$ лето'!ay1391*1.1</f>
        <v>3388</v>
      </c>
      <c r="J1391" s="85" t="n">
        <v>2018</v>
      </c>
    </row>
    <row r="1392" customFormat="false" ht="15" hidden="false" customHeight="false" outlineLevel="0" collapsed="false">
      <c r="A1392" s="115" t="s">
        <v>1974</v>
      </c>
      <c r="B1392" s="115" t="s">
        <v>658</v>
      </c>
      <c r="C1392" s="116" t="s">
        <v>1977</v>
      </c>
      <c r="D1392" s="116"/>
      <c r="E1392" s="116"/>
      <c r="F1392" s="116"/>
      <c r="G1392" s="108" t="s">
        <v>933</v>
      </c>
      <c r="H1392" s="105" t="n">
        <f aca="false">'[2]$ лето'!j1392-'[2]$ лето'!au1392-'[2]$ лето'!at1392-'[2]$ лето'!as1392-'[2]$ лето'!ar1392-'[2]$ лето'!aq1392-'[2]$ лето'!ap1392-'[2]$ лето'!an1392-'[2]$ лето'!am1392-'[2]$ лето'!al1392-'[2]$ лето'!ak1392-'[2]$ лето'!aj1392-'[2]$ лето'!ah1392-'[2]$ лето'!ag1392-'[2]$ лето'!af1392-'[2]$ лето'!ae1392-'[2]$ лето'!ad1392-'[2]$ лето'!ab1392-'[2]$ лето'!aa1392-'[2]$ лето'!z1392-'[2]$ лето'!y1392-'[2]$ лето'!x1392-'[2]$ лето'!v1392-'[2]$ лето'!u1392-'[2]$ лето'!t1392-'[2]$ лето'!s1392-'[2]$ лето'!r1392-'[2]$ лето'!p1392-'[2]$ лето'!o1392-'[2]$ лето'!n1392-'[2]$ лето'!m1392-'[2]$ лето'!l1392+'[2]$ лето'!k1392+'[2]$ лето'!q1392+'[2]$ лето'!w1392+'[2]$ лето'!ac1392+'[2]$ лето'!ai1392+'[2]$ лето'!ao1392</f>
        <v>4</v>
      </c>
      <c r="I1392" s="109" t="n">
        <f aca="false">'[2]$ лето'!ay1392*1.1</f>
        <v>4004</v>
      </c>
    </row>
    <row r="1393" customFormat="false" ht="15" hidden="true" customHeight="false" outlineLevel="0" collapsed="false">
      <c r="A1393" s="115" t="s">
        <v>1974</v>
      </c>
      <c r="B1393" s="115" t="s">
        <v>606</v>
      </c>
      <c r="C1393" s="116" t="s">
        <v>1978</v>
      </c>
      <c r="D1393" s="116"/>
      <c r="E1393" s="116"/>
      <c r="F1393" s="116"/>
      <c r="G1393" s="108" t="s">
        <v>1037</v>
      </c>
      <c r="H1393" s="105" t="n">
        <f aca="false">'[2]$ лето'!j1393-'[2]$ лето'!au1393-'[2]$ лето'!at1393-'[2]$ лето'!as1393-'[2]$ лето'!ar1393-'[2]$ лето'!aq1393-'[2]$ лето'!ap1393-'[2]$ лето'!an1393-'[2]$ лето'!am1393-'[2]$ лето'!al1393-'[2]$ лето'!ak1393-'[2]$ лето'!aj1393-'[2]$ лето'!ah1393-'[2]$ лето'!ag1393-'[2]$ лето'!af1393-'[2]$ лето'!ae1393-'[2]$ лето'!ad1393-'[2]$ лето'!ab1393-'[2]$ лето'!aa1393-'[2]$ лето'!z1393-'[2]$ лето'!y1393-'[2]$ лето'!x1393-'[2]$ лето'!v1393-'[2]$ лето'!u1393-'[2]$ лето'!t1393-'[2]$ лето'!s1393-'[2]$ лето'!r1393-'[2]$ лето'!p1393-'[2]$ лето'!o1393-'[2]$ лето'!n1393-'[2]$ лето'!m1393-'[2]$ лето'!l1393+'[2]$ лето'!k1393+'[2]$ лето'!q1393+'[2]$ лето'!w1393+'[2]$ лето'!ac1393+'[2]$ лето'!ai1393+'[2]$ лето'!ao1393</f>
        <v>0</v>
      </c>
      <c r="I1393" s="109" t="n">
        <f aca="false">'[2]$ лето'!ay1393*1.1</f>
        <v>3388</v>
      </c>
      <c r="J1393" s="85" t="n">
        <v>2018</v>
      </c>
    </row>
    <row r="1394" customFormat="false" ht="15" hidden="false" customHeight="false" outlineLevel="0" collapsed="false">
      <c r="A1394" s="115" t="s">
        <v>1974</v>
      </c>
      <c r="B1394" s="115" t="s">
        <v>1130</v>
      </c>
      <c r="C1394" s="116" t="s">
        <v>1979</v>
      </c>
      <c r="D1394" s="116"/>
      <c r="E1394" s="116"/>
      <c r="F1394" s="116"/>
      <c r="G1394" s="108"/>
      <c r="H1394" s="105" t="n">
        <f aca="false">'[2]$ лето'!j1394-'[2]$ лето'!au1394-'[2]$ лето'!at1394-'[2]$ лето'!as1394-'[2]$ лето'!ar1394-'[2]$ лето'!aq1394-'[2]$ лето'!ap1394-'[2]$ лето'!an1394-'[2]$ лето'!am1394-'[2]$ лето'!al1394-'[2]$ лето'!ak1394-'[2]$ лето'!aj1394-'[2]$ лето'!ah1394-'[2]$ лето'!ag1394-'[2]$ лето'!af1394-'[2]$ лето'!ae1394-'[2]$ лето'!ad1394-'[2]$ лето'!ab1394-'[2]$ лето'!aa1394-'[2]$ лето'!z1394-'[2]$ лето'!y1394-'[2]$ лето'!x1394-'[2]$ лето'!v1394-'[2]$ лето'!u1394-'[2]$ лето'!t1394-'[2]$ лето'!s1394-'[2]$ лето'!r1394-'[2]$ лето'!p1394-'[2]$ лето'!o1394-'[2]$ лето'!n1394-'[2]$ лето'!m1394-'[2]$ лето'!l1394+'[2]$ лето'!k1394+'[2]$ лето'!q1394+'[2]$ лето'!w1394+'[2]$ лето'!ac1394+'[2]$ лето'!ai1394+'[2]$ лето'!ao1394</f>
        <v>2</v>
      </c>
      <c r="I1394" s="109" t="n">
        <f aca="false">'[2]$ лето'!ay1394*1.1</f>
        <v>1817.2</v>
      </c>
    </row>
    <row r="1395" customFormat="false" ht="15" hidden="false" customHeight="false" outlineLevel="0" collapsed="false">
      <c r="A1395" s="115" t="s">
        <v>1974</v>
      </c>
      <c r="B1395" s="115" t="s">
        <v>668</v>
      </c>
      <c r="C1395" s="116" t="s">
        <v>1980</v>
      </c>
      <c r="D1395" s="116"/>
      <c r="E1395" s="116"/>
      <c r="F1395" s="116"/>
      <c r="G1395" s="108" t="s">
        <v>609</v>
      </c>
      <c r="H1395" s="105" t="n">
        <f aca="false">'[2]$ лето'!j1395-'[2]$ лето'!au1395-'[2]$ лето'!at1395-'[2]$ лето'!as1395-'[2]$ лето'!ar1395-'[2]$ лето'!aq1395-'[2]$ лето'!ap1395-'[2]$ лето'!an1395-'[2]$ лето'!am1395-'[2]$ лето'!al1395-'[2]$ лето'!ak1395-'[2]$ лето'!aj1395-'[2]$ лето'!ah1395-'[2]$ лето'!ag1395-'[2]$ лето'!af1395-'[2]$ лето'!ae1395-'[2]$ лето'!ad1395-'[2]$ лето'!ab1395-'[2]$ лето'!aa1395-'[2]$ лето'!z1395-'[2]$ лето'!y1395-'[2]$ лето'!x1395-'[2]$ лето'!v1395-'[2]$ лето'!u1395-'[2]$ лето'!t1395-'[2]$ лето'!s1395-'[2]$ лето'!r1395-'[2]$ лето'!p1395-'[2]$ лето'!o1395-'[2]$ лето'!n1395-'[2]$ лето'!m1395-'[2]$ лето'!l1395+'[2]$ лето'!k1395+'[2]$ лето'!q1395+'[2]$ лето'!w1395+'[2]$ лето'!ac1395+'[2]$ лето'!ai1395+'[2]$ лето'!ao1395</f>
        <v>4</v>
      </c>
      <c r="I1395" s="109" t="n">
        <f aca="false">'[2]$ лето'!ay1395*1.1</f>
        <v>3157</v>
      </c>
      <c r="J1395" s="85" t="n">
        <v>2018</v>
      </c>
    </row>
    <row r="1396" customFormat="false" ht="15" hidden="false" customHeight="false" outlineLevel="0" collapsed="false">
      <c r="A1396" s="115" t="s">
        <v>1974</v>
      </c>
      <c r="B1396" s="115" t="s">
        <v>574</v>
      </c>
      <c r="C1396" s="107" t="s">
        <v>1981</v>
      </c>
      <c r="D1396" s="107"/>
      <c r="E1396" s="116"/>
      <c r="F1396" s="116"/>
      <c r="G1396" s="108" t="s">
        <v>576</v>
      </c>
      <c r="H1396" s="105" t="n">
        <f aca="false">'[2]$ лето'!j1396-'[2]$ лето'!au1396-'[2]$ лето'!at1396-'[2]$ лето'!as1396-'[2]$ лето'!ar1396-'[2]$ лето'!aq1396-'[2]$ лето'!ap1396-'[2]$ лето'!an1396-'[2]$ лето'!am1396-'[2]$ лето'!al1396-'[2]$ лето'!ak1396-'[2]$ лето'!aj1396-'[2]$ лето'!ah1396-'[2]$ лето'!ag1396-'[2]$ лето'!af1396-'[2]$ лето'!ae1396-'[2]$ лето'!ad1396-'[2]$ лето'!ab1396-'[2]$ лето'!aa1396-'[2]$ лето'!z1396-'[2]$ лето'!y1396-'[2]$ лето'!x1396-'[2]$ лето'!v1396-'[2]$ лето'!u1396-'[2]$ лето'!t1396-'[2]$ лето'!s1396-'[2]$ лето'!r1396-'[2]$ лето'!p1396-'[2]$ лето'!o1396-'[2]$ лето'!n1396-'[2]$ лето'!m1396-'[2]$ лето'!l1396+'[2]$ лето'!k1396+'[2]$ лето'!q1396+'[2]$ лето'!w1396+'[2]$ лето'!ac1396+'[2]$ лето'!ai1396+'[2]$ лето'!ao1396</f>
        <v>4</v>
      </c>
      <c r="I1396" s="109" t="n">
        <f aca="false">'[2]$ лето'!ay1396*1.1</f>
        <v>2811.6</v>
      </c>
      <c r="J1396" s="85" t="n">
        <v>2018</v>
      </c>
    </row>
    <row r="1397" customFormat="false" ht="15" hidden="false" customHeight="false" outlineLevel="0" collapsed="false">
      <c r="A1397" s="115" t="s">
        <v>1974</v>
      </c>
      <c r="B1397" s="115" t="s">
        <v>583</v>
      </c>
      <c r="C1397" s="107" t="s">
        <v>1982</v>
      </c>
      <c r="D1397" s="107"/>
      <c r="E1397" s="116"/>
      <c r="F1397" s="116"/>
      <c r="G1397" s="108" t="s">
        <v>933</v>
      </c>
      <c r="H1397" s="105" t="n">
        <f aca="false">'[2]$ лето'!j1397-'[2]$ лето'!au1397-'[2]$ лето'!at1397-'[2]$ лето'!as1397-'[2]$ лето'!ar1397-'[2]$ лето'!aq1397-'[2]$ лето'!ap1397-'[2]$ лето'!an1397-'[2]$ лето'!am1397-'[2]$ лето'!al1397-'[2]$ лето'!ak1397-'[2]$ лето'!aj1397-'[2]$ лето'!ah1397-'[2]$ лето'!ag1397-'[2]$ лето'!af1397-'[2]$ лето'!ae1397-'[2]$ лето'!ad1397-'[2]$ лето'!ab1397-'[2]$ лето'!aa1397-'[2]$ лето'!z1397-'[2]$ лето'!y1397-'[2]$ лето'!x1397-'[2]$ лето'!v1397-'[2]$ лето'!u1397-'[2]$ лето'!t1397-'[2]$ лето'!s1397-'[2]$ лето'!r1397-'[2]$ лето'!p1397-'[2]$ лето'!o1397-'[2]$ лето'!n1397-'[2]$ лето'!m1397-'[2]$ лето'!l1397+'[2]$ лето'!k1397+'[2]$ лето'!q1397+'[2]$ лето'!w1397+'[2]$ лето'!ac1397+'[2]$ лето'!ai1397+'[2]$ лето'!ao1397</f>
        <v>8</v>
      </c>
      <c r="I1397" s="109" t="n">
        <f aca="false">'[2]$ лето'!ay1397*1.1</f>
        <v>2772</v>
      </c>
      <c r="J1397" s="85" t="n">
        <v>2016</v>
      </c>
    </row>
    <row r="1398" customFormat="false" ht="15" hidden="false" customHeight="false" outlineLevel="0" collapsed="false">
      <c r="A1398" s="115" t="s">
        <v>1974</v>
      </c>
      <c r="B1398" s="115" t="s">
        <v>593</v>
      </c>
      <c r="C1398" s="107" t="s">
        <v>1983</v>
      </c>
      <c r="D1398" s="107"/>
      <c r="E1398" s="116"/>
      <c r="F1398" s="116"/>
      <c r="G1398" s="108" t="s">
        <v>663</v>
      </c>
      <c r="H1398" s="105" t="n">
        <f aca="false">'[2]$ лето'!j1398-'[2]$ лето'!au1398-'[2]$ лето'!at1398-'[2]$ лето'!as1398-'[2]$ лето'!ar1398-'[2]$ лето'!aq1398-'[2]$ лето'!ap1398-'[2]$ лето'!an1398-'[2]$ лето'!am1398-'[2]$ лето'!al1398-'[2]$ лето'!ak1398-'[2]$ лето'!aj1398-'[2]$ лето'!ah1398-'[2]$ лето'!ag1398-'[2]$ лето'!af1398-'[2]$ лето'!ae1398-'[2]$ лето'!ad1398-'[2]$ лето'!ab1398-'[2]$ лето'!aa1398-'[2]$ лето'!z1398-'[2]$ лето'!y1398-'[2]$ лето'!x1398-'[2]$ лето'!v1398-'[2]$ лето'!u1398-'[2]$ лето'!t1398-'[2]$ лето'!s1398-'[2]$ лето'!r1398-'[2]$ лето'!p1398-'[2]$ лето'!o1398-'[2]$ лето'!n1398-'[2]$ лето'!m1398-'[2]$ лето'!l1398+'[2]$ лето'!k1398+'[2]$ лето'!q1398+'[2]$ лето'!w1398+'[2]$ лето'!ac1398+'[2]$ лето'!ai1398+'[2]$ лето'!ao1398</f>
        <v>2</v>
      </c>
      <c r="I1398" s="109" t="n">
        <f aca="false">'[2]$ лето'!ay1398*1.1</f>
        <v>4312</v>
      </c>
    </row>
    <row r="1399" customFormat="false" ht="15" hidden="false" customHeight="false" outlineLevel="0" collapsed="false">
      <c r="A1399" s="115" t="s">
        <v>1974</v>
      </c>
      <c r="B1399" s="115" t="s">
        <v>593</v>
      </c>
      <c r="C1399" s="115" t="s">
        <v>1928</v>
      </c>
      <c r="D1399" s="115"/>
      <c r="E1399" s="119" t="n">
        <v>100</v>
      </c>
      <c r="F1399" s="119" t="s">
        <v>814</v>
      </c>
      <c r="G1399" s="108" t="s">
        <v>663</v>
      </c>
      <c r="H1399" s="105" t="n">
        <f aca="false">'[2]$ лето'!j1399-'[2]$ лето'!au1399-'[2]$ лето'!at1399-'[2]$ лето'!as1399-'[2]$ лето'!ar1399-'[2]$ лето'!aq1399-'[2]$ лето'!ap1399-'[2]$ лето'!an1399-'[2]$ лето'!am1399-'[2]$ лето'!al1399-'[2]$ лето'!ak1399-'[2]$ лето'!aj1399-'[2]$ лето'!ah1399-'[2]$ лето'!ag1399-'[2]$ лето'!af1399-'[2]$ лето'!ae1399-'[2]$ лето'!ad1399-'[2]$ лето'!ab1399-'[2]$ лето'!aa1399-'[2]$ лето'!z1399-'[2]$ лето'!y1399-'[2]$ лето'!x1399-'[2]$ лето'!v1399-'[2]$ лето'!u1399-'[2]$ лето'!t1399-'[2]$ лето'!s1399-'[2]$ лето'!r1399-'[2]$ лето'!p1399-'[2]$ лето'!o1399-'[2]$ лето'!n1399-'[2]$ лето'!m1399-'[2]$ лето'!l1399+'[2]$ лето'!k1399+'[2]$ лето'!q1399+'[2]$ лето'!w1399+'[2]$ лето'!ac1399+'[2]$ лето'!ai1399+'[2]$ лето'!ao1399</f>
        <v>8</v>
      </c>
      <c r="I1399" s="109" t="n">
        <f aca="false">'[2]$ лето'!ay1399*1.1</f>
        <v>4219.6</v>
      </c>
      <c r="J1399" s="85" t="n">
        <v>2017</v>
      </c>
    </row>
    <row r="1400" customFormat="false" ht="15" hidden="false" customHeight="false" outlineLevel="0" collapsed="false">
      <c r="A1400" s="115" t="s">
        <v>1974</v>
      </c>
      <c r="B1400" s="115" t="s">
        <v>801</v>
      </c>
      <c r="C1400" s="107" t="s">
        <v>1984</v>
      </c>
      <c r="D1400" s="107"/>
      <c r="E1400" s="116"/>
      <c r="F1400" s="116"/>
      <c r="G1400" s="108" t="s">
        <v>631</v>
      </c>
      <c r="H1400" s="105" t="n">
        <f aca="false">'[2]$ лето'!j1400-'[2]$ лето'!au1400-'[2]$ лето'!at1400-'[2]$ лето'!as1400-'[2]$ лето'!ar1400-'[2]$ лето'!aq1400-'[2]$ лето'!ap1400-'[2]$ лето'!an1400-'[2]$ лето'!am1400-'[2]$ лето'!al1400-'[2]$ лето'!ak1400-'[2]$ лето'!aj1400-'[2]$ лето'!ah1400-'[2]$ лето'!ag1400-'[2]$ лето'!af1400-'[2]$ лето'!ae1400-'[2]$ лето'!ad1400-'[2]$ лето'!ab1400-'[2]$ лето'!aa1400-'[2]$ лето'!z1400-'[2]$ лето'!y1400-'[2]$ лето'!x1400-'[2]$ лето'!v1400-'[2]$ лето'!u1400-'[2]$ лето'!t1400-'[2]$ лето'!s1400-'[2]$ лето'!r1400-'[2]$ лето'!p1400-'[2]$ лето'!o1400-'[2]$ лето'!n1400-'[2]$ лето'!m1400-'[2]$ лето'!l1400+'[2]$ лето'!k1400+'[2]$ лето'!q1400+'[2]$ лето'!w1400+'[2]$ лето'!ac1400+'[2]$ лето'!ai1400+'[2]$ лето'!ao1400</f>
        <v>4</v>
      </c>
      <c r="I1400" s="109" t="n">
        <f aca="false">'[2]$ лето'!ay1400*1.1</f>
        <v>3388</v>
      </c>
      <c r="J1400" s="85" t="n">
        <v>2018</v>
      </c>
    </row>
    <row r="1401" customFormat="false" ht="15" hidden="true" customHeight="false" outlineLevel="0" collapsed="false">
      <c r="A1401" s="115" t="s">
        <v>1974</v>
      </c>
      <c r="B1401" s="115" t="s">
        <v>617</v>
      </c>
      <c r="C1401" s="115" t="s">
        <v>1985</v>
      </c>
      <c r="D1401" s="115"/>
      <c r="E1401" s="115"/>
      <c r="F1401" s="115"/>
      <c r="G1401" s="108"/>
      <c r="H1401" s="105" t="n">
        <f aca="false">'[2]$ лето'!j1401-'[2]$ лето'!au1401-'[2]$ лето'!at1401-'[2]$ лето'!as1401-'[2]$ лето'!ar1401-'[2]$ лето'!aq1401-'[2]$ лето'!ap1401-'[2]$ лето'!an1401-'[2]$ лето'!am1401-'[2]$ лето'!al1401-'[2]$ лето'!ak1401-'[2]$ лето'!aj1401-'[2]$ лето'!ah1401-'[2]$ лето'!ag1401-'[2]$ лето'!af1401-'[2]$ лето'!ae1401-'[2]$ лето'!ad1401-'[2]$ лето'!ab1401-'[2]$ лето'!aa1401-'[2]$ лето'!z1401-'[2]$ лето'!y1401-'[2]$ лето'!x1401-'[2]$ лето'!v1401-'[2]$ лето'!u1401-'[2]$ лето'!t1401-'[2]$ лето'!s1401-'[2]$ лето'!r1401-'[2]$ лето'!p1401-'[2]$ лето'!o1401-'[2]$ лето'!n1401-'[2]$ лето'!m1401-'[2]$ лето'!l1401+'[2]$ лето'!k1401+'[2]$ лето'!q1401+'[2]$ лето'!w1401+'[2]$ лето'!ac1401+'[2]$ лето'!ai1401+'[2]$ лето'!ao1401</f>
        <v>0</v>
      </c>
      <c r="I1401" s="109" t="n">
        <f aca="false">'[2]$ лето'!ay1401*1.1</f>
        <v>2217.6</v>
      </c>
      <c r="J1401" s="85" t="n">
        <v>2017</v>
      </c>
    </row>
    <row r="1402" customFormat="false" ht="15" hidden="true" customHeight="false" outlineLevel="0" collapsed="false">
      <c r="A1402" s="115" t="s">
        <v>1974</v>
      </c>
      <c r="B1402" s="115" t="s">
        <v>677</v>
      </c>
      <c r="C1402" s="116" t="s">
        <v>1701</v>
      </c>
      <c r="D1402" s="116"/>
      <c r="E1402" s="116"/>
      <c r="F1402" s="116"/>
      <c r="G1402" s="108"/>
      <c r="H1402" s="105" t="n">
        <f aca="false">'[2]$ лето'!j1402-'[2]$ лето'!au1402-'[2]$ лето'!at1402-'[2]$ лето'!as1402-'[2]$ лето'!ar1402-'[2]$ лето'!aq1402-'[2]$ лето'!ap1402-'[2]$ лето'!an1402-'[2]$ лето'!am1402-'[2]$ лето'!al1402-'[2]$ лето'!ak1402-'[2]$ лето'!aj1402-'[2]$ лето'!ah1402-'[2]$ лето'!ag1402-'[2]$ лето'!af1402-'[2]$ лето'!ae1402-'[2]$ лето'!ad1402-'[2]$ лето'!ab1402-'[2]$ лето'!aa1402-'[2]$ лето'!z1402-'[2]$ лето'!y1402-'[2]$ лето'!x1402-'[2]$ лето'!v1402-'[2]$ лето'!u1402-'[2]$ лето'!t1402-'[2]$ лето'!s1402-'[2]$ лето'!r1402-'[2]$ лето'!p1402-'[2]$ лето'!o1402-'[2]$ лето'!n1402-'[2]$ лето'!m1402-'[2]$ лето'!l1402+'[2]$ лето'!k1402+'[2]$ лето'!q1402+'[2]$ лето'!w1402+'[2]$ лето'!ac1402+'[2]$ лето'!ai1402+'[2]$ лето'!ao1402</f>
        <v>0</v>
      </c>
      <c r="I1402" s="109" t="n">
        <f aca="false">'[2]$ лето'!ay1402*1.1</f>
        <v>2772</v>
      </c>
    </row>
    <row r="1403" customFormat="false" ht="15" hidden="true" customHeight="false" outlineLevel="0" collapsed="false">
      <c r="A1403" s="115" t="s">
        <v>1974</v>
      </c>
      <c r="B1403" s="115" t="s">
        <v>589</v>
      </c>
      <c r="C1403" s="116" t="s">
        <v>1986</v>
      </c>
      <c r="D1403" s="116"/>
      <c r="E1403" s="116"/>
      <c r="F1403" s="116"/>
      <c r="G1403" s="108"/>
      <c r="H1403" s="105" t="n">
        <f aca="false">'[2]$ лето'!j1403-'[2]$ лето'!au1403-'[2]$ лето'!at1403-'[2]$ лето'!as1403-'[2]$ лето'!ar1403-'[2]$ лето'!aq1403-'[2]$ лето'!ap1403-'[2]$ лето'!an1403-'[2]$ лето'!am1403-'[2]$ лето'!al1403-'[2]$ лето'!ak1403-'[2]$ лето'!aj1403-'[2]$ лето'!ah1403-'[2]$ лето'!ag1403-'[2]$ лето'!af1403-'[2]$ лето'!ae1403-'[2]$ лето'!ad1403-'[2]$ лето'!ab1403-'[2]$ лето'!aa1403-'[2]$ лето'!z1403-'[2]$ лето'!y1403-'[2]$ лето'!x1403-'[2]$ лето'!v1403-'[2]$ лето'!u1403-'[2]$ лето'!t1403-'[2]$ лето'!s1403-'[2]$ лето'!r1403-'[2]$ лето'!p1403-'[2]$ лето'!o1403-'[2]$ лето'!n1403-'[2]$ лето'!m1403-'[2]$ лето'!l1403+'[2]$ лето'!k1403+'[2]$ лето'!q1403+'[2]$ лето'!w1403+'[2]$ лето'!ac1403+'[2]$ лето'!ai1403+'[2]$ лето'!ao1403</f>
        <v>0</v>
      </c>
      <c r="I1403" s="109" t="n">
        <f aca="false">'[2]$ лето'!ay1403*1.1</f>
        <v>4866.4</v>
      </c>
    </row>
    <row r="1404" customFormat="false" ht="15" hidden="true" customHeight="false" outlineLevel="0" collapsed="false">
      <c r="A1404" s="115" t="s">
        <v>1974</v>
      </c>
      <c r="B1404" s="115" t="s">
        <v>589</v>
      </c>
      <c r="C1404" s="116" t="s">
        <v>1987</v>
      </c>
      <c r="D1404" s="116"/>
      <c r="E1404" s="116"/>
      <c r="F1404" s="116"/>
      <c r="G1404" s="108"/>
      <c r="H1404" s="105" t="n">
        <f aca="false">'[2]$ лето'!j1404-'[2]$ лето'!au1404-'[2]$ лето'!at1404-'[2]$ лето'!as1404-'[2]$ лето'!ar1404-'[2]$ лето'!aq1404-'[2]$ лето'!ap1404-'[2]$ лето'!an1404-'[2]$ лето'!am1404-'[2]$ лето'!al1404-'[2]$ лето'!ak1404-'[2]$ лето'!aj1404-'[2]$ лето'!ah1404-'[2]$ лето'!ag1404-'[2]$ лето'!af1404-'[2]$ лето'!ae1404-'[2]$ лето'!ad1404-'[2]$ лето'!ab1404-'[2]$ лето'!aa1404-'[2]$ лето'!z1404-'[2]$ лето'!y1404-'[2]$ лето'!x1404-'[2]$ лето'!v1404-'[2]$ лето'!u1404-'[2]$ лето'!t1404-'[2]$ лето'!s1404-'[2]$ лето'!r1404-'[2]$ лето'!p1404-'[2]$ лето'!o1404-'[2]$ лето'!n1404-'[2]$ лето'!m1404-'[2]$ лето'!l1404+'[2]$ лето'!k1404+'[2]$ лето'!q1404+'[2]$ лето'!w1404+'[2]$ лето'!ac1404+'[2]$ лето'!ai1404+'[2]$ лето'!ao1404</f>
        <v>0</v>
      </c>
      <c r="I1404" s="109" t="n">
        <f aca="false">'[2]$ лето'!ay1404*1.1</f>
        <v>3449.6</v>
      </c>
    </row>
    <row r="1405" customFormat="false" ht="15" hidden="true" customHeight="false" outlineLevel="0" collapsed="false">
      <c r="A1405" s="115" t="s">
        <v>1974</v>
      </c>
      <c r="B1405" s="115" t="s">
        <v>564</v>
      </c>
      <c r="C1405" s="116" t="s">
        <v>1934</v>
      </c>
      <c r="D1405" s="116"/>
      <c r="E1405" s="116"/>
      <c r="F1405" s="116"/>
      <c r="G1405" s="108" t="s">
        <v>520</v>
      </c>
      <c r="H1405" s="105" t="n">
        <f aca="false">'[2]$ лето'!j1405-'[2]$ лето'!au1405-'[2]$ лето'!at1405-'[2]$ лето'!as1405-'[2]$ лето'!ar1405-'[2]$ лето'!aq1405-'[2]$ лето'!ap1405-'[2]$ лето'!an1405-'[2]$ лето'!am1405-'[2]$ лето'!al1405-'[2]$ лето'!ak1405-'[2]$ лето'!aj1405-'[2]$ лето'!ah1405-'[2]$ лето'!ag1405-'[2]$ лето'!af1405-'[2]$ лето'!ae1405-'[2]$ лето'!ad1405-'[2]$ лето'!ab1405-'[2]$ лето'!aa1405-'[2]$ лето'!z1405-'[2]$ лето'!y1405-'[2]$ лето'!x1405-'[2]$ лето'!v1405-'[2]$ лето'!u1405-'[2]$ лето'!t1405-'[2]$ лето'!s1405-'[2]$ лето'!r1405-'[2]$ лето'!p1405-'[2]$ лето'!o1405-'[2]$ лето'!n1405-'[2]$ лето'!m1405-'[2]$ лето'!l1405+'[2]$ лето'!k1405+'[2]$ лето'!q1405+'[2]$ лето'!w1405+'[2]$ лето'!ac1405+'[2]$ лето'!ai1405+'[2]$ лето'!ao1405</f>
        <v>0</v>
      </c>
      <c r="I1405" s="109" t="n">
        <f aca="false">'[2]$ лето'!ay1405*1.1</f>
        <v>1848</v>
      </c>
      <c r="J1405" s="85" t="n">
        <v>2017</v>
      </c>
    </row>
    <row r="1406" customFormat="false" ht="15" hidden="true" customHeight="false" outlineLevel="0" collapsed="false">
      <c r="A1406" s="115" t="s">
        <v>1988</v>
      </c>
      <c r="B1406" s="115" t="s">
        <v>1989</v>
      </c>
      <c r="C1406" s="116" t="s">
        <v>1990</v>
      </c>
      <c r="D1406" s="116"/>
      <c r="E1406" s="116"/>
      <c r="F1406" s="116"/>
      <c r="G1406" s="108"/>
      <c r="H1406" s="105" t="n">
        <f aca="false">'[2]$ лето'!j1406-'[2]$ лето'!au1406-'[2]$ лето'!at1406-'[2]$ лето'!as1406-'[2]$ лето'!ar1406-'[2]$ лето'!aq1406-'[2]$ лето'!ap1406-'[2]$ лето'!an1406-'[2]$ лето'!am1406-'[2]$ лето'!al1406-'[2]$ лето'!ak1406-'[2]$ лето'!aj1406-'[2]$ лето'!ah1406-'[2]$ лето'!ag1406-'[2]$ лето'!af1406-'[2]$ лето'!ae1406-'[2]$ лето'!ad1406-'[2]$ лето'!ab1406-'[2]$ лето'!aa1406-'[2]$ лето'!z1406-'[2]$ лето'!y1406-'[2]$ лето'!x1406-'[2]$ лето'!v1406-'[2]$ лето'!u1406-'[2]$ лето'!t1406-'[2]$ лето'!s1406-'[2]$ лето'!r1406-'[2]$ лето'!p1406-'[2]$ лето'!o1406-'[2]$ лето'!n1406-'[2]$ лето'!m1406-'[2]$ лето'!l1406+'[2]$ лето'!k1406+'[2]$ лето'!q1406+'[2]$ лето'!w1406+'[2]$ лето'!ac1406+'[2]$ лето'!ai1406+'[2]$ лето'!ao1406</f>
        <v>0</v>
      </c>
      <c r="I1406" s="109" t="n">
        <f aca="false">'[2]$ лето'!ay1406*1.1</f>
        <v>1971.2</v>
      </c>
    </row>
    <row r="1407" customFormat="false" ht="15" hidden="true" customHeight="false" outlineLevel="0" collapsed="false">
      <c r="A1407" s="115" t="s">
        <v>1988</v>
      </c>
      <c r="B1407" s="115" t="s">
        <v>1300</v>
      </c>
      <c r="C1407" s="116" t="s">
        <v>1991</v>
      </c>
      <c r="D1407" s="116"/>
      <c r="E1407" s="116"/>
      <c r="F1407" s="116"/>
      <c r="G1407" s="108"/>
      <c r="H1407" s="105" t="n">
        <f aca="false">'[2]$ лето'!j1407-'[2]$ лето'!au1407-'[2]$ лето'!at1407-'[2]$ лето'!as1407-'[2]$ лето'!ar1407-'[2]$ лето'!aq1407-'[2]$ лето'!ap1407-'[2]$ лето'!an1407-'[2]$ лето'!am1407-'[2]$ лето'!al1407-'[2]$ лето'!ak1407-'[2]$ лето'!aj1407-'[2]$ лето'!ah1407-'[2]$ лето'!ag1407-'[2]$ лето'!af1407-'[2]$ лето'!ae1407-'[2]$ лето'!ad1407-'[2]$ лето'!ab1407-'[2]$ лето'!aa1407-'[2]$ лето'!z1407-'[2]$ лето'!y1407-'[2]$ лето'!x1407-'[2]$ лето'!v1407-'[2]$ лето'!u1407-'[2]$ лето'!t1407-'[2]$ лето'!s1407-'[2]$ лето'!r1407-'[2]$ лето'!p1407-'[2]$ лето'!o1407-'[2]$ лето'!n1407-'[2]$ лето'!m1407-'[2]$ лето'!l1407+'[2]$ лето'!k1407+'[2]$ лето'!q1407+'[2]$ лето'!w1407+'[2]$ лето'!ac1407+'[2]$ лето'!ai1407+'[2]$ лето'!ao1407</f>
        <v>0</v>
      </c>
      <c r="I1407" s="109" t="n">
        <f aca="false">'[2]$ лето'!ay1407*1.1</f>
        <v>1694</v>
      </c>
    </row>
    <row r="1408" customFormat="false" ht="15" hidden="true" customHeight="false" outlineLevel="0" collapsed="false">
      <c r="A1408" s="115" t="s">
        <v>1988</v>
      </c>
      <c r="B1408" s="115" t="s">
        <v>568</v>
      </c>
      <c r="C1408" s="126" t="s">
        <v>1992</v>
      </c>
      <c r="D1408" s="126"/>
      <c r="E1408" s="126"/>
      <c r="F1408" s="126"/>
      <c r="G1408" s="108"/>
      <c r="H1408" s="105" t="n">
        <f aca="false">'[2]$ лето'!j1408-'[2]$ лето'!au1408-'[2]$ лето'!at1408-'[2]$ лето'!as1408-'[2]$ лето'!ar1408-'[2]$ лето'!aq1408-'[2]$ лето'!ap1408-'[2]$ лето'!an1408-'[2]$ лето'!am1408-'[2]$ лето'!al1408-'[2]$ лето'!ak1408-'[2]$ лето'!aj1408-'[2]$ лето'!ah1408-'[2]$ лето'!ag1408-'[2]$ лето'!af1408-'[2]$ лето'!ae1408-'[2]$ лето'!ad1408-'[2]$ лето'!ab1408-'[2]$ лето'!aa1408-'[2]$ лето'!z1408-'[2]$ лето'!y1408-'[2]$ лето'!x1408-'[2]$ лето'!v1408-'[2]$ лето'!u1408-'[2]$ лето'!t1408-'[2]$ лето'!s1408-'[2]$ лето'!r1408-'[2]$ лето'!p1408-'[2]$ лето'!o1408-'[2]$ лето'!n1408-'[2]$ лето'!m1408-'[2]$ лето'!l1408+'[2]$ лето'!k1408+'[2]$ лето'!q1408+'[2]$ лето'!w1408+'[2]$ лето'!ac1408+'[2]$ лето'!ai1408+'[2]$ лето'!ao1408</f>
        <v>0</v>
      </c>
      <c r="I1408" s="109" t="n">
        <f aca="false">'[2]$ лето'!ay1408*1.1</f>
        <v>2987.6</v>
      </c>
      <c r="J1408" s="85" t="s">
        <v>1993</v>
      </c>
    </row>
    <row r="1409" customFormat="false" ht="15" hidden="true" customHeight="false" outlineLevel="0" collapsed="false">
      <c r="A1409" s="115" t="s">
        <v>1988</v>
      </c>
      <c r="B1409" s="115" t="s">
        <v>601</v>
      </c>
      <c r="C1409" s="116" t="s">
        <v>1994</v>
      </c>
      <c r="D1409" s="116"/>
      <c r="E1409" s="116"/>
      <c r="F1409" s="116"/>
      <c r="G1409" s="108" t="s">
        <v>876</v>
      </c>
      <c r="H1409" s="105" t="n">
        <f aca="false">'[2]$ лето'!j1409-'[2]$ лето'!au1409-'[2]$ лето'!at1409-'[2]$ лето'!as1409-'[2]$ лето'!ar1409-'[2]$ лето'!aq1409-'[2]$ лето'!ap1409-'[2]$ лето'!an1409-'[2]$ лето'!am1409-'[2]$ лето'!al1409-'[2]$ лето'!ak1409-'[2]$ лето'!aj1409-'[2]$ лето'!ah1409-'[2]$ лето'!ag1409-'[2]$ лето'!af1409-'[2]$ лето'!ae1409-'[2]$ лето'!ad1409-'[2]$ лето'!ab1409-'[2]$ лето'!aa1409-'[2]$ лето'!z1409-'[2]$ лето'!y1409-'[2]$ лето'!x1409-'[2]$ лето'!v1409-'[2]$ лето'!u1409-'[2]$ лето'!t1409-'[2]$ лето'!s1409-'[2]$ лето'!r1409-'[2]$ лето'!p1409-'[2]$ лето'!o1409-'[2]$ лето'!n1409-'[2]$ лето'!m1409-'[2]$ лето'!l1409+'[2]$ лето'!k1409+'[2]$ лето'!q1409+'[2]$ лето'!w1409+'[2]$ лето'!ac1409+'[2]$ лето'!ai1409+'[2]$ лето'!ao1409</f>
        <v>0</v>
      </c>
      <c r="I1409" s="109" t="n">
        <f aca="false">'[2]$ лето'!ay1409*1.1</f>
        <v>3572.8</v>
      </c>
    </row>
    <row r="1410" customFormat="false" ht="15" hidden="true" customHeight="false" outlineLevel="0" collapsed="false">
      <c r="A1410" s="119" t="s">
        <v>1988</v>
      </c>
      <c r="B1410" s="119" t="s">
        <v>658</v>
      </c>
      <c r="C1410" s="115" t="s">
        <v>1995</v>
      </c>
      <c r="D1410" s="115"/>
      <c r="E1410" s="115"/>
      <c r="F1410" s="115"/>
      <c r="G1410" s="108" t="s">
        <v>843</v>
      </c>
      <c r="H1410" s="105" t="n">
        <f aca="false">'[2]$ лето'!j1410-'[2]$ лето'!au1410-'[2]$ лето'!at1410-'[2]$ лето'!as1410-'[2]$ лето'!ar1410-'[2]$ лето'!aq1410-'[2]$ лето'!ap1410-'[2]$ лето'!an1410-'[2]$ лето'!am1410-'[2]$ лето'!al1410-'[2]$ лето'!ak1410-'[2]$ лето'!aj1410-'[2]$ лето'!ah1410-'[2]$ лето'!ag1410-'[2]$ лето'!af1410-'[2]$ лето'!ae1410-'[2]$ лето'!ad1410-'[2]$ лето'!ab1410-'[2]$ лето'!aa1410-'[2]$ лето'!z1410-'[2]$ лето'!y1410-'[2]$ лето'!x1410-'[2]$ лето'!v1410-'[2]$ лето'!u1410-'[2]$ лето'!t1410-'[2]$ лето'!s1410-'[2]$ лето'!r1410-'[2]$ лето'!p1410-'[2]$ лето'!o1410-'[2]$ лето'!n1410-'[2]$ лето'!m1410-'[2]$ лето'!l1410+'[2]$ лето'!k1410+'[2]$ лето'!q1410+'[2]$ лето'!w1410+'[2]$ лето'!ac1410+'[2]$ лето'!ai1410+'[2]$ лето'!ao1410</f>
        <v>0</v>
      </c>
      <c r="I1410" s="109" t="n">
        <f aca="false">'[2]$ лето'!ay1410*1.1</f>
        <v>3942.4</v>
      </c>
      <c r="J1410" s="85" t="n">
        <v>2018</v>
      </c>
    </row>
    <row r="1411" customFormat="false" ht="15" hidden="true" customHeight="false" outlineLevel="0" collapsed="false">
      <c r="A1411" s="115" t="s">
        <v>1988</v>
      </c>
      <c r="B1411" s="115" t="s">
        <v>553</v>
      </c>
      <c r="C1411" s="114" t="s">
        <v>1996</v>
      </c>
      <c r="D1411" s="114"/>
      <c r="E1411" s="114"/>
      <c r="F1411" s="114"/>
      <c r="G1411" s="108"/>
      <c r="H1411" s="105" t="n">
        <f aca="false">'[2]$ лето'!j1411-'[2]$ лето'!au1411-'[2]$ лето'!at1411-'[2]$ лето'!as1411-'[2]$ лето'!ar1411-'[2]$ лето'!aq1411-'[2]$ лето'!ap1411-'[2]$ лето'!an1411-'[2]$ лето'!am1411-'[2]$ лето'!al1411-'[2]$ лето'!ak1411-'[2]$ лето'!aj1411-'[2]$ лето'!ah1411-'[2]$ лето'!ag1411-'[2]$ лето'!af1411-'[2]$ лето'!ae1411-'[2]$ лето'!ad1411-'[2]$ лето'!ab1411-'[2]$ лето'!aa1411-'[2]$ лето'!z1411-'[2]$ лето'!y1411-'[2]$ лето'!x1411-'[2]$ лето'!v1411-'[2]$ лето'!u1411-'[2]$ лето'!t1411-'[2]$ лето'!s1411-'[2]$ лето'!r1411-'[2]$ лето'!p1411-'[2]$ лето'!o1411-'[2]$ лето'!n1411-'[2]$ лето'!m1411-'[2]$ лето'!l1411+'[2]$ лето'!k1411+'[2]$ лето'!q1411+'[2]$ лето'!w1411+'[2]$ лето'!ac1411+'[2]$ лето'!ai1411+'[2]$ лето'!ao1411</f>
        <v>0</v>
      </c>
      <c r="I1411" s="109" t="n">
        <f aca="false">'[2]$ лето'!ay1411*1.1</f>
        <v>4620</v>
      </c>
    </row>
    <row r="1412" customFormat="false" ht="15" hidden="true" customHeight="false" outlineLevel="0" collapsed="false">
      <c r="A1412" s="115" t="s">
        <v>1988</v>
      </c>
      <c r="B1412" s="115" t="s">
        <v>557</v>
      </c>
      <c r="C1412" s="114" t="s">
        <v>1997</v>
      </c>
      <c r="D1412" s="114"/>
      <c r="E1412" s="114"/>
      <c r="F1412" s="114"/>
      <c r="G1412" s="108"/>
      <c r="H1412" s="105" t="n">
        <f aca="false">'[2]$ лето'!j1412-'[2]$ лето'!au1412-'[2]$ лето'!at1412-'[2]$ лето'!as1412-'[2]$ лето'!ar1412-'[2]$ лето'!aq1412-'[2]$ лето'!ap1412-'[2]$ лето'!an1412-'[2]$ лето'!am1412-'[2]$ лето'!al1412-'[2]$ лето'!ak1412-'[2]$ лето'!aj1412-'[2]$ лето'!ah1412-'[2]$ лето'!ag1412-'[2]$ лето'!af1412-'[2]$ лето'!ae1412-'[2]$ лето'!ad1412-'[2]$ лето'!ab1412-'[2]$ лето'!aa1412-'[2]$ лето'!z1412-'[2]$ лето'!y1412-'[2]$ лето'!x1412-'[2]$ лето'!v1412-'[2]$ лето'!u1412-'[2]$ лето'!t1412-'[2]$ лето'!s1412-'[2]$ лето'!r1412-'[2]$ лето'!p1412-'[2]$ лето'!o1412-'[2]$ лето'!n1412-'[2]$ лето'!m1412-'[2]$ лето'!l1412+'[2]$ лето'!k1412+'[2]$ лето'!q1412+'[2]$ лето'!w1412+'[2]$ лето'!ac1412+'[2]$ лето'!ai1412+'[2]$ лето'!ao1412</f>
        <v>0</v>
      </c>
      <c r="I1412" s="109" t="n">
        <f aca="false">'[2]$ лето'!ay1412*1.1</f>
        <v>2772</v>
      </c>
      <c r="J1412" s="85" t="n">
        <v>2018</v>
      </c>
    </row>
    <row r="1413" customFormat="false" ht="15" hidden="true" customHeight="false" outlineLevel="0" collapsed="false">
      <c r="A1413" s="115" t="s">
        <v>1988</v>
      </c>
      <c r="B1413" s="115" t="s">
        <v>744</v>
      </c>
      <c r="C1413" s="114" t="s">
        <v>1998</v>
      </c>
      <c r="D1413" s="114"/>
      <c r="E1413" s="114"/>
      <c r="F1413" s="114"/>
      <c r="G1413" s="108" t="s">
        <v>1999</v>
      </c>
      <c r="H1413" s="105" t="n">
        <f aca="false">'[2]$ лето'!j1413-'[2]$ лето'!au1413-'[2]$ лето'!at1413-'[2]$ лето'!as1413-'[2]$ лето'!ar1413-'[2]$ лето'!aq1413-'[2]$ лето'!ap1413-'[2]$ лето'!an1413-'[2]$ лето'!am1413-'[2]$ лето'!al1413-'[2]$ лето'!ak1413-'[2]$ лето'!aj1413-'[2]$ лето'!ah1413-'[2]$ лето'!ag1413-'[2]$ лето'!af1413-'[2]$ лето'!ae1413-'[2]$ лето'!ad1413-'[2]$ лето'!ab1413-'[2]$ лето'!aa1413-'[2]$ лето'!z1413-'[2]$ лето'!y1413-'[2]$ лето'!x1413-'[2]$ лето'!v1413-'[2]$ лето'!u1413-'[2]$ лето'!t1413-'[2]$ лето'!s1413-'[2]$ лето'!r1413-'[2]$ лето'!p1413-'[2]$ лето'!o1413-'[2]$ лето'!n1413-'[2]$ лето'!m1413-'[2]$ лето'!l1413+'[2]$ лето'!k1413+'[2]$ лето'!q1413+'[2]$ лето'!w1413+'[2]$ лето'!ac1413+'[2]$ лето'!ai1413+'[2]$ лето'!ao1413</f>
        <v>0</v>
      </c>
      <c r="I1413" s="109" t="n">
        <f aca="false">'[2]$ лето'!ay1413*1.1</f>
        <v>4004</v>
      </c>
      <c r="J1413" s="85" t="s">
        <v>1993</v>
      </c>
    </row>
    <row r="1414" customFormat="false" ht="15" hidden="true" customHeight="false" outlineLevel="0" collapsed="false">
      <c r="A1414" s="115" t="s">
        <v>1988</v>
      </c>
      <c r="B1414" s="115" t="s">
        <v>948</v>
      </c>
      <c r="C1414" s="126" t="s">
        <v>2000</v>
      </c>
      <c r="D1414" s="126"/>
      <c r="E1414" s="126"/>
      <c r="F1414" s="126"/>
      <c r="G1414" s="108"/>
      <c r="H1414" s="105" t="n">
        <f aca="false">'[2]$ лето'!j1414-'[2]$ лето'!au1414-'[2]$ лето'!at1414-'[2]$ лето'!as1414-'[2]$ лето'!ar1414-'[2]$ лето'!aq1414-'[2]$ лето'!ap1414-'[2]$ лето'!an1414-'[2]$ лето'!am1414-'[2]$ лето'!al1414-'[2]$ лето'!ak1414-'[2]$ лето'!aj1414-'[2]$ лето'!ah1414-'[2]$ лето'!ag1414-'[2]$ лето'!af1414-'[2]$ лето'!ae1414-'[2]$ лето'!ad1414-'[2]$ лето'!ab1414-'[2]$ лето'!aa1414-'[2]$ лето'!z1414-'[2]$ лето'!y1414-'[2]$ лето'!x1414-'[2]$ лето'!v1414-'[2]$ лето'!u1414-'[2]$ лето'!t1414-'[2]$ лето'!s1414-'[2]$ лето'!r1414-'[2]$ лето'!p1414-'[2]$ лето'!o1414-'[2]$ лето'!n1414-'[2]$ лето'!m1414-'[2]$ лето'!l1414+'[2]$ лето'!k1414+'[2]$ лето'!q1414+'[2]$ лето'!w1414+'[2]$ лето'!ac1414+'[2]$ лето'!ai1414+'[2]$ лето'!ao1414</f>
        <v>0</v>
      </c>
      <c r="I1414" s="109" t="n">
        <f aca="false">'[2]$ лето'!ay1414*1.1</f>
        <v>4620</v>
      </c>
    </row>
    <row r="1415" customFormat="false" ht="15" hidden="true" customHeight="false" outlineLevel="0" collapsed="false">
      <c r="A1415" s="115" t="s">
        <v>1988</v>
      </c>
      <c r="B1415" s="115" t="s">
        <v>606</v>
      </c>
      <c r="C1415" s="116" t="s">
        <v>2001</v>
      </c>
      <c r="D1415" s="116"/>
      <c r="E1415" s="116"/>
      <c r="F1415" s="116"/>
      <c r="G1415" s="108" t="s">
        <v>609</v>
      </c>
      <c r="H1415" s="105" t="n">
        <f aca="false">'[2]$ лето'!j1415-'[2]$ лето'!au1415-'[2]$ лето'!at1415-'[2]$ лето'!as1415-'[2]$ лето'!ar1415-'[2]$ лето'!aq1415-'[2]$ лето'!ap1415-'[2]$ лето'!an1415-'[2]$ лето'!am1415-'[2]$ лето'!al1415-'[2]$ лето'!ak1415-'[2]$ лето'!aj1415-'[2]$ лето'!ah1415-'[2]$ лето'!ag1415-'[2]$ лето'!af1415-'[2]$ лето'!ae1415-'[2]$ лето'!ad1415-'[2]$ лето'!ab1415-'[2]$ лето'!aa1415-'[2]$ лето'!z1415-'[2]$ лето'!y1415-'[2]$ лето'!x1415-'[2]$ лето'!v1415-'[2]$ лето'!u1415-'[2]$ лето'!t1415-'[2]$ лето'!s1415-'[2]$ лето'!r1415-'[2]$ лето'!p1415-'[2]$ лето'!o1415-'[2]$ лето'!n1415-'[2]$ лето'!m1415-'[2]$ лето'!l1415+'[2]$ лето'!k1415+'[2]$ лето'!q1415+'[2]$ лето'!w1415+'[2]$ лето'!ac1415+'[2]$ лето'!ai1415+'[2]$ лето'!ao1415</f>
        <v>0</v>
      </c>
      <c r="I1415" s="109" t="n">
        <f aca="false">'[2]$ лето'!ay1415*1.1</f>
        <v>3234</v>
      </c>
      <c r="J1415" s="85" t="n">
        <v>2017</v>
      </c>
    </row>
    <row r="1416" customFormat="false" ht="15" hidden="true" customHeight="false" outlineLevel="0" collapsed="false">
      <c r="A1416" s="115" t="s">
        <v>1988</v>
      </c>
      <c r="B1416" s="115" t="s">
        <v>606</v>
      </c>
      <c r="C1416" s="116" t="s">
        <v>2002</v>
      </c>
      <c r="D1416" s="116"/>
      <c r="E1416" s="116"/>
      <c r="F1416" s="116"/>
      <c r="G1416" s="108" t="s">
        <v>1037</v>
      </c>
      <c r="H1416" s="105" t="n">
        <f aca="false">'[2]$ лето'!j1416-'[2]$ лето'!au1416-'[2]$ лето'!at1416-'[2]$ лето'!as1416-'[2]$ лето'!ar1416-'[2]$ лето'!aq1416-'[2]$ лето'!ap1416-'[2]$ лето'!an1416-'[2]$ лето'!am1416-'[2]$ лето'!al1416-'[2]$ лето'!ak1416-'[2]$ лето'!aj1416-'[2]$ лето'!ah1416-'[2]$ лето'!ag1416-'[2]$ лето'!af1416-'[2]$ лето'!ae1416-'[2]$ лето'!ad1416-'[2]$ лето'!ab1416-'[2]$ лето'!aa1416-'[2]$ лето'!z1416-'[2]$ лето'!y1416-'[2]$ лето'!x1416-'[2]$ лето'!v1416-'[2]$ лето'!u1416-'[2]$ лето'!t1416-'[2]$ лето'!s1416-'[2]$ лето'!r1416-'[2]$ лето'!p1416-'[2]$ лето'!o1416-'[2]$ лето'!n1416-'[2]$ лето'!m1416-'[2]$ лето'!l1416+'[2]$ лето'!k1416+'[2]$ лето'!q1416+'[2]$ лето'!w1416+'[2]$ лето'!ac1416+'[2]$ лето'!ai1416+'[2]$ лето'!ao1416</f>
        <v>0</v>
      </c>
      <c r="I1416" s="109" t="n">
        <f aca="false">'[2]$ лето'!ay1416*1.1</f>
        <v>3080</v>
      </c>
    </row>
    <row r="1417" customFormat="false" ht="15" hidden="true" customHeight="false" outlineLevel="0" collapsed="false">
      <c r="A1417" s="115" t="s">
        <v>1988</v>
      </c>
      <c r="B1417" s="115" t="s">
        <v>606</v>
      </c>
      <c r="C1417" s="116" t="s">
        <v>2003</v>
      </c>
      <c r="D1417" s="116"/>
      <c r="E1417" s="116"/>
      <c r="F1417" s="116"/>
      <c r="G1417" s="108"/>
      <c r="H1417" s="105" t="n">
        <f aca="false">'[2]$ лето'!j1417-'[2]$ лето'!au1417-'[2]$ лето'!at1417-'[2]$ лето'!as1417-'[2]$ лето'!ar1417-'[2]$ лето'!aq1417-'[2]$ лето'!ap1417-'[2]$ лето'!an1417-'[2]$ лето'!am1417-'[2]$ лето'!al1417-'[2]$ лето'!ak1417-'[2]$ лето'!aj1417-'[2]$ лето'!ah1417-'[2]$ лето'!ag1417-'[2]$ лето'!af1417-'[2]$ лето'!ae1417-'[2]$ лето'!ad1417-'[2]$ лето'!ab1417-'[2]$ лето'!aa1417-'[2]$ лето'!z1417-'[2]$ лето'!y1417-'[2]$ лето'!x1417-'[2]$ лето'!v1417-'[2]$ лето'!u1417-'[2]$ лето'!t1417-'[2]$ лето'!s1417-'[2]$ лето'!r1417-'[2]$ лето'!p1417-'[2]$ лето'!o1417-'[2]$ лето'!n1417-'[2]$ лето'!m1417-'[2]$ лето'!l1417+'[2]$ лето'!k1417+'[2]$ лето'!q1417+'[2]$ лето'!w1417+'[2]$ лето'!ac1417+'[2]$ лето'!ai1417+'[2]$ лето'!ao1417</f>
        <v>0</v>
      </c>
      <c r="I1417" s="109" t="n">
        <f aca="false">'[2]$ лето'!ay1417*1.1</f>
        <v>3049.2</v>
      </c>
    </row>
    <row r="1418" customFormat="false" ht="15" hidden="true" customHeight="false" outlineLevel="0" collapsed="false">
      <c r="A1418" s="115" t="s">
        <v>1988</v>
      </c>
      <c r="B1418" s="115" t="s">
        <v>668</v>
      </c>
      <c r="C1418" s="107" t="s">
        <v>2004</v>
      </c>
      <c r="D1418" s="107"/>
      <c r="E1418" s="107"/>
      <c r="F1418" s="107"/>
      <c r="G1418" s="108" t="s">
        <v>609</v>
      </c>
      <c r="H1418" s="105" t="n">
        <f aca="false">'[2]$ лето'!j1418-'[2]$ лето'!au1418-'[2]$ лето'!at1418-'[2]$ лето'!as1418-'[2]$ лето'!ar1418-'[2]$ лето'!aq1418-'[2]$ лето'!ap1418-'[2]$ лето'!an1418-'[2]$ лето'!am1418-'[2]$ лето'!al1418-'[2]$ лето'!ak1418-'[2]$ лето'!aj1418-'[2]$ лето'!ah1418-'[2]$ лето'!ag1418-'[2]$ лето'!af1418-'[2]$ лето'!ae1418-'[2]$ лето'!ad1418-'[2]$ лето'!ab1418-'[2]$ лето'!aa1418-'[2]$ лето'!z1418-'[2]$ лето'!y1418-'[2]$ лето'!x1418-'[2]$ лето'!v1418-'[2]$ лето'!u1418-'[2]$ лето'!t1418-'[2]$ лето'!s1418-'[2]$ лето'!r1418-'[2]$ лето'!p1418-'[2]$ лето'!o1418-'[2]$ лето'!n1418-'[2]$ лето'!m1418-'[2]$ лето'!l1418+'[2]$ лето'!k1418+'[2]$ лето'!q1418+'[2]$ лето'!w1418+'[2]$ лето'!ac1418+'[2]$ лето'!ai1418+'[2]$ лето'!ao1418</f>
        <v>0</v>
      </c>
      <c r="I1418" s="109" t="n">
        <f aca="false">'[2]$ лето'!ay1418*1.1</f>
        <v>2640</v>
      </c>
      <c r="J1418" s="85" t="n">
        <v>2017</v>
      </c>
    </row>
    <row r="1419" customFormat="false" ht="15" hidden="true" customHeight="false" outlineLevel="0" collapsed="false">
      <c r="A1419" s="115" t="s">
        <v>1988</v>
      </c>
      <c r="B1419" s="115" t="s">
        <v>574</v>
      </c>
      <c r="C1419" s="107" t="s">
        <v>2005</v>
      </c>
      <c r="D1419" s="107"/>
      <c r="E1419" s="107"/>
      <c r="F1419" s="107"/>
      <c r="G1419" s="108" t="s">
        <v>576</v>
      </c>
      <c r="H1419" s="105" t="n">
        <f aca="false">'[2]$ лето'!j1419-'[2]$ лето'!au1419-'[2]$ лето'!at1419-'[2]$ лето'!as1419-'[2]$ лето'!ar1419-'[2]$ лето'!aq1419-'[2]$ лето'!ap1419-'[2]$ лето'!an1419-'[2]$ лето'!am1419-'[2]$ лето'!al1419-'[2]$ лето'!ak1419-'[2]$ лето'!aj1419-'[2]$ лето'!ah1419-'[2]$ лето'!ag1419-'[2]$ лето'!af1419-'[2]$ лето'!ae1419-'[2]$ лето'!ad1419-'[2]$ лето'!ab1419-'[2]$ лето'!aa1419-'[2]$ лето'!z1419-'[2]$ лето'!y1419-'[2]$ лето'!x1419-'[2]$ лето'!v1419-'[2]$ лето'!u1419-'[2]$ лето'!t1419-'[2]$ лето'!s1419-'[2]$ лето'!r1419-'[2]$ лето'!p1419-'[2]$ лето'!o1419-'[2]$ лето'!n1419-'[2]$ лето'!m1419-'[2]$ лето'!l1419+'[2]$ лето'!k1419+'[2]$ лето'!q1419+'[2]$ лето'!w1419+'[2]$ лето'!ac1419+'[2]$ лето'!ai1419+'[2]$ лето'!ao1419</f>
        <v>0</v>
      </c>
      <c r="I1419" s="109" t="n">
        <f aca="false">'[2]$ лето'!ay1419*1.1</f>
        <v>3080</v>
      </c>
    </row>
    <row r="1420" customFormat="false" ht="15" hidden="true" customHeight="false" outlineLevel="0" collapsed="false">
      <c r="A1420" s="115" t="s">
        <v>1988</v>
      </c>
      <c r="B1420" s="115" t="s">
        <v>583</v>
      </c>
      <c r="C1420" s="107" t="s">
        <v>2006</v>
      </c>
      <c r="D1420" s="107"/>
      <c r="E1420" s="107"/>
      <c r="F1420" s="107"/>
      <c r="G1420" s="108"/>
      <c r="H1420" s="105" t="n">
        <f aca="false">'[2]$ лето'!j1420-'[2]$ лето'!au1420-'[2]$ лето'!at1420-'[2]$ лето'!as1420-'[2]$ лето'!ar1420-'[2]$ лето'!aq1420-'[2]$ лето'!ap1420-'[2]$ лето'!an1420-'[2]$ лето'!am1420-'[2]$ лето'!al1420-'[2]$ лето'!ak1420-'[2]$ лето'!aj1420-'[2]$ лето'!ah1420-'[2]$ лето'!ag1420-'[2]$ лето'!af1420-'[2]$ лето'!ae1420-'[2]$ лето'!ad1420-'[2]$ лето'!ab1420-'[2]$ лето'!aa1420-'[2]$ лето'!z1420-'[2]$ лето'!y1420-'[2]$ лето'!x1420-'[2]$ лето'!v1420-'[2]$ лето'!u1420-'[2]$ лето'!t1420-'[2]$ лето'!s1420-'[2]$ лето'!r1420-'[2]$ лето'!p1420-'[2]$ лето'!o1420-'[2]$ лето'!n1420-'[2]$ лето'!m1420-'[2]$ лето'!l1420+'[2]$ лето'!k1420+'[2]$ лето'!q1420+'[2]$ лето'!w1420+'[2]$ лето'!ac1420+'[2]$ лето'!ai1420+'[2]$ лето'!ao1420</f>
        <v>0</v>
      </c>
      <c r="I1420" s="109" t="n">
        <f aca="false">'[2]$ лето'!ay1420*1.1</f>
        <v>0</v>
      </c>
    </row>
    <row r="1421" customFormat="false" ht="15" hidden="true" customHeight="false" outlineLevel="0" collapsed="false">
      <c r="A1421" s="115" t="s">
        <v>1988</v>
      </c>
      <c r="B1421" s="115" t="s">
        <v>593</v>
      </c>
      <c r="C1421" s="107" t="s">
        <v>2007</v>
      </c>
      <c r="D1421" s="107"/>
      <c r="E1421" s="107"/>
      <c r="F1421" s="107"/>
      <c r="G1421" s="108" t="s">
        <v>849</v>
      </c>
      <c r="H1421" s="105" t="n">
        <f aca="false">'[2]$ лето'!j1421-'[2]$ лето'!au1421-'[2]$ лето'!at1421-'[2]$ лето'!as1421-'[2]$ лето'!ar1421-'[2]$ лето'!aq1421-'[2]$ лето'!ap1421-'[2]$ лето'!an1421-'[2]$ лето'!am1421-'[2]$ лето'!al1421-'[2]$ лето'!ak1421-'[2]$ лето'!aj1421-'[2]$ лето'!ah1421-'[2]$ лето'!ag1421-'[2]$ лето'!af1421-'[2]$ лето'!ae1421-'[2]$ лето'!ad1421-'[2]$ лето'!ab1421-'[2]$ лето'!aa1421-'[2]$ лето'!z1421-'[2]$ лето'!y1421-'[2]$ лето'!x1421-'[2]$ лето'!v1421-'[2]$ лето'!u1421-'[2]$ лето'!t1421-'[2]$ лето'!s1421-'[2]$ лето'!r1421-'[2]$ лето'!p1421-'[2]$ лето'!o1421-'[2]$ лето'!n1421-'[2]$ лето'!m1421-'[2]$ лето'!l1421+'[2]$ лето'!k1421+'[2]$ лето'!q1421+'[2]$ лето'!w1421+'[2]$ лето'!ac1421+'[2]$ лето'!ai1421+'[2]$ лето'!ao1421</f>
        <v>0</v>
      </c>
      <c r="I1421" s="109" t="n">
        <f aca="false">'[2]$ лето'!ay1421*1.1</f>
        <v>3850</v>
      </c>
    </row>
    <row r="1422" customFormat="false" ht="15" hidden="true" customHeight="false" outlineLevel="0" collapsed="false">
      <c r="A1422" s="115" t="s">
        <v>1988</v>
      </c>
      <c r="B1422" s="115" t="s">
        <v>593</v>
      </c>
      <c r="C1422" s="107" t="s">
        <v>2008</v>
      </c>
      <c r="D1422" s="107"/>
      <c r="E1422" s="107"/>
      <c r="F1422" s="107"/>
      <c r="G1422" s="108" t="s">
        <v>663</v>
      </c>
      <c r="H1422" s="105" t="n">
        <f aca="false">'[2]$ лето'!j1422-'[2]$ лето'!au1422-'[2]$ лето'!at1422-'[2]$ лето'!as1422-'[2]$ лето'!ar1422-'[2]$ лето'!aq1422-'[2]$ лето'!ap1422-'[2]$ лето'!an1422-'[2]$ лето'!am1422-'[2]$ лето'!al1422-'[2]$ лето'!ak1422-'[2]$ лето'!aj1422-'[2]$ лето'!ah1422-'[2]$ лето'!ag1422-'[2]$ лето'!af1422-'[2]$ лето'!ae1422-'[2]$ лето'!ad1422-'[2]$ лето'!ab1422-'[2]$ лето'!aa1422-'[2]$ лето'!z1422-'[2]$ лето'!y1422-'[2]$ лето'!x1422-'[2]$ лето'!v1422-'[2]$ лето'!u1422-'[2]$ лето'!t1422-'[2]$ лето'!s1422-'[2]$ лето'!r1422-'[2]$ лето'!p1422-'[2]$ лето'!o1422-'[2]$ лето'!n1422-'[2]$ лето'!m1422-'[2]$ лето'!l1422+'[2]$ лето'!k1422+'[2]$ лето'!q1422+'[2]$ лето'!w1422+'[2]$ лето'!ac1422+'[2]$ лето'!ai1422+'[2]$ лето'!ao1422</f>
        <v>0</v>
      </c>
      <c r="I1422" s="109" t="n">
        <f aca="false">'[2]$ лето'!ay1422*1.1</f>
        <v>3942.4</v>
      </c>
      <c r="J1422" s="85" t="n">
        <v>2016</v>
      </c>
    </row>
    <row r="1423" customFormat="false" ht="15" hidden="false" customHeight="false" outlineLevel="0" collapsed="false">
      <c r="A1423" s="115" t="s">
        <v>1988</v>
      </c>
      <c r="B1423" s="115" t="s">
        <v>593</v>
      </c>
      <c r="C1423" s="107" t="s">
        <v>2008</v>
      </c>
      <c r="D1423" s="107"/>
      <c r="E1423" s="116"/>
      <c r="F1423" s="116"/>
      <c r="G1423" s="108" t="s">
        <v>663</v>
      </c>
      <c r="H1423" s="105" t="n">
        <f aca="false">'[2]$ лето'!j1423-'[2]$ лето'!au1423-'[2]$ лето'!at1423-'[2]$ лето'!as1423-'[2]$ лето'!ar1423-'[2]$ лето'!aq1423-'[2]$ лето'!ap1423-'[2]$ лето'!an1423-'[2]$ лето'!am1423-'[2]$ лето'!al1423-'[2]$ лето'!ak1423-'[2]$ лето'!aj1423-'[2]$ лето'!ah1423-'[2]$ лето'!ag1423-'[2]$ лето'!af1423-'[2]$ лето'!ae1423-'[2]$ лето'!ad1423-'[2]$ лето'!ab1423-'[2]$ лето'!aa1423-'[2]$ лето'!z1423-'[2]$ лето'!y1423-'[2]$ лето'!x1423-'[2]$ лето'!v1423-'[2]$ лето'!u1423-'[2]$ лето'!t1423-'[2]$ лето'!s1423-'[2]$ лето'!r1423-'[2]$ лето'!p1423-'[2]$ лето'!o1423-'[2]$ лето'!n1423-'[2]$ лето'!m1423-'[2]$ лето'!l1423+'[2]$ лето'!k1423+'[2]$ лето'!q1423+'[2]$ лето'!w1423+'[2]$ лето'!ac1423+'[2]$ лето'!ai1423+'[2]$ лето'!ao1423</f>
        <v>4</v>
      </c>
      <c r="I1423" s="109" t="n">
        <f aca="false">'[2]$ лето'!ay1423*1.1</f>
        <v>4466</v>
      </c>
      <c r="J1423" s="85" t="n">
        <v>2018</v>
      </c>
    </row>
    <row r="1424" customFormat="false" ht="15" hidden="true" customHeight="false" outlineLevel="0" collapsed="false">
      <c r="A1424" s="115" t="s">
        <v>1988</v>
      </c>
      <c r="B1424" s="115" t="s">
        <v>593</v>
      </c>
      <c r="C1424" s="107" t="s">
        <v>2008</v>
      </c>
      <c r="D1424" s="107"/>
      <c r="E1424" s="107"/>
      <c r="F1424" s="107"/>
      <c r="G1424" s="108" t="s">
        <v>1240</v>
      </c>
      <c r="H1424" s="105" t="n">
        <f aca="false">'[2]$ лето'!j1424-'[2]$ лето'!au1424-'[2]$ лето'!at1424-'[2]$ лето'!as1424-'[2]$ лето'!ar1424-'[2]$ лето'!aq1424-'[2]$ лето'!ap1424-'[2]$ лето'!an1424-'[2]$ лето'!am1424-'[2]$ лето'!al1424-'[2]$ лето'!ak1424-'[2]$ лето'!aj1424-'[2]$ лето'!ah1424-'[2]$ лето'!ag1424-'[2]$ лето'!af1424-'[2]$ лето'!ae1424-'[2]$ лето'!ad1424-'[2]$ лето'!ab1424-'[2]$ лето'!aa1424-'[2]$ лето'!z1424-'[2]$ лето'!y1424-'[2]$ лето'!x1424-'[2]$ лето'!v1424-'[2]$ лето'!u1424-'[2]$ лето'!t1424-'[2]$ лето'!s1424-'[2]$ лето'!r1424-'[2]$ лето'!p1424-'[2]$ лето'!o1424-'[2]$ лето'!n1424-'[2]$ лето'!m1424-'[2]$ лето'!l1424+'[2]$ лето'!k1424+'[2]$ лето'!q1424+'[2]$ лето'!w1424+'[2]$ лето'!ac1424+'[2]$ лето'!ai1424+'[2]$ лето'!ao1424</f>
        <v>0</v>
      </c>
      <c r="I1424" s="109" t="n">
        <f aca="false">'[2]$ лето'!ay1424*1.1</f>
        <v>4065.6</v>
      </c>
    </row>
    <row r="1425" customFormat="false" ht="15" hidden="true" customHeight="false" outlineLevel="0" collapsed="false">
      <c r="A1425" s="115" t="s">
        <v>1988</v>
      </c>
      <c r="B1425" s="115" t="s">
        <v>593</v>
      </c>
      <c r="C1425" s="107" t="s">
        <v>2009</v>
      </c>
      <c r="D1425" s="107"/>
      <c r="E1425" s="107"/>
      <c r="F1425" s="107"/>
      <c r="G1425" s="108" t="s">
        <v>1127</v>
      </c>
      <c r="H1425" s="105" t="n">
        <f aca="false">'[2]$ лето'!j1425-'[2]$ лето'!au1425-'[2]$ лето'!at1425-'[2]$ лето'!as1425-'[2]$ лето'!ar1425-'[2]$ лето'!aq1425-'[2]$ лето'!ap1425-'[2]$ лето'!an1425-'[2]$ лето'!am1425-'[2]$ лето'!al1425-'[2]$ лето'!ak1425-'[2]$ лето'!aj1425-'[2]$ лето'!ah1425-'[2]$ лето'!ag1425-'[2]$ лето'!af1425-'[2]$ лето'!ae1425-'[2]$ лето'!ad1425-'[2]$ лето'!ab1425-'[2]$ лето'!aa1425-'[2]$ лето'!z1425-'[2]$ лето'!y1425-'[2]$ лето'!x1425-'[2]$ лето'!v1425-'[2]$ лето'!u1425-'[2]$ лето'!t1425-'[2]$ лето'!s1425-'[2]$ лето'!r1425-'[2]$ лето'!p1425-'[2]$ лето'!o1425-'[2]$ лето'!n1425-'[2]$ лето'!m1425-'[2]$ лето'!l1425+'[2]$ лето'!k1425+'[2]$ лето'!q1425+'[2]$ лето'!w1425+'[2]$ лето'!ac1425+'[2]$ лето'!ai1425+'[2]$ лето'!ao1425</f>
        <v>0</v>
      </c>
      <c r="I1425" s="109" t="n">
        <f aca="false">'[2]$ лето'!ay1425*1.1</f>
        <v>3696</v>
      </c>
    </row>
    <row r="1426" customFormat="false" ht="15" hidden="true" customHeight="false" outlineLevel="0" collapsed="false">
      <c r="A1426" s="123" t="s">
        <v>1988</v>
      </c>
      <c r="B1426" s="115" t="s">
        <v>615</v>
      </c>
      <c r="C1426" s="107" t="s">
        <v>2010</v>
      </c>
      <c r="D1426" s="107"/>
      <c r="E1426" s="107"/>
      <c r="F1426" s="107"/>
      <c r="G1426" s="108"/>
      <c r="H1426" s="105" t="n">
        <f aca="false">'[2]$ лето'!j1426-'[2]$ лето'!au1426-'[2]$ лето'!at1426-'[2]$ лето'!as1426-'[2]$ лето'!ar1426-'[2]$ лето'!aq1426-'[2]$ лето'!ap1426-'[2]$ лето'!an1426-'[2]$ лето'!am1426-'[2]$ лето'!al1426-'[2]$ лето'!ak1426-'[2]$ лето'!aj1426-'[2]$ лето'!ah1426-'[2]$ лето'!ag1426-'[2]$ лето'!af1426-'[2]$ лето'!ae1426-'[2]$ лето'!ad1426-'[2]$ лето'!ab1426-'[2]$ лето'!aa1426-'[2]$ лето'!z1426-'[2]$ лето'!y1426-'[2]$ лето'!x1426-'[2]$ лето'!v1426-'[2]$ лето'!u1426-'[2]$ лето'!t1426-'[2]$ лето'!s1426-'[2]$ лето'!r1426-'[2]$ лето'!p1426-'[2]$ лето'!o1426-'[2]$ лето'!n1426-'[2]$ лето'!m1426-'[2]$ лето'!l1426+'[2]$ лето'!k1426+'[2]$ лето'!q1426+'[2]$ лето'!w1426+'[2]$ лето'!ac1426+'[2]$ лето'!ai1426+'[2]$ лето'!ao1426</f>
        <v>0</v>
      </c>
      <c r="I1426" s="109" t="n">
        <f aca="false">'[2]$ лето'!ay1426*1.1</f>
        <v>2525.6</v>
      </c>
      <c r="J1426" s="85" t="n">
        <v>2016</v>
      </c>
    </row>
    <row r="1427" customFormat="false" ht="15" hidden="true" customHeight="false" outlineLevel="0" collapsed="false">
      <c r="A1427" s="123" t="s">
        <v>1988</v>
      </c>
      <c r="B1427" s="115" t="s">
        <v>725</v>
      </c>
      <c r="C1427" s="107" t="s">
        <v>2011</v>
      </c>
      <c r="D1427" s="107"/>
      <c r="E1427" s="107"/>
      <c r="F1427" s="107"/>
      <c r="G1427" s="108" t="s">
        <v>857</v>
      </c>
      <c r="H1427" s="105" t="n">
        <f aca="false">'[2]$ лето'!j1427-'[2]$ лето'!au1427-'[2]$ лето'!at1427-'[2]$ лето'!as1427-'[2]$ лето'!ar1427-'[2]$ лето'!aq1427-'[2]$ лето'!ap1427-'[2]$ лето'!an1427-'[2]$ лето'!am1427-'[2]$ лето'!al1427-'[2]$ лето'!ak1427-'[2]$ лето'!aj1427-'[2]$ лето'!ah1427-'[2]$ лето'!ag1427-'[2]$ лето'!af1427-'[2]$ лето'!ae1427-'[2]$ лето'!ad1427-'[2]$ лето'!ab1427-'[2]$ лето'!aa1427-'[2]$ лето'!z1427-'[2]$ лето'!y1427-'[2]$ лето'!x1427-'[2]$ лето'!v1427-'[2]$ лето'!u1427-'[2]$ лето'!t1427-'[2]$ лето'!s1427-'[2]$ лето'!r1427-'[2]$ лето'!p1427-'[2]$ лето'!o1427-'[2]$ лето'!n1427-'[2]$ лето'!m1427-'[2]$ лето'!l1427+'[2]$ лето'!k1427+'[2]$ лето'!q1427+'[2]$ лето'!w1427+'[2]$ лето'!ac1427+'[2]$ лето'!ai1427+'[2]$ лето'!ao1427</f>
        <v>0</v>
      </c>
      <c r="I1427" s="109" t="n">
        <f aca="false">'[2]$ лето'!ay1427*1.1</f>
        <v>2464</v>
      </c>
      <c r="J1427" s="85" t="n">
        <v>2017</v>
      </c>
    </row>
    <row r="1428" customFormat="false" ht="15" hidden="true" customHeight="false" outlineLevel="0" collapsed="false">
      <c r="A1428" s="123" t="s">
        <v>1988</v>
      </c>
      <c r="B1428" s="115" t="s">
        <v>677</v>
      </c>
      <c r="C1428" s="107" t="s">
        <v>2012</v>
      </c>
      <c r="D1428" s="107"/>
      <c r="E1428" s="107"/>
      <c r="F1428" s="107"/>
      <c r="G1428" s="108"/>
      <c r="H1428" s="105" t="n">
        <f aca="false">'[2]$ лето'!j1428-'[2]$ лето'!au1428-'[2]$ лето'!at1428-'[2]$ лето'!as1428-'[2]$ лето'!ar1428-'[2]$ лето'!aq1428-'[2]$ лето'!ap1428-'[2]$ лето'!an1428-'[2]$ лето'!am1428-'[2]$ лето'!al1428-'[2]$ лето'!ak1428-'[2]$ лето'!aj1428-'[2]$ лето'!ah1428-'[2]$ лето'!ag1428-'[2]$ лето'!af1428-'[2]$ лето'!ae1428-'[2]$ лето'!ad1428-'[2]$ лето'!ab1428-'[2]$ лето'!aa1428-'[2]$ лето'!z1428-'[2]$ лето'!y1428-'[2]$ лето'!x1428-'[2]$ лето'!v1428-'[2]$ лето'!u1428-'[2]$ лето'!t1428-'[2]$ лето'!s1428-'[2]$ лето'!r1428-'[2]$ лето'!p1428-'[2]$ лето'!o1428-'[2]$ лето'!n1428-'[2]$ лето'!m1428-'[2]$ лето'!l1428+'[2]$ лето'!k1428+'[2]$ лето'!q1428+'[2]$ лето'!w1428+'[2]$ лето'!ac1428+'[2]$ лето'!ai1428+'[2]$ лето'!ao1428</f>
        <v>0</v>
      </c>
      <c r="I1428" s="109" t="n">
        <f aca="false">'[2]$ лето'!ay1428*1.1</f>
        <v>2125.2</v>
      </c>
    </row>
    <row r="1429" customFormat="false" ht="15" hidden="true" customHeight="false" outlineLevel="0" collapsed="false">
      <c r="A1429" s="123" t="s">
        <v>1988</v>
      </c>
      <c r="B1429" s="115" t="s">
        <v>623</v>
      </c>
      <c r="C1429" s="107" t="s">
        <v>2013</v>
      </c>
      <c r="D1429" s="107"/>
      <c r="E1429" s="107"/>
      <c r="F1429" s="107"/>
      <c r="G1429" s="108"/>
      <c r="H1429" s="105" t="n">
        <f aca="false">'[2]$ лето'!j1429-'[2]$ лето'!au1429-'[2]$ лето'!at1429-'[2]$ лето'!as1429-'[2]$ лето'!ar1429-'[2]$ лето'!aq1429-'[2]$ лето'!ap1429-'[2]$ лето'!an1429-'[2]$ лето'!am1429-'[2]$ лето'!al1429-'[2]$ лето'!ak1429-'[2]$ лето'!aj1429-'[2]$ лето'!ah1429-'[2]$ лето'!ag1429-'[2]$ лето'!af1429-'[2]$ лето'!ae1429-'[2]$ лето'!ad1429-'[2]$ лето'!ab1429-'[2]$ лето'!aa1429-'[2]$ лето'!z1429-'[2]$ лето'!y1429-'[2]$ лето'!x1429-'[2]$ лето'!v1429-'[2]$ лето'!u1429-'[2]$ лето'!t1429-'[2]$ лето'!s1429-'[2]$ лето'!r1429-'[2]$ лето'!p1429-'[2]$ лето'!o1429-'[2]$ лето'!n1429-'[2]$ лето'!m1429-'[2]$ лето'!l1429+'[2]$ лето'!k1429+'[2]$ лето'!q1429+'[2]$ лето'!w1429+'[2]$ лето'!ac1429+'[2]$ лето'!ai1429+'[2]$ лето'!ao1429</f>
        <v>0</v>
      </c>
      <c r="I1429" s="109" t="n">
        <f aca="false">'[2]$ лето'!ay1429*1.1</f>
        <v>2156</v>
      </c>
    </row>
    <row r="1430" customFormat="false" ht="15" hidden="false" customHeight="false" outlineLevel="0" collapsed="false">
      <c r="A1430" s="123" t="s">
        <v>1988</v>
      </c>
      <c r="B1430" s="115" t="s">
        <v>564</v>
      </c>
      <c r="C1430" s="107" t="s">
        <v>2014</v>
      </c>
      <c r="D1430" s="107"/>
      <c r="E1430" s="116"/>
      <c r="F1430" s="116"/>
      <c r="G1430" s="108" t="s">
        <v>520</v>
      </c>
      <c r="H1430" s="105" t="n">
        <f aca="false">'[2]$ лето'!j1430-'[2]$ лето'!au1430-'[2]$ лето'!at1430-'[2]$ лето'!as1430-'[2]$ лето'!ar1430-'[2]$ лето'!aq1430-'[2]$ лето'!ap1430-'[2]$ лето'!an1430-'[2]$ лето'!am1430-'[2]$ лето'!al1430-'[2]$ лето'!ak1430-'[2]$ лето'!aj1430-'[2]$ лето'!ah1430-'[2]$ лето'!ag1430-'[2]$ лето'!af1430-'[2]$ лето'!ae1430-'[2]$ лето'!ad1430-'[2]$ лето'!ab1430-'[2]$ лето'!aa1430-'[2]$ лето'!z1430-'[2]$ лето'!y1430-'[2]$ лето'!x1430-'[2]$ лето'!v1430-'[2]$ лето'!u1430-'[2]$ лето'!t1430-'[2]$ лето'!s1430-'[2]$ лето'!r1430-'[2]$ лето'!p1430-'[2]$ лето'!o1430-'[2]$ лето'!n1430-'[2]$ лето'!m1430-'[2]$ лето'!l1430+'[2]$ лето'!k1430+'[2]$ лето'!q1430+'[2]$ лето'!w1430+'[2]$ лето'!ac1430+'[2]$ лето'!ai1430+'[2]$ лето'!ao1430</f>
        <v>8</v>
      </c>
      <c r="I1430" s="109" t="n">
        <f aca="false">'[2]$ лето'!ay1430*1.1</f>
        <v>2002</v>
      </c>
      <c r="J1430" s="85" t="n">
        <v>2017</v>
      </c>
    </row>
    <row r="1431" customFormat="false" ht="15" hidden="true" customHeight="false" outlineLevel="0" collapsed="false">
      <c r="A1431" s="115" t="s">
        <v>1988</v>
      </c>
      <c r="B1431" s="115" t="s">
        <v>589</v>
      </c>
      <c r="C1431" s="116" t="s">
        <v>2015</v>
      </c>
      <c r="D1431" s="116"/>
      <c r="E1431" s="116"/>
      <c r="F1431" s="116"/>
      <c r="G1431" s="108"/>
      <c r="H1431" s="105" t="n">
        <f aca="false">'[2]$ лето'!j1431-'[2]$ лето'!au1431-'[2]$ лето'!at1431-'[2]$ лето'!as1431-'[2]$ лето'!ar1431-'[2]$ лето'!aq1431-'[2]$ лето'!ap1431-'[2]$ лето'!an1431-'[2]$ лето'!am1431-'[2]$ лето'!al1431-'[2]$ лето'!ak1431-'[2]$ лето'!aj1431-'[2]$ лето'!ah1431-'[2]$ лето'!ag1431-'[2]$ лето'!af1431-'[2]$ лето'!ae1431-'[2]$ лето'!ad1431-'[2]$ лето'!ab1431-'[2]$ лето'!aa1431-'[2]$ лето'!z1431-'[2]$ лето'!y1431-'[2]$ лето'!x1431-'[2]$ лето'!v1431-'[2]$ лето'!u1431-'[2]$ лето'!t1431-'[2]$ лето'!s1431-'[2]$ лето'!r1431-'[2]$ лето'!p1431-'[2]$ лето'!o1431-'[2]$ лето'!n1431-'[2]$ лето'!m1431-'[2]$ лето'!l1431+'[2]$ лето'!k1431+'[2]$ лето'!q1431+'[2]$ лето'!w1431+'[2]$ лето'!ac1431+'[2]$ лето'!ai1431+'[2]$ лето'!ao1431</f>
        <v>0</v>
      </c>
      <c r="I1431" s="109" t="n">
        <f aca="false">'[2]$ лето'!ay1431*1.1</f>
        <v>3542</v>
      </c>
      <c r="J1431" s="85" t="n">
        <v>2015</v>
      </c>
    </row>
    <row r="1432" customFormat="false" ht="15" hidden="true" customHeight="false" outlineLevel="0" collapsed="false">
      <c r="A1432" s="115" t="s">
        <v>1988</v>
      </c>
      <c r="B1432" s="115" t="s">
        <v>589</v>
      </c>
      <c r="C1432" s="116" t="s">
        <v>2016</v>
      </c>
      <c r="D1432" s="116"/>
      <c r="E1432" s="116"/>
      <c r="F1432" s="116"/>
      <c r="G1432" s="108" t="s">
        <v>876</v>
      </c>
      <c r="H1432" s="105" t="n">
        <f aca="false">'[2]$ лето'!j1432-'[2]$ лето'!au1432-'[2]$ лето'!at1432-'[2]$ лето'!as1432-'[2]$ лето'!ar1432-'[2]$ лето'!aq1432-'[2]$ лето'!ap1432-'[2]$ лето'!an1432-'[2]$ лето'!am1432-'[2]$ лето'!al1432-'[2]$ лето'!ak1432-'[2]$ лето'!aj1432-'[2]$ лето'!ah1432-'[2]$ лето'!ag1432-'[2]$ лето'!af1432-'[2]$ лето'!ae1432-'[2]$ лето'!ad1432-'[2]$ лето'!ab1432-'[2]$ лето'!aa1432-'[2]$ лето'!z1432-'[2]$ лето'!y1432-'[2]$ лето'!x1432-'[2]$ лето'!v1432-'[2]$ лето'!u1432-'[2]$ лето'!t1432-'[2]$ лето'!s1432-'[2]$ лето'!r1432-'[2]$ лето'!p1432-'[2]$ лето'!o1432-'[2]$ лето'!n1432-'[2]$ лето'!m1432-'[2]$ лето'!l1432+'[2]$ лето'!k1432+'[2]$ лето'!q1432+'[2]$ лето'!w1432+'[2]$ лето'!ac1432+'[2]$ лето'!ai1432+'[2]$ лето'!ao1432</f>
        <v>0</v>
      </c>
      <c r="I1432" s="109" t="n">
        <f aca="false">'[2]$ лето'!ay1432*1.1</f>
        <v>4004</v>
      </c>
      <c r="J1432" s="85" t="n">
        <v>2017</v>
      </c>
    </row>
    <row r="1433" customFormat="false" ht="15" hidden="true" customHeight="false" outlineLevel="0" collapsed="false">
      <c r="A1433" s="115" t="s">
        <v>1988</v>
      </c>
      <c r="B1433" s="115" t="s">
        <v>589</v>
      </c>
      <c r="C1433" s="116" t="s">
        <v>1970</v>
      </c>
      <c r="D1433" s="116"/>
      <c r="E1433" s="116"/>
      <c r="F1433" s="116"/>
      <c r="G1433" s="108" t="s">
        <v>876</v>
      </c>
      <c r="H1433" s="105" t="n">
        <f aca="false">'[2]$ лето'!j1433-'[2]$ лето'!au1433-'[2]$ лето'!at1433-'[2]$ лето'!as1433-'[2]$ лето'!ar1433-'[2]$ лето'!aq1433-'[2]$ лето'!ap1433-'[2]$ лето'!an1433-'[2]$ лето'!am1433-'[2]$ лето'!al1433-'[2]$ лето'!ak1433-'[2]$ лето'!aj1433-'[2]$ лето'!ah1433-'[2]$ лето'!ag1433-'[2]$ лето'!af1433-'[2]$ лето'!ae1433-'[2]$ лето'!ad1433-'[2]$ лето'!ab1433-'[2]$ лето'!aa1433-'[2]$ лето'!z1433-'[2]$ лето'!y1433-'[2]$ лето'!x1433-'[2]$ лето'!v1433-'[2]$ лето'!u1433-'[2]$ лето'!t1433-'[2]$ лето'!s1433-'[2]$ лето'!r1433-'[2]$ лето'!p1433-'[2]$ лето'!o1433-'[2]$ лето'!n1433-'[2]$ лето'!m1433-'[2]$ лето'!l1433+'[2]$ лето'!k1433+'[2]$ лето'!q1433+'[2]$ лето'!w1433+'[2]$ лето'!ac1433+'[2]$ лето'!ai1433+'[2]$ лето'!ao1433</f>
        <v>0</v>
      </c>
      <c r="I1433" s="109" t="n">
        <f aca="false">'[2]$ лето'!ay1433*1.1</f>
        <v>3696</v>
      </c>
      <c r="J1433" s="85" t="n">
        <v>2017</v>
      </c>
    </row>
    <row r="1434" customFormat="false" ht="15" hidden="true" customHeight="false" outlineLevel="0" collapsed="false">
      <c r="A1434" s="115" t="s">
        <v>1988</v>
      </c>
      <c r="B1434" s="115" t="s">
        <v>1028</v>
      </c>
      <c r="C1434" s="116" t="s">
        <v>2017</v>
      </c>
      <c r="D1434" s="116"/>
      <c r="E1434" s="116"/>
      <c r="F1434" s="116"/>
      <c r="G1434" s="108" t="s">
        <v>876</v>
      </c>
      <c r="H1434" s="105" t="n">
        <f aca="false">'[2]$ лето'!j1434-'[2]$ лето'!au1434-'[2]$ лето'!at1434-'[2]$ лето'!as1434-'[2]$ лето'!ar1434-'[2]$ лето'!aq1434-'[2]$ лето'!ap1434-'[2]$ лето'!an1434-'[2]$ лето'!am1434-'[2]$ лето'!al1434-'[2]$ лето'!ak1434-'[2]$ лето'!aj1434-'[2]$ лето'!ah1434-'[2]$ лето'!ag1434-'[2]$ лето'!af1434-'[2]$ лето'!ae1434-'[2]$ лето'!ad1434-'[2]$ лето'!ab1434-'[2]$ лето'!aa1434-'[2]$ лето'!z1434-'[2]$ лето'!y1434-'[2]$ лето'!x1434-'[2]$ лето'!v1434-'[2]$ лето'!u1434-'[2]$ лето'!t1434-'[2]$ лето'!s1434-'[2]$ лето'!r1434-'[2]$ лето'!p1434-'[2]$ лето'!o1434-'[2]$ лето'!n1434-'[2]$ лето'!m1434-'[2]$ лето'!l1434+'[2]$ лето'!k1434+'[2]$ лето'!q1434+'[2]$ лето'!w1434+'[2]$ лето'!ac1434+'[2]$ лето'!ai1434+'[2]$ лето'!ao1434</f>
        <v>0</v>
      </c>
      <c r="I1434" s="109" t="n">
        <f aca="false">'[2]$ лето'!ay1434*1.1</f>
        <v>3141.6</v>
      </c>
      <c r="J1434" s="85" t="n">
        <v>2016</v>
      </c>
    </row>
    <row r="1435" customFormat="false" ht="15" hidden="true" customHeight="false" outlineLevel="0" collapsed="false">
      <c r="A1435" s="115" t="s">
        <v>1988</v>
      </c>
      <c r="B1435" s="115" t="s">
        <v>2018</v>
      </c>
      <c r="C1435" s="116" t="s">
        <v>2019</v>
      </c>
      <c r="D1435" s="116"/>
      <c r="E1435" s="116"/>
      <c r="F1435" s="116"/>
      <c r="G1435" s="108"/>
      <c r="H1435" s="105" t="n">
        <f aca="false">'[2]$ лето'!j1435-'[2]$ лето'!au1435-'[2]$ лето'!at1435-'[2]$ лето'!as1435-'[2]$ лето'!ar1435-'[2]$ лето'!aq1435-'[2]$ лето'!ap1435-'[2]$ лето'!an1435-'[2]$ лето'!am1435-'[2]$ лето'!al1435-'[2]$ лето'!ak1435-'[2]$ лето'!aj1435-'[2]$ лето'!ah1435-'[2]$ лето'!ag1435-'[2]$ лето'!af1435-'[2]$ лето'!ae1435-'[2]$ лето'!ad1435-'[2]$ лето'!ab1435-'[2]$ лето'!aa1435-'[2]$ лето'!z1435-'[2]$ лето'!y1435-'[2]$ лето'!x1435-'[2]$ лето'!v1435-'[2]$ лето'!u1435-'[2]$ лето'!t1435-'[2]$ лето'!s1435-'[2]$ лето'!r1435-'[2]$ лето'!p1435-'[2]$ лето'!o1435-'[2]$ лето'!n1435-'[2]$ лето'!m1435-'[2]$ лето'!l1435+'[2]$ лето'!k1435+'[2]$ лето'!q1435+'[2]$ лето'!w1435+'[2]$ лето'!ac1435+'[2]$ лето'!ai1435+'[2]$ лето'!ao1435</f>
        <v>0</v>
      </c>
      <c r="I1435" s="109" t="n">
        <f aca="false">'[2]$ лето'!ay1435*1.1</f>
        <v>2002</v>
      </c>
    </row>
    <row r="1436" customFormat="false" ht="15" hidden="true" customHeight="false" outlineLevel="0" collapsed="false">
      <c r="A1436" s="115" t="s">
        <v>2020</v>
      </c>
      <c r="B1436" s="115" t="s">
        <v>593</v>
      </c>
      <c r="C1436" s="116" t="s">
        <v>2021</v>
      </c>
      <c r="D1436" s="116"/>
      <c r="E1436" s="116"/>
      <c r="F1436" s="116"/>
      <c r="G1436" s="108"/>
      <c r="H1436" s="105" t="n">
        <f aca="false">'[2]$ лето'!j1436-'[2]$ лето'!au1436-'[2]$ лето'!at1436-'[2]$ лето'!as1436-'[2]$ лето'!ar1436-'[2]$ лето'!aq1436-'[2]$ лето'!ap1436-'[2]$ лето'!an1436-'[2]$ лето'!am1436-'[2]$ лето'!al1436-'[2]$ лето'!ak1436-'[2]$ лето'!aj1436-'[2]$ лето'!ah1436-'[2]$ лето'!ag1436-'[2]$ лето'!af1436-'[2]$ лето'!ae1436-'[2]$ лето'!ad1436-'[2]$ лето'!ab1436-'[2]$ лето'!aa1436-'[2]$ лето'!z1436-'[2]$ лето'!y1436-'[2]$ лето'!x1436-'[2]$ лето'!v1436-'[2]$ лето'!u1436-'[2]$ лето'!t1436-'[2]$ лето'!s1436-'[2]$ лето'!r1436-'[2]$ лето'!p1436-'[2]$ лето'!o1436-'[2]$ лето'!n1436-'[2]$ лето'!m1436-'[2]$ лето'!l1436+'[2]$ лето'!k1436+'[2]$ лето'!q1436+'[2]$ лето'!w1436+'[2]$ лето'!ac1436+'[2]$ лето'!ai1436+'[2]$ лето'!ao1436</f>
        <v>0</v>
      </c>
      <c r="I1436" s="109" t="n">
        <f aca="false">'[2]$ лето'!ay1436*1.1</f>
        <v>0</v>
      </c>
    </row>
    <row r="1437" customFormat="false" ht="15" hidden="true" customHeight="false" outlineLevel="0" collapsed="false">
      <c r="A1437" s="115" t="s">
        <v>2020</v>
      </c>
      <c r="B1437" s="115" t="s">
        <v>1028</v>
      </c>
      <c r="C1437" s="116" t="s">
        <v>2022</v>
      </c>
      <c r="D1437" s="116"/>
      <c r="E1437" s="116"/>
      <c r="F1437" s="116"/>
      <c r="G1437" s="108"/>
      <c r="H1437" s="105" t="n">
        <f aca="false">'[2]$ лето'!j1437-'[2]$ лето'!au1437-'[2]$ лето'!at1437-'[2]$ лето'!as1437-'[2]$ лето'!ar1437-'[2]$ лето'!aq1437-'[2]$ лето'!ap1437-'[2]$ лето'!an1437-'[2]$ лето'!am1437-'[2]$ лето'!al1437-'[2]$ лето'!ak1437-'[2]$ лето'!aj1437-'[2]$ лето'!ah1437-'[2]$ лето'!ag1437-'[2]$ лето'!af1437-'[2]$ лето'!ae1437-'[2]$ лето'!ad1437-'[2]$ лето'!ab1437-'[2]$ лето'!aa1437-'[2]$ лето'!z1437-'[2]$ лето'!y1437-'[2]$ лето'!x1437-'[2]$ лето'!v1437-'[2]$ лето'!u1437-'[2]$ лето'!t1437-'[2]$ лето'!s1437-'[2]$ лето'!r1437-'[2]$ лето'!p1437-'[2]$ лето'!o1437-'[2]$ лето'!n1437-'[2]$ лето'!m1437-'[2]$ лето'!l1437+'[2]$ лето'!k1437+'[2]$ лето'!q1437+'[2]$ лето'!w1437+'[2]$ лето'!ac1437+'[2]$ лето'!ai1437+'[2]$ лето'!ao1437</f>
        <v>0</v>
      </c>
      <c r="I1437" s="109" t="n">
        <f aca="false">'[2]$ лето'!ay1437*1.1</f>
        <v>3696</v>
      </c>
    </row>
    <row r="1438" customFormat="false" ht="15" hidden="true" customHeight="false" outlineLevel="0" collapsed="false">
      <c r="A1438" s="115" t="s">
        <v>2023</v>
      </c>
      <c r="B1438" s="115" t="s">
        <v>991</v>
      </c>
      <c r="C1438" s="116" t="s">
        <v>1266</v>
      </c>
      <c r="D1438" s="116"/>
      <c r="E1438" s="116"/>
      <c r="F1438" s="116"/>
      <c r="G1438" s="108" t="s">
        <v>520</v>
      </c>
      <c r="H1438" s="105" t="n">
        <f aca="false">'[2]$ лето'!j1438-'[2]$ лето'!au1438-'[2]$ лето'!at1438-'[2]$ лето'!as1438-'[2]$ лето'!ar1438-'[2]$ лето'!aq1438-'[2]$ лето'!ap1438-'[2]$ лето'!an1438-'[2]$ лето'!am1438-'[2]$ лето'!al1438-'[2]$ лето'!ak1438-'[2]$ лето'!aj1438-'[2]$ лето'!ah1438-'[2]$ лето'!ag1438-'[2]$ лето'!af1438-'[2]$ лето'!ae1438-'[2]$ лето'!ad1438-'[2]$ лето'!ab1438-'[2]$ лето'!aa1438-'[2]$ лето'!z1438-'[2]$ лето'!y1438-'[2]$ лето'!x1438-'[2]$ лето'!v1438-'[2]$ лето'!u1438-'[2]$ лето'!t1438-'[2]$ лето'!s1438-'[2]$ лето'!r1438-'[2]$ лето'!p1438-'[2]$ лето'!o1438-'[2]$ лето'!n1438-'[2]$ лето'!m1438-'[2]$ лето'!l1438+'[2]$ лето'!k1438+'[2]$ лето'!q1438+'[2]$ лето'!w1438+'[2]$ лето'!ac1438+'[2]$ лето'!ai1438+'[2]$ лето'!ao1438</f>
        <v>0</v>
      </c>
      <c r="I1438" s="109" t="n">
        <f aca="false">'[2]$ лето'!ay1438*1.1</f>
        <v>1540</v>
      </c>
    </row>
    <row r="1439" customFormat="false" ht="15" hidden="true" customHeight="false" outlineLevel="0" collapsed="false">
      <c r="A1439" s="115" t="s">
        <v>2023</v>
      </c>
      <c r="B1439" s="115" t="s">
        <v>601</v>
      </c>
      <c r="C1439" s="116" t="s">
        <v>2024</v>
      </c>
      <c r="D1439" s="116"/>
      <c r="E1439" s="116"/>
      <c r="F1439" s="116"/>
      <c r="G1439" s="108"/>
      <c r="H1439" s="105" t="n">
        <f aca="false">'[2]$ лето'!j1439-'[2]$ лето'!au1439-'[2]$ лето'!at1439-'[2]$ лето'!as1439-'[2]$ лето'!ar1439-'[2]$ лето'!aq1439-'[2]$ лето'!ap1439-'[2]$ лето'!an1439-'[2]$ лето'!am1439-'[2]$ лето'!al1439-'[2]$ лето'!ak1439-'[2]$ лето'!aj1439-'[2]$ лето'!ah1439-'[2]$ лето'!ag1439-'[2]$ лето'!af1439-'[2]$ лето'!ae1439-'[2]$ лето'!ad1439-'[2]$ лето'!ab1439-'[2]$ лето'!aa1439-'[2]$ лето'!z1439-'[2]$ лето'!y1439-'[2]$ лето'!x1439-'[2]$ лето'!v1439-'[2]$ лето'!u1439-'[2]$ лето'!t1439-'[2]$ лето'!s1439-'[2]$ лето'!r1439-'[2]$ лето'!p1439-'[2]$ лето'!o1439-'[2]$ лето'!n1439-'[2]$ лето'!m1439-'[2]$ лето'!l1439+'[2]$ лето'!k1439+'[2]$ лето'!q1439+'[2]$ лето'!w1439+'[2]$ лето'!ac1439+'[2]$ лето'!ai1439+'[2]$ лето'!ao1439</f>
        <v>0</v>
      </c>
      <c r="I1439" s="109" t="n">
        <f aca="false">'[2]$ лето'!ay1439*1.1</f>
        <v>3542</v>
      </c>
      <c r="J1439" s="85" t="n">
        <v>2015</v>
      </c>
    </row>
    <row r="1440" customFormat="false" ht="15" hidden="false" customHeight="false" outlineLevel="0" collapsed="false">
      <c r="A1440" s="115" t="s">
        <v>2023</v>
      </c>
      <c r="B1440" s="115" t="s">
        <v>658</v>
      </c>
      <c r="C1440" s="116" t="s">
        <v>2025</v>
      </c>
      <c r="D1440" s="116"/>
      <c r="E1440" s="116"/>
      <c r="F1440" s="116"/>
      <c r="G1440" s="108" t="s">
        <v>631</v>
      </c>
      <c r="H1440" s="105" t="n">
        <f aca="false">'[2]$ лето'!j1440-'[2]$ лето'!au1440-'[2]$ лето'!at1440-'[2]$ лето'!as1440-'[2]$ лето'!ar1440-'[2]$ лето'!aq1440-'[2]$ лето'!ap1440-'[2]$ лето'!an1440-'[2]$ лето'!am1440-'[2]$ лето'!al1440-'[2]$ лето'!ak1440-'[2]$ лето'!aj1440-'[2]$ лето'!ah1440-'[2]$ лето'!ag1440-'[2]$ лето'!af1440-'[2]$ лето'!ae1440-'[2]$ лето'!ad1440-'[2]$ лето'!ab1440-'[2]$ лето'!aa1440-'[2]$ лето'!z1440-'[2]$ лето'!y1440-'[2]$ лето'!x1440-'[2]$ лето'!v1440-'[2]$ лето'!u1440-'[2]$ лето'!t1440-'[2]$ лето'!s1440-'[2]$ лето'!r1440-'[2]$ лето'!p1440-'[2]$ лето'!o1440-'[2]$ лето'!n1440-'[2]$ лето'!m1440-'[2]$ лето'!l1440+'[2]$ лето'!k1440+'[2]$ лето'!q1440+'[2]$ лето'!w1440+'[2]$ лето'!ac1440+'[2]$ лето'!ai1440+'[2]$ лето'!ao1440</f>
        <v>4</v>
      </c>
      <c r="I1440" s="109" t="n">
        <f aca="false">'[2]$ лето'!ay1440*1.1</f>
        <v>4096.4</v>
      </c>
      <c r="J1440" s="85" t="n">
        <v>2018</v>
      </c>
    </row>
    <row r="1441" customFormat="false" ht="15" hidden="false" customHeight="false" outlineLevel="0" collapsed="false">
      <c r="A1441" s="129" t="s">
        <v>2023</v>
      </c>
      <c r="B1441" s="129" t="s">
        <v>658</v>
      </c>
      <c r="C1441" s="131" t="s">
        <v>2026</v>
      </c>
      <c r="D1441" s="131"/>
      <c r="E1441" s="131"/>
      <c r="F1441" s="131"/>
      <c r="G1441" s="132"/>
      <c r="H1441" s="105" t="n">
        <f aca="false">'[2]$ лето'!j1441-'[2]$ лето'!au1441-'[2]$ лето'!at1441-'[2]$ лето'!as1441-'[2]$ лето'!ar1441-'[2]$ лето'!aq1441-'[2]$ лето'!ap1441-'[2]$ лето'!an1441-'[2]$ лето'!am1441-'[2]$ лето'!al1441-'[2]$ лето'!ak1441-'[2]$ лето'!aj1441-'[2]$ лето'!ah1441-'[2]$ лето'!ag1441-'[2]$ лето'!af1441-'[2]$ лето'!ae1441-'[2]$ лето'!ad1441-'[2]$ лето'!ab1441-'[2]$ лето'!aa1441-'[2]$ лето'!z1441-'[2]$ лето'!y1441-'[2]$ лето'!x1441-'[2]$ лето'!v1441-'[2]$ лето'!u1441-'[2]$ лето'!t1441-'[2]$ лето'!s1441-'[2]$ лето'!r1441-'[2]$ лето'!p1441-'[2]$ лето'!o1441-'[2]$ лето'!n1441-'[2]$ лето'!m1441-'[2]$ лето'!l1441+'[2]$ лето'!k1441+'[2]$ лето'!q1441+'[2]$ лето'!w1441+'[2]$ лето'!ac1441+'[2]$ лето'!ai1441+'[2]$ лето'!ao1441</f>
        <v>3</v>
      </c>
      <c r="I1441" s="133" t="n">
        <f aca="false">'[2]$ лето'!ay1441*1.1</f>
        <v>0</v>
      </c>
      <c r="J1441" s="85" t="s">
        <v>2027</v>
      </c>
    </row>
    <row r="1442" customFormat="false" ht="15" hidden="false" customHeight="false" outlineLevel="0" collapsed="false">
      <c r="A1442" s="129" t="s">
        <v>2023</v>
      </c>
      <c r="B1442" s="129" t="s">
        <v>1149</v>
      </c>
      <c r="C1442" s="131" t="s">
        <v>2028</v>
      </c>
      <c r="D1442" s="131"/>
      <c r="E1442" s="131"/>
      <c r="F1442" s="131"/>
      <c r="G1442" s="132"/>
      <c r="H1442" s="105" t="n">
        <f aca="false">'[2]$ лето'!j1442-'[2]$ лето'!au1442-'[2]$ лето'!at1442-'[2]$ лето'!as1442-'[2]$ лето'!ar1442-'[2]$ лето'!aq1442-'[2]$ лето'!ap1442-'[2]$ лето'!an1442-'[2]$ лето'!am1442-'[2]$ лето'!al1442-'[2]$ лето'!ak1442-'[2]$ лето'!aj1442-'[2]$ лето'!ah1442-'[2]$ лето'!ag1442-'[2]$ лето'!af1442-'[2]$ лето'!ae1442-'[2]$ лето'!ad1442-'[2]$ лето'!ab1442-'[2]$ лето'!aa1442-'[2]$ лето'!z1442-'[2]$ лето'!y1442-'[2]$ лето'!x1442-'[2]$ лето'!v1442-'[2]$ лето'!u1442-'[2]$ лето'!t1442-'[2]$ лето'!s1442-'[2]$ лето'!r1442-'[2]$ лето'!p1442-'[2]$ лето'!o1442-'[2]$ лето'!n1442-'[2]$ лето'!m1442-'[2]$ лето'!l1442+'[2]$ лето'!k1442+'[2]$ лето'!q1442+'[2]$ лето'!w1442+'[2]$ лето'!ac1442+'[2]$ лето'!ai1442+'[2]$ лето'!ao1442</f>
        <v>1</v>
      </c>
      <c r="I1442" s="133" t="n">
        <f aca="false">'[2]$ лето'!ay1442*1.1</f>
        <v>0</v>
      </c>
      <c r="J1442" s="85" t="s">
        <v>2027</v>
      </c>
    </row>
    <row r="1443" customFormat="false" ht="15" hidden="true" customHeight="false" outlineLevel="0" collapsed="false">
      <c r="A1443" s="115" t="s">
        <v>2023</v>
      </c>
      <c r="B1443" s="115" t="s">
        <v>604</v>
      </c>
      <c r="C1443" s="107" t="s">
        <v>2029</v>
      </c>
      <c r="D1443" s="107"/>
      <c r="E1443" s="107"/>
      <c r="F1443" s="107"/>
      <c r="G1443" s="108" t="s">
        <v>868</v>
      </c>
      <c r="H1443" s="105" t="n">
        <f aca="false">'[2]$ лето'!j1443-'[2]$ лето'!au1443-'[2]$ лето'!at1443-'[2]$ лето'!as1443-'[2]$ лето'!ar1443-'[2]$ лето'!aq1443-'[2]$ лето'!ap1443-'[2]$ лето'!an1443-'[2]$ лето'!am1443-'[2]$ лето'!al1443-'[2]$ лето'!ak1443-'[2]$ лето'!aj1443-'[2]$ лето'!ah1443-'[2]$ лето'!ag1443-'[2]$ лето'!af1443-'[2]$ лето'!ae1443-'[2]$ лето'!ad1443-'[2]$ лето'!ab1443-'[2]$ лето'!aa1443-'[2]$ лето'!z1443-'[2]$ лето'!y1443-'[2]$ лето'!x1443-'[2]$ лето'!v1443-'[2]$ лето'!u1443-'[2]$ лето'!t1443-'[2]$ лето'!s1443-'[2]$ лето'!r1443-'[2]$ лето'!p1443-'[2]$ лето'!o1443-'[2]$ лето'!n1443-'[2]$ лето'!m1443-'[2]$ лето'!l1443+'[2]$ лето'!k1443+'[2]$ лето'!q1443+'[2]$ лето'!w1443+'[2]$ лето'!ac1443+'[2]$ лето'!ai1443+'[2]$ лето'!ao1443</f>
        <v>0</v>
      </c>
      <c r="I1443" s="109" t="n">
        <f aca="false">'[2]$ лето'!ay1443*1.1</f>
        <v>3080</v>
      </c>
      <c r="J1443" s="85" t="n">
        <v>2016</v>
      </c>
    </row>
    <row r="1444" customFormat="false" ht="15" hidden="false" customHeight="false" outlineLevel="0" collapsed="false">
      <c r="A1444" s="115" t="s">
        <v>2023</v>
      </c>
      <c r="B1444" s="115" t="s">
        <v>668</v>
      </c>
      <c r="C1444" s="107" t="s">
        <v>2030</v>
      </c>
      <c r="D1444" s="107"/>
      <c r="E1444" s="116"/>
      <c r="F1444" s="116"/>
      <c r="G1444" s="108" t="s">
        <v>609</v>
      </c>
      <c r="H1444" s="105" t="n">
        <f aca="false">'[2]$ лето'!j1444-'[2]$ лето'!au1444-'[2]$ лето'!at1444-'[2]$ лето'!as1444-'[2]$ лето'!ar1444-'[2]$ лето'!aq1444-'[2]$ лето'!ap1444-'[2]$ лето'!an1444-'[2]$ лето'!am1444-'[2]$ лето'!al1444-'[2]$ лето'!ak1444-'[2]$ лето'!aj1444-'[2]$ лето'!ah1444-'[2]$ лето'!ag1444-'[2]$ лето'!af1444-'[2]$ лето'!ae1444-'[2]$ лето'!ad1444-'[2]$ лето'!ab1444-'[2]$ лето'!aa1444-'[2]$ лето'!z1444-'[2]$ лето'!y1444-'[2]$ лето'!x1444-'[2]$ лето'!v1444-'[2]$ лето'!u1444-'[2]$ лето'!t1444-'[2]$ лето'!s1444-'[2]$ лето'!r1444-'[2]$ лето'!p1444-'[2]$ лето'!o1444-'[2]$ лето'!n1444-'[2]$ лето'!m1444-'[2]$ лето'!l1444+'[2]$ лето'!k1444+'[2]$ лето'!q1444+'[2]$ лето'!w1444+'[2]$ лето'!ac1444+'[2]$ лето'!ai1444+'[2]$ лето'!ao1444</f>
        <v>2</v>
      </c>
      <c r="I1444" s="109" t="n">
        <f aca="false">'[2]$ лето'!ay1444*1.1</f>
        <v>2310</v>
      </c>
    </row>
    <row r="1445" customFormat="false" ht="15" hidden="false" customHeight="false" outlineLevel="0" collapsed="false">
      <c r="A1445" s="115" t="s">
        <v>2023</v>
      </c>
      <c r="B1445" s="115" t="s">
        <v>583</v>
      </c>
      <c r="C1445" s="107" t="s">
        <v>2031</v>
      </c>
      <c r="D1445" s="107"/>
      <c r="E1445" s="116"/>
      <c r="F1445" s="116"/>
      <c r="G1445" s="108" t="s">
        <v>585</v>
      </c>
      <c r="H1445" s="105" t="n">
        <f aca="false">'[2]$ лето'!j1445-'[2]$ лето'!au1445-'[2]$ лето'!at1445-'[2]$ лето'!as1445-'[2]$ лето'!ar1445-'[2]$ лето'!aq1445-'[2]$ лето'!ap1445-'[2]$ лето'!an1445-'[2]$ лето'!am1445-'[2]$ лето'!al1445-'[2]$ лето'!ak1445-'[2]$ лето'!aj1445-'[2]$ лето'!ah1445-'[2]$ лето'!ag1445-'[2]$ лето'!af1445-'[2]$ лето'!ae1445-'[2]$ лето'!ad1445-'[2]$ лето'!ab1445-'[2]$ лето'!aa1445-'[2]$ лето'!z1445-'[2]$ лето'!y1445-'[2]$ лето'!x1445-'[2]$ лето'!v1445-'[2]$ лето'!u1445-'[2]$ лето'!t1445-'[2]$ лето'!s1445-'[2]$ лето'!r1445-'[2]$ лето'!p1445-'[2]$ лето'!o1445-'[2]$ лето'!n1445-'[2]$ лето'!m1445-'[2]$ лето'!l1445+'[2]$ лето'!k1445+'[2]$ лето'!q1445+'[2]$ лето'!w1445+'[2]$ лето'!ac1445+'[2]$ лето'!ai1445+'[2]$ лето'!ao1445</f>
        <v>4</v>
      </c>
      <c r="I1445" s="109" t="n">
        <f aca="false">'[2]$ лето'!ay1445*1.1</f>
        <v>2310</v>
      </c>
      <c r="J1445" s="85" t="n">
        <v>2017</v>
      </c>
    </row>
    <row r="1446" customFormat="false" ht="15" hidden="true" customHeight="false" outlineLevel="0" collapsed="false">
      <c r="A1446" s="115" t="s">
        <v>2023</v>
      </c>
      <c r="B1446" s="115" t="s">
        <v>593</v>
      </c>
      <c r="C1446" s="107" t="s">
        <v>2032</v>
      </c>
      <c r="D1446" s="107"/>
      <c r="E1446" s="107"/>
      <c r="F1446" s="107"/>
      <c r="G1446" s="108" t="s">
        <v>1954</v>
      </c>
      <c r="H1446" s="105" t="n">
        <f aca="false">'[2]$ лето'!j1446-'[2]$ лето'!au1446-'[2]$ лето'!at1446-'[2]$ лето'!as1446-'[2]$ лето'!ar1446-'[2]$ лето'!aq1446-'[2]$ лето'!ap1446-'[2]$ лето'!an1446-'[2]$ лето'!am1446-'[2]$ лето'!al1446-'[2]$ лето'!ak1446-'[2]$ лето'!aj1446-'[2]$ лето'!ah1446-'[2]$ лето'!ag1446-'[2]$ лето'!af1446-'[2]$ лето'!ae1446-'[2]$ лето'!ad1446-'[2]$ лето'!ab1446-'[2]$ лето'!aa1446-'[2]$ лето'!z1446-'[2]$ лето'!y1446-'[2]$ лето'!x1446-'[2]$ лето'!v1446-'[2]$ лето'!u1446-'[2]$ лето'!t1446-'[2]$ лето'!s1446-'[2]$ лето'!r1446-'[2]$ лето'!p1446-'[2]$ лето'!o1446-'[2]$ лето'!n1446-'[2]$ лето'!m1446-'[2]$ лето'!l1446+'[2]$ лето'!k1446+'[2]$ лето'!q1446+'[2]$ лето'!w1446+'[2]$ лето'!ac1446+'[2]$ лето'!ai1446+'[2]$ лето'!ao1446</f>
        <v>0</v>
      </c>
      <c r="I1446" s="109" t="n">
        <f aca="false">'[2]$ лето'!ay1446*1.1</f>
        <v>4250.4</v>
      </c>
      <c r="J1446" s="85" t="n">
        <v>2016</v>
      </c>
    </row>
    <row r="1447" customFormat="false" ht="15" hidden="false" customHeight="false" outlineLevel="0" collapsed="false">
      <c r="A1447" s="115" t="s">
        <v>2023</v>
      </c>
      <c r="B1447" s="115" t="s">
        <v>725</v>
      </c>
      <c r="C1447" s="107"/>
      <c r="D1447" s="107"/>
      <c r="E1447" s="116"/>
      <c r="F1447" s="116"/>
      <c r="G1447" s="108"/>
      <c r="H1447" s="105" t="n">
        <f aca="false">'[2]$ лето'!j1447-'[2]$ лето'!au1447-'[2]$ лето'!at1447-'[2]$ лето'!as1447-'[2]$ лето'!ar1447-'[2]$ лето'!aq1447-'[2]$ лето'!ap1447-'[2]$ лето'!an1447-'[2]$ лето'!am1447-'[2]$ лето'!al1447-'[2]$ лето'!ak1447-'[2]$ лето'!aj1447-'[2]$ лето'!ah1447-'[2]$ лето'!ag1447-'[2]$ лето'!af1447-'[2]$ лето'!ae1447-'[2]$ лето'!ad1447-'[2]$ лето'!ab1447-'[2]$ лето'!aa1447-'[2]$ лето'!z1447-'[2]$ лето'!y1447-'[2]$ лето'!x1447-'[2]$ лето'!v1447-'[2]$ лето'!u1447-'[2]$ лето'!t1447-'[2]$ лето'!s1447-'[2]$ лето'!r1447-'[2]$ лето'!p1447-'[2]$ лето'!o1447-'[2]$ лето'!n1447-'[2]$ лето'!m1447-'[2]$ лето'!l1447+'[2]$ лето'!k1447+'[2]$ лето'!q1447+'[2]$ лето'!w1447+'[2]$ лето'!ac1447+'[2]$ лето'!ai1447+'[2]$ лето'!ao1447</f>
        <v>2</v>
      </c>
      <c r="I1447" s="109" t="n">
        <f aca="false">'[2]$ лето'!ay1447*1.1</f>
        <v>2156</v>
      </c>
    </row>
    <row r="1448" customFormat="false" ht="15" hidden="true" customHeight="false" outlineLevel="0" collapsed="false">
      <c r="A1448" s="115" t="s">
        <v>2023</v>
      </c>
      <c r="B1448" s="115" t="s">
        <v>615</v>
      </c>
      <c r="C1448" s="116" t="s">
        <v>1899</v>
      </c>
      <c r="D1448" s="116"/>
      <c r="E1448" s="116"/>
      <c r="F1448" s="116"/>
      <c r="G1448" s="108"/>
      <c r="H1448" s="105" t="n">
        <f aca="false">'[2]$ лето'!j1448-'[2]$ лето'!au1448-'[2]$ лето'!at1448-'[2]$ лето'!as1448-'[2]$ лето'!ar1448-'[2]$ лето'!aq1448-'[2]$ лето'!ap1448-'[2]$ лето'!an1448-'[2]$ лето'!am1448-'[2]$ лето'!al1448-'[2]$ лето'!ak1448-'[2]$ лето'!aj1448-'[2]$ лето'!ah1448-'[2]$ лето'!ag1448-'[2]$ лето'!af1448-'[2]$ лето'!ae1448-'[2]$ лето'!ad1448-'[2]$ лето'!ab1448-'[2]$ лето'!aa1448-'[2]$ лето'!z1448-'[2]$ лето'!y1448-'[2]$ лето'!x1448-'[2]$ лето'!v1448-'[2]$ лето'!u1448-'[2]$ лето'!t1448-'[2]$ лето'!s1448-'[2]$ лето'!r1448-'[2]$ лето'!p1448-'[2]$ лето'!o1448-'[2]$ лето'!n1448-'[2]$ лето'!m1448-'[2]$ лето'!l1448+'[2]$ лето'!k1448+'[2]$ лето'!q1448+'[2]$ лето'!w1448+'[2]$ лето'!ac1448+'[2]$ лето'!ai1448+'[2]$ лето'!ao1448</f>
        <v>0</v>
      </c>
      <c r="I1448" s="109" t="n">
        <f aca="false">'[2]$ лето'!ay1448*1.1</f>
        <v>3942.4</v>
      </c>
    </row>
    <row r="1449" customFormat="false" ht="15" hidden="true" customHeight="false" outlineLevel="0" collapsed="false">
      <c r="A1449" s="115" t="s">
        <v>2023</v>
      </c>
      <c r="B1449" s="115" t="s">
        <v>801</v>
      </c>
      <c r="C1449" s="116" t="s">
        <v>2033</v>
      </c>
      <c r="D1449" s="116"/>
      <c r="E1449" s="116"/>
      <c r="F1449" s="116"/>
      <c r="G1449" s="108"/>
      <c r="H1449" s="105" t="n">
        <f aca="false">'[2]$ лето'!j1449-'[2]$ лето'!au1449-'[2]$ лето'!at1449-'[2]$ лето'!as1449-'[2]$ лето'!ar1449-'[2]$ лето'!aq1449-'[2]$ лето'!ap1449-'[2]$ лето'!an1449-'[2]$ лето'!am1449-'[2]$ лето'!al1449-'[2]$ лето'!ak1449-'[2]$ лето'!aj1449-'[2]$ лето'!ah1449-'[2]$ лето'!ag1449-'[2]$ лето'!af1449-'[2]$ лето'!ae1449-'[2]$ лето'!ad1449-'[2]$ лето'!ab1449-'[2]$ лето'!aa1449-'[2]$ лето'!z1449-'[2]$ лето'!y1449-'[2]$ лето'!x1449-'[2]$ лето'!v1449-'[2]$ лето'!u1449-'[2]$ лето'!t1449-'[2]$ лето'!s1449-'[2]$ лето'!r1449-'[2]$ лето'!p1449-'[2]$ лето'!o1449-'[2]$ лето'!n1449-'[2]$ лето'!m1449-'[2]$ лето'!l1449+'[2]$ лето'!k1449+'[2]$ лето'!q1449+'[2]$ лето'!w1449+'[2]$ лето'!ac1449+'[2]$ лето'!ai1449+'[2]$ лето'!ao1449</f>
        <v>0</v>
      </c>
      <c r="I1449" s="109" t="n">
        <f aca="false">'[2]$ лето'!ay1449*1.1</f>
        <v>10164</v>
      </c>
    </row>
    <row r="1450" customFormat="false" ht="15" hidden="false" customHeight="false" outlineLevel="0" collapsed="false">
      <c r="A1450" s="115" t="s">
        <v>2023</v>
      </c>
      <c r="B1450" s="115" t="s">
        <v>621</v>
      </c>
      <c r="C1450" s="116" t="s">
        <v>1259</v>
      </c>
      <c r="D1450" s="116"/>
      <c r="E1450" s="116"/>
      <c r="F1450" s="116"/>
      <c r="G1450" s="108" t="s">
        <v>520</v>
      </c>
      <c r="H1450" s="105" t="n">
        <f aca="false">'[2]$ лето'!j1450-'[2]$ лето'!au1450-'[2]$ лето'!at1450-'[2]$ лето'!as1450-'[2]$ лето'!ar1450-'[2]$ лето'!aq1450-'[2]$ лето'!ap1450-'[2]$ лето'!an1450-'[2]$ лето'!am1450-'[2]$ лето'!al1450-'[2]$ лето'!ak1450-'[2]$ лето'!aj1450-'[2]$ лето'!ah1450-'[2]$ лето'!ag1450-'[2]$ лето'!af1450-'[2]$ лето'!ae1450-'[2]$ лето'!ad1450-'[2]$ лето'!ab1450-'[2]$ лето'!aa1450-'[2]$ лето'!z1450-'[2]$ лето'!y1450-'[2]$ лето'!x1450-'[2]$ лето'!v1450-'[2]$ лето'!u1450-'[2]$ лето'!t1450-'[2]$ лето'!s1450-'[2]$ лето'!r1450-'[2]$ лето'!p1450-'[2]$ лето'!o1450-'[2]$ лето'!n1450-'[2]$ лето'!m1450-'[2]$ лето'!l1450+'[2]$ лето'!k1450+'[2]$ лето'!q1450+'[2]$ лето'!w1450+'[2]$ лето'!ac1450+'[2]$ лето'!ai1450+'[2]$ лето'!ao1450</f>
        <v>4</v>
      </c>
      <c r="I1450" s="109" t="n">
        <f aca="false">'[2]$ лето'!ay1450*1.1</f>
        <v>1694</v>
      </c>
    </row>
    <row r="1451" customFormat="false" ht="15" hidden="true" customHeight="false" outlineLevel="0" collapsed="false">
      <c r="A1451" s="115" t="s">
        <v>2023</v>
      </c>
      <c r="B1451" s="115" t="s">
        <v>589</v>
      </c>
      <c r="C1451" s="116" t="s">
        <v>2034</v>
      </c>
      <c r="D1451" s="116"/>
      <c r="E1451" s="116"/>
      <c r="F1451" s="116"/>
      <c r="G1451" s="108"/>
      <c r="H1451" s="105" t="n">
        <f aca="false">'[2]$ лето'!j1451-'[2]$ лето'!au1451-'[2]$ лето'!at1451-'[2]$ лето'!as1451-'[2]$ лето'!ar1451-'[2]$ лето'!aq1451-'[2]$ лето'!ap1451-'[2]$ лето'!an1451-'[2]$ лето'!am1451-'[2]$ лето'!al1451-'[2]$ лето'!ak1451-'[2]$ лето'!aj1451-'[2]$ лето'!ah1451-'[2]$ лето'!ag1451-'[2]$ лето'!af1451-'[2]$ лето'!ae1451-'[2]$ лето'!ad1451-'[2]$ лето'!ab1451-'[2]$ лето'!aa1451-'[2]$ лето'!z1451-'[2]$ лето'!y1451-'[2]$ лето'!x1451-'[2]$ лето'!v1451-'[2]$ лето'!u1451-'[2]$ лето'!t1451-'[2]$ лето'!s1451-'[2]$ лето'!r1451-'[2]$ лето'!p1451-'[2]$ лето'!o1451-'[2]$ лето'!n1451-'[2]$ лето'!m1451-'[2]$ лето'!l1451+'[2]$ лето'!k1451+'[2]$ лето'!q1451+'[2]$ лето'!w1451+'[2]$ лето'!ac1451+'[2]$ лето'!ai1451+'[2]$ лето'!ao1451</f>
        <v>0</v>
      </c>
      <c r="I1451" s="109" t="n">
        <f aca="false">'[2]$ лето'!ay1451*1.1</f>
        <v>4158</v>
      </c>
    </row>
    <row r="1452" customFormat="false" ht="15" hidden="true" customHeight="false" outlineLevel="0" collapsed="false">
      <c r="A1452" s="115" t="s">
        <v>2023</v>
      </c>
      <c r="B1452" s="115" t="s">
        <v>589</v>
      </c>
      <c r="C1452" s="116" t="s">
        <v>2035</v>
      </c>
      <c r="D1452" s="116"/>
      <c r="E1452" s="116"/>
      <c r="F1452" s="116"/>
      <c r="G1452" s="108"/>
      <c r="H1452" s="105" t="n">
        <f aca="false">'[2]$ лето'!j1452-'[2]$ лето'!au1452-'[2]$ лето'!at1452-'[2]$ лето'!as1452-'[2]$ лето'!ar1452-'[2]$ лето'!aq1452-'[2]$ лето'!ap1452-'[2]$ лето'!an1452-'[2]$ лето'!am1452-'[2]$ лето'!al1452-'[2]$ лето'!ak1452-'[2]$ лето'!aj1452-'[2]$ лето'!ah1452-'[2]$ лето'!ag1452-'[2]$ лето'!af1452-'[2]$ лето'!ae1452-'[2]$ лето'!ad1452-'[2]$ лето'!ab1452-'[2]$ лето'!aa1452-'[2]$ лето'!z1452-'[2]$ лето'!y1452-'[2]$ лето'!x1452-'[2]$ лето'!v1452-'[2]$ лето'!u1452-'[2]$ лето'!t1452-'[2]$ лето'!s1452-'[2]$ лето'!r1452-'[2]$ лето'!p1452-'[2]$ лето'!o1452-'[2]$ лето'!n1452-'[2]$ лето'!m1452-'[2]$ лето'!l1452+'[2]$ лето'!k1452+'[2]$ лето'!q1452+'[2]$ лето'!w1452+'[2]$ лето'!ac1452+'[2]$ лето'!ai1452+'[2]$ лето'!ao1452</f>
        <v>0</v>
      </c>
      <c r="I1452" s="109" t="n">
        <f aca="false">'[2]$ лето'!ay1452*1.1</f>
        <v>3388</v>
      </c>
    </row>
    <row r="1453" customFormat="false" ht="15" hidden="false" customHeight="false" outlineLevel="0" collapsed="false">
      <c r="A1453" s="115" t="s">
        <v>2023</v>
      </c>
      <c r="B1453" s="115" t="s">
        <v>564</v>
      </c>
      <c r="C1453" s="116" t="s">
        <v>2036</v>
      </c>
      <c r="D1453" s="116"/>
      <c r="E1453" s="116"/>
      <c r="F1453" s="116"/>
      <c r="G1453" s="108" t="s">
        <v>520</v>
      </c>
      <c r="H1453" s="105" t="n">
        <f aca="false">'[2]$ лето'!j1453-'[2]$ лето'!au1453-'[2]$ лето'!at1453-'[2]$ лето'!as1453-'[2]$ лето'!ar1453-'[2]$ лето'!aq1453-'[2]$ лето'!ap1453-'[2]$ лето'!an1453-'[2]$ лето'!am1453-'[2]$ лето'!al1453-'[2]$ лето'!ak1453-'[2]$ лето'!aj1453-'[2]$ лето'!ah1453-'[2]$ лето'!ag1453-'[2]$ лето'!af1453-'[2]$ лето'!ae1453-'[2]$ лето'!ad1453-'[2]$ лето'!ab1453-'[2]$ лето'!aa1453-'[2]$ лето'!z1453-'[2]$ лето'!y1453-'[2]$ лето'!x1453-'[2]$ лето'!v1453-'[2]$ лето'!u1453-'[2]$ лето'!t1453-'[2]$ лето'!s1453-'[2]$ лето'!r1453-'[2]$ лето'!p1453-'[2]$ лето'!o1453-'[2]$ лето'!n1453-'[2]$ лето'!m1453-'[2]$ лето'!l1453+'[2]$ лето'!k1453+'[2]$ лето'!q1453+'[2]$ лето'!w1453+'[2]$ лето'!ac1453+'[2]$ лето'!ai1453+'[2]$ лето'!ao1453</f>
        <v>4</v>
      </c>
      <c r="I1453" s="109" t="n">
        <f aca="false">'[2]$ лето'!ay1453*1.1</f>
        <v>1724.8</v>
      </c>
    </row>
    <row r="1454" customFormat="false" ht="15" hidden="false" customHeight="false" outlineLevel="0" collapsed="false">
      <c r="A1454" s="115" t="s">
        <v>2037</v>
      </c>
      <c r="B1454" s="115" t="s">
        <v>991</v>
      </c>
      <c r="C1454" s="116" t="s">
        <v>1266</v>
      </c>
      <c r="D1454" s="116"/>
      <c r="E1454" s="116"/>
      <c r="F1454" s="116"/>
      <c r="G1454" s="108" t="s">
        <v>520</v>
      </c>
      <c r="H1454" s="105" t="n">
        <f aca="false">'[2]$ лето'!j1454-'[2]$ лето'!au1454-'[2]$ лето'!at1454-'[2]$ лето'!as1454-'[2]$ лето'!ar1454-'[2]$ лето'!aq1454-'[2]$ лето'!ap1454-'[2]$ лето'!an1454-'[2]$ лето'!am1454-'[2]$ лето'!al1454-'[2]$ лето'!ak1454-'[2]$ лето'!aj1454-'[2]$ лето'!ah1454-'[2]$ лето'!ag1454-'[2]$ лето'!af1454-'[2]$ лето'!ae1454-'[2]$ лето'!ad1454-'[2]$ лето'!ab1454-'[2]$ лето'!aa1454-'[2]$ лето'!z1454-'[2]$ лето'!y1454-'[2]$ лето'!x1454-'[2]$ лето'!v1454-'[2]$ лето'!u1454-'[2]$ лето'!t1454-'[2]$ лето'!s1454-'[2]$ лето'!r1454-'[2]$ лето'!p1454-'[2]$ лето'!o1454-'[2]$ лето'!n1454-'[2]$ лето'!m1454-'[2]$ лето'!l1454+'[2]$ лето'!k1454+'[2]$ лето'!q1454+'[2]$ лето'!w1454+'[2]$ лето'!ac1454+'[2]$ лето'!ai1454+'[2]$ лето'!ao1454</f>
        <v>2</v>
      </c>
      <c r="I1454" s="109" t="n">
        <f aca="false">'[2]$ лето'!ay1454*1.1</f>
        <v>1694</v>
      </c>
    </row>
    <row r="1455" customFormat="false" ht="15" hidden="true" customHeight="false" outlineLevel="0" collapsed="false">
      <c r="A1455" s="115" t="s">
        <v>2037</v>
      </c>
      <c r="B1455" s="115" t="s">
        <v>568</v>
      </c>
      <c r="C1455" s="116" t="s">
        <v>2038</v>
      </c>
      <c r="D1455" s="116"/>
      <c r="E1455" s="116"/>
      <c r="F1455" s="116"/>
      <c r="G1455" s="108"/>
      <c r="H1455" s="105" t="n">
        <f aca="false">'[2]$ лето'!j1455-'[2]$ лето'!au1455-'[2]$ лето'!at1455-'[2]$ лето'!as1455-'[2]$ лето'!ar1455-'[2]$ лето'!aq1455-'[2]$ лето'!ap1455-'[2]$ лето'!an1455-'[2]$ лето'!am1455-'[2]$ лето'!al1455-'[2]$ лето'!ak1455-'[2]$ лето'!aj1455-'[2]$ лето'!ah1455-'[2]$ лето'!ag1455-'[2]$ лето'!af1455-'[2]$ лето'!ae1455-'[2]$ лето'!ad1455-'[2]$ лето'!ab1455-'[2]$ лето'!aa1455-'[2]$ лето'!z1455-'[2]$ лето'!y1455-'[2]$ лето'!x1455-'[2]$ лето'!v1455-'[2]$ лето'!u1455-'[2]$ лето'!t1455-'[2]$ лето'!s1455-'[2]$ лето'!r1455-'[2]$ лето'!p1455-'[2]$ лето'!o1455-'[2]$ лето'!n1455-'[2]$ лето'!m1455-'[2]$ лето'!l1455+'[2]$ лето'!k1455+'[2]$ лето'!q1455+'[2]$ лето'!w1455+'[2]$ лето'!ac1455+'[2]$ лето'!ai1455+'[2]$ лето'!ao1455</f>
        <v>0</v>
      </c>
      <c r="I1455" s="109" t="n">
        <f aca="false">'[2]$ лето'!ay1455*1.1</f>
        <v>2217.6</v>
      </c>
    </row>
    <row r="1456" customFormat="false" ht="15" hidden="true" customHeight="false" outlineLevel="0" collapsed="false">
      <c r="A1456" s="115" t="s">
        <v>2037</v>
      </c>
      <c r="B1456" s="115" t="s">
        <v>601</v>
      </c>
      <c r="C1456" s="116" t="s">
        <v>2039</v>
      </c>
      <c r="D1456" s="116"/>
      <c r="E1456" s="116"/>
      <c r="F1456" s="116"/>
      <c r="G1456" s="108" t="s">
        <v>1037</v>
      </c>
      <c r="H1456" s="105" t="n">
        <f aca="false">'[2]$ лето'!j1456-'[2]$ лето'!au1456-'[2]$ лето'!at1456-'[2]$ лето'!as1456-'[2]$ лето'!ar1456-'[2]$ лето'!aq1456-'[2]$ лето'!ap1456-'[2]$ лето'!an1456-'[2]$ лето'!am1456-'[2]$ лето'!al1456-'[2]$ лето'!ak1456-'[2]$ лето'!aj1456-'[2]$ лето'!ah1456-'[2]$ лето'!ag1456-'[2]$ лето'!af1456-'[2]$ лето'!ae1456-'[2]$ лето'!ad1456-'[2]$ лето'!ab1456-'[2]$ лето'!aa1456-'[2]$ лето'!z1456-'[2]$ лето'!y1456-'[2]$ лето'!x1456-'[2]$ лето'!v1456-'[2]$ лето'!u1456-'[2]$ лето'!t1456-'[2]$ лето'!s1456-'[2]$ лето'!r1456-'[2]$ лето'!p1456-'[2]$ лето'!o1456-'[2]$ лето'!n1456-'[2]$ лето'!m1456-'[2]$ лето'!l1456+'[2]$ лето'!k1456+'[2]$ лето'!q1456+'[2]$ лето'!w1456+'[2]$ лето'!ac1456+'[2]$ лето'!ai1456+'[2]$ лето'!ao1456</f>
        <v>0</v>
      </c>
      <c r="I1456" s="109" t="n">
        <f aca="false">'[2]$ лето'!ay1456*1.1</f>
        <v>4312</v>
      </c>
    </row>
    <row r="1457" customFormat="false" ht="15" hidden="false" customHeight="false" outlineLevel="0" collapsed="false">
      <c r="A1457" s="115" t="s">
        <v>2037</v>
      </c>
      <c r="B1457" s="115" t="s">
        <v>658</v>
      </c>
      <c r="C1457" s="116" t="s">
        <v>2040</v>
      </c>
      <c r="D1457" s="116"/>
      <c r="E1457" s="116"/>
      <c r="F1457" s="116"/>
      <c r="G1457" s="108" t="s">
        <v>631</v>
      </c>
      <c r="H1457" s="105" t="n">
        <f aca="false">'[2]$ лето'!j1457-'[2]$ лето'!au1457-'[2]$ лето'!at1457-'[2]$ лето'!as1457-'[2]$ лето'!ar1457-'[2]$ лето'!aq1457-'[2]$ лето'!ap1457-'[2]$ лето'!an1457-'[2]$ лето'!am1457-'[2]$ лето'!al1457-'[2]$ лето'!ak1457-'[2]$ лето'!aj1457-'[2]$ лето'!ah1457-'[2]$ лето'!ag1457-'[2]$ лето'!af1457-'[2]$ лето'!ae1457-'[2]$ лето'!ad1457-'[2]$ лето'!ab1457-'[2]$ лето'!aa1457-'[2]$ лето'!z1457-'[2]$ лето'!y1457-'[2]$ лето'!x1457-'[2]$ лето'!v1457-'[2]$ лето'!u1457-'[2]$ лето'!t1457-'[2]$ лето'!s1457-'[2]$ лето'!r1457-'[2]$ лето'!p1457-'[2]$ лето'!o1457-'[2]$ лето'!n1457-'[2]$ лето'!m1457-'[2]$ лето'!l1457+'[2]$ лето'!k1457+'[2]$ лето'!q1457+'[2]$ лето'!w1457+'[2]$ лето'!ac1457+'[2]$ лето'!ai1457+'[2]$ лето'!ao1457</f>
        <v>4</v>
      </c>
      <c r="I1457" s="109" t="n">
        <f aca="false">'[2]$ лето'!ay1457*1.1</f>
        <v>4466</v>
      </c>
      <c r="J1457" s="85" t="n">
        <v>2017</v>
      </c>
    </row>
    <row r="1458" customFormat="false" ht="15" hidden="true" customHeight="false" outlineLevel="0" collapsed="false">
      <c r="A1458" s="115" t="s">
        <v>2037</v>
      </c>
      <c r="B1458" s="115" t="s">
        <v>658</v>
      </c>
      <c r="C1458" s="116" t="s">
        <v>2041</v>
      </c>
      <c r="D1458" s="116"/>
      <c r="E1458" s="116"/>
      <c r="F1458" s="116"/>
      <c r="G1458" s="108" t="s">
        <v>843</v>
      </c>
      <c r="H1458" s="105" t="n">
        <f aca="false">'[2]$ лето'!j1458-'[2]$ лето'!au1458-'[2]$ лето'!at1458-'[2]$ лето'!as1458-'[2]$ лето'!ar1458-'[2]$ лето'!aq1458-'[2]$ лето'!ap1458-'[2]$ лето'!an1458-'[2]$ лето'!am1458-'[2]$ лето'!al1458-'[2]$ лето'!ak1458-'[2]$ лето'!aj1458-'[2]$ лето'!ah1458-'[2]$ лето'!ag1458-'[2]$ лето'!af1458-'[2]$ лето'!ae1458-'[2]$ лето'!ad1458-'[2]$ лето'!ab1458-'[2]$ лето'!aa1458-'[2]$ лето'!z1458-'[2]$ лето'!y1458-'[2]$ лето'!x1458-'[2]$ лето'!v1458-'[2]$ лето'!u1458-'[2]$ лето'!t1458-'[2]$ лето'!s1458-'[2]$ лето'!r1458-'[2]$ лето'!p1458-'[2]$ лето'!o1458-'[2]$ лето'!n1458-'[2]$ лето'!m1458-'[2]$ лето'!l1458+'[2]$ лето'!k1458+'[2]$ лето'!q1458+'[2]$ лето'!w1458+'[2]$ лето'!ac1458+'[2]$ лето'!ai1458+'[2]$ лето'!ao1458</f>
        <v>0</v>
      </c>
      <c r="I1458" s="109" t="n">
        <f aca="false">'[2]$ лето'!ay1458*1.1</f>
        <v>5544</v>
      </c>
      <c r="J1458" s="85" t="n">
        <v>2018</v>
      </c>
    </row>
    <row r="1459" customFormat="false" ht="15" hidden="true" customHeight="false" outlineLevel="0" collapsed="false">
      <c r="A1459" s="115" t="s">
        <v>2037</v>
      </c>
      <c r="B1459" s="115" t="s">
        <v>553</v>
      </c>
      <c r="C1459" s="114" t="s">
        <v>2042</v>
      </c>
      <c r="D1459" s="114"/>
      <c r="E1459" s="114"/>
      <c r="F1459" s="114"/>
      <c r="G1459" s="108" t="s">
        <v>2043</v>
      </c>
      <c r="H1459" s="105" t="n">
        <f aca="false">'[2]$ лето'!j1459-'[2]$ лето'!au1459-'[2]$ лето'!at1459-'[2]$ лето'!as1459-'[2]$ лето'!ar1459-'[2]$ лето'!aq1459-'[2]$ лето'!ap1459-'[2]$ лето'!an1459-'[2]$ лето'!am1459-'[2]$ лето'!al1459-'[2]$ лето'!ak1459-'[2]$ лето'!aj1459-'[2]$ лето'!ah1459-'[2]$ лето'!ag1459-'[2]$ лето'!af1459-'[2]$ лето'!ae1459-'[2]$ лето'!ad1459-'[2]$ лето'!ab1459-'[2]$ лето'!aa1459-'[2]$ лето'!z1459-'[2]$ лето'!y1459-'[2]$ лето'!x1459-'[2]$ лето'!v1459-'[2]$ лето'!u1459-'[2]$ лето'!t1459-'[2]$ лето'!s1459-'[2]$ лето'!r1459-'[2]$ лето'!p1459-'[2]$ лето'!o1459-'[2]$ лето'!n1459-'[2]$ лето'!m1459-'[2]$ лето'!l1459+'[2]$ лето'!k1459+'[2]$ лето'!q1459+'[2]$ лето'!w1459+'[2]$ лето'!ac1459+'[2]$ лето'!ai1459+'[2]$ лето'!ao1459</f>
        <v>0</v>
      </c>
      <c r="I1459" s="109" t="n">
        <f aca="false">'[2]$ лето'!ay1459*1.1</f>
        <v>1694</v>
      </c>
    </row>
    <row r="1460" customFormat="false" ht="15" hidden="true" customHeight="false" outlineLevel="0" collapsed="false">
      <c r="A1460" s="115" t="s">
        <v>2037</v>
      </c>
      <c r="B1460" s="115" t="s">
        <v>557</v>
      </c>
      <c r="C1460" s="114" t="s">
        <v>2044</v>
      </c>
      <c r="D1460" s="114"/>
      <c r="E1460" s="114"/>
      <c r="F1460" s="114"/>
      <c r="G1460" s="108"/>
      <c r="H1460" s="105" t="n">
        <f aca="false">'[2]$ лето'!j1460-'[2]$ лето'!au1460-'[2]$ лето'!at1460-'[2]$ лето'!as1460-'[2]$ лето'!ar1460-'[2]$ лето'!aq1460-'[2]$ лето'!ap1460-'[2]$ лето'!an1460-'[2]$ лето'!am1460-'[2]$ лето'!al1460-'[2]$ лето'!ak1460-'[2]$ лето'!aj1460-'[2]$ лето'!ah1460-'[2]$ лето'!ag1460-'[2]$ лето'!af1460-'[2]$ лето'!ae1460-'[2]$ лето'!ad1460-'[2]$ лето'!ab1460-'[2]$ лето'!aa1460-'[2]$ лето'!z1460-'[2]$ лето'!y1460-'[2]$ лето'!x1460-'[2]$ лето'!v1460-'[2]$ лето'!u1460-'[2]$ лето'!t1460-'[2]$ лето'!s1460-'[2]$ лето'!r1460-'[2]$ лето'!p1460-'[2]$ лето'!o1460-'[2]$ лето'!n1460-'[2]$ лето'!m1460-'[2]$ лето'!l1460+'[2]$ лето'!k1460+'[2]$ лето'!q1460+'[2]$ лето'!w1460+'[2]$ лето'!ac1460+'[2]$ лето'!ai1460+'[2]$ лето'!ao1460</f>
        <v>0</v>
      </c>
      <c r="I1460" s="109" t="n">
        <f aca="false">'[2]$ лето'!ay1460*1.1</f>
        <v>2340.8</v>
      </c>
    </row>
    <row r="1461" customFormat="false" ht="15" hidden="true" customHeight="false" outlineLevel="0" collapsed="false">
      <c r="A1461" s="115" t="s">
        <v>2037</v>
      </c>
      <c r="B1461" s="115" t="s">
        <v>606</v>
      </c>
      <c r="C1461" s="114" t="s">
        <v>2045</v>
      </c>
      <c r="D1461" s="114"/>
      <c r="E1461" s="114"/>
      <c r="F1461" s="114"/>
      <c r="G1461" s="108"/>
      <c r="H1461" s="105" t="n">
        <f aca="false">'[2]$ лето'!j1461-'[2]$ лето'!au1461-'[2]$ лето'!at1461-'[2]$ лето'!as1461-'[2]$ лето'!ar1461-'[2]$ лето'!aq1461-'[2]$ лето'!ap1461-'[2]$ лето'!an1461-'[2]$ лето'!am1461-'[2]$ лето'!al1461-'[2]$ лето'!ak1461-'[2]$ лето'!aj1461-'[2]$ лето'!ah1461-'[2]$ лето'!ag1461-'[2]$ лето'!af1461-'[2]$ лето'!ae1461-'[2]$ лето'!ad1461-'[2]$ лето'!ab1461-'[2]$ лето'!aa1461-'[2]$ лето'!z1461-'[2]$ лето'!y1461-'[2]$ лето'!x1461-'[2]$ лето'!v1461-'[2]$ лето'!u1461-'[2]$ лето'!t1461-'[2]$ лето'!s1461-'[2]$ лето'!r1461-'[2]$ лето'!p1461-'[2]$ лето'!o1461-'[2]$ лето'!n1461-'[2]$ лето'!m1461-'[2]$ лето'!l1461+'[2]$ лето'!k1461+'[2]$ лето'!q1461+'[2]$ лето'!w1461+'[2]$ лето'!ac1461+'[2]$ лето'!ai1461+'[2]$ лето'!ao1461</f>
        <v>0</v>
      </c>
      <c r="I1461" s="109" t="n">
        <f aca="false">'[2]$ лето'!ay1461*1.1</f>
        <v>3480.4</v>
      </c>
      <c r="J1461" s="85" t="n">
        <v>2016</v>
      </c>
    </row>
    <row r="1462" customFormat="false" ht="15" hidden="false" customHeight="false" outlineLevel="0" collapsed="false">
      <c r="A1462" s="115" t="s">
        <v>2037</v>
      </c>
      <c r="B1462" s="115" t="s">
        <v>606</v>
      </c>
      <c r="C1462" s="114" t="s">
        <v>2046</v>
      </c>
      <c r="D1462" s="114"/>
      <c r="E1462" s="126"/>
      <c r="F1462" s="126"/>
      <c r="G1462" s="108"/>
      <c r="H1462" s="105" t="n">
        <f aca="false">'[2]$ лето'!j1462-'[2]$ лето'!au1462-'[2]$ лето'!at1462-'[2]$ лето'!as1462-'[2]$ лето'!ar1462-'[2]$ лето'!aq1462-'[2]$ лето'!ap1462-'[2]$ лето'!an1462-'[2]$ лето'!am1462-'[2]$ лето'!al1462-'[2]$ лето'!ak1462-'[2]$ лето'!aj1462-'[2]$ лето'!ah1462-'[2]$ лето'!ag1462-'[2]$ лето'!af1462-'[2]$ лето'!ae1462-'[2]$ лето'!ad1462-'[2]$ лето'!ab1462-'[2]$ лето'!aa1462-'[2]$ лето'!z1462-'[2]$ лето'!y1462-'[2]$ лето'!x1462-'[2]$ лето'!v1462-'[2]$ лето'!u1462-'[2]$ лето'!t1462-'[2]$ лето'!s1462-'[2]$ лето'!r1462-'[2]$ лето'!p1462-'[2]$ лето'!o1462-'[2]$ лето'!n1462-'[2]$ лето'!m1462-'[2]$ лето'!l1462+'[2]$ лето'!k1462+'[2]$ лето'!q1462+'[2]$ лето'!w1462+'[2]$ лето'!ac1462+'[2]$ лето'!ai1462+'[2]$ лето'!ao1462</f>
        <v>2</v>
      </c>
      <c r="I1462" s="109" t="n">
        <f aca="false">'[2]$ лето'!ay1462*1.1</f>
        <v>3480.4</v>
      </c>
      <c r="J1462" s="85" t="n">
        <v>2016</v>
      </c>
    </row>
    <row r="1463" customFormat="false" ht="15" hidden="false" customHeight="false" outlineLevel="0" collapsed="false">
      <c r="A1463" s="115" t="s">
        <v>2037</v>
      </c>
      <c r="B1463" s="115" t="s">
        <v>574</v>
      </c>
      <c r="C1463" s="107" t="s">
        <v>2047</v>
      </c>
      <c r="D1463" s="107"/>
      <c r="E1463" s="116"/>
      <c r="F1463" s="116"/>
      <c r="G1463" s="108" t="s">
        <v>576</v>
      </c>
      <c r="H1463" s="105" t="n">
        <f aca="false">'[2]$ лето'!j1463-'[2]$ лето'!au1463-'[2]$ лето'!at1463-'[2]$ лето'!as1463-'[2]$ лето'!ar1463-'[2]$ лето'!aq1463-'[2]$ лето'!ap1463-'[2]$ лето'!an1463-'[2]$ лето'!am1463-'[2]$ лето'!al1463-'[2]$ лето'!ak1463-'[2]$ лето'!aj1463-'[2]$ лето'!ah1463-'[2]$ лето'!ag1463-'[2]$ лето'!af1463-'[2]$ лето'!ae1463-'[2]$ лето'!ad1463-'[2]$ лето'!ab1463-'[2]$ лето'!aa1463-'[2]$ лето'!z1463-'[2]$ лето'!y1463-'[2]$ лето'!x1463-'[2]$ лето'!v1463-'[2]$ лето'!u1463-'[2]$ лето'!t1463-'[2]$ лето'!s1463-'[2]$ лето'!r1463-'[2]$ лето'!p1463-'[2]$ лето'!o1463-'[2]$ лето'!n1463-'[2]$ лето'!m1463-'[2]$ лето'!l1463+'[2]$ лето'!k1463+'[2]$ лето'!q1463+'[2]$ лето'!w1463+'[2]$ лето'!ac1463+'[2]$ лето'!ai1463+'[2]$ лето'!ao1463</f>
        <v>4</v>
      </c>
      <c r="I1463" s="109" t="n">
        <f aca="false">'[2]$ лето'!ay1463*1.1</f>
        <v>2717.88</v>
      </c>
      <c r="J1463" s="85" t="n">
        <v>2017</v>
      </c>
    </row>
    <row r="1464" customFormat="false" ht="15" hidden="true" customHeight="false" outlineLevel="0" collapsed="false">
      <c r="A1464" s="115" t="s">
        <v>2037</v>
      </c>
      <c r="B1464" s="115" t="s">
        <v>583</v>
      </c>
      <c r="C1464" s="107" t="s">
        <v>2048</v>
      </c>
      <c r="D1464" s="107"/>
      <c r="E1464" s="107"/>
      <c r="F1464" s="107"/>
      <c r="G1464" s="108" t="s">
        <v>631</v>
      </c>
      <c r="H1464" s="105" t="n">
        <f aca="false">'[2]$ лето'!j1464-'[2]$ лето'!au1464-'[2]$ лето'!at1464-'[2]$ лето'!as1464-'[2]$ лето'!ar1464-'[2]$ лето'!aq1464-'[2]$ лето'!ap1464-'[2]$ лето'!an1464-'[2]$ лето'!am1464-'[2]$ лето'!al1464-'[2]$ лето'!ak1464-'[2]$ лето'!aj1464-'[2]$ лето'!ah1464-'[2]$ лето'!ag1464-'[2]$ лето'!af1464-'[2]$ лето'!ae1464-'[2]$ лето'!ad1464-'[2]$ лето'!ab1464-'[2]$ лето'!aa1464-'[2]$ лето'!z1464-'[2]$ лето'!y1464-'[2]$ лето'!x1464-'[2]$ лето'!v1464-'[2]$ лето'!u1464-'[2]$ лето'!t1464-'[2]$ лето'!s1464-'[2]$ лето'!r1464-'[2]$ лето'!p1464-'[2]$ лето'!o1464-'[2]$ лето'!n1464-'[2]$ лето'!m1464-'[2]$ лето'!l1464+'[2]$ лето'!k1464+'[2]$ лето'!q1464+'[2]$ лето'!w1464+'[2]$ лето'!ac1464+'[2]$ лето'!ai1464+'[2]$ лето'!ao1464</f>
        <v>0</v>
      </c>
      <c r="I1464" s="109" t="n">
        <f aca="false">'[2]$ лето'!ay1464*1.1</f>
        <v>2156</v>
      </c>
      <c r="J1464" s="85" t="n">
        <v>2017</v>
      </c>
    </row>
    <row r="1465" customFormat="false" ht="15" hidden="false" customHeight="false" outlineLevel="0" collapsed="false">
      <c r="A1465" s="115" t="s">
        <v>2037</v>
      </c>
      <c r="B1465" s="115" t="s">
        <v>593</v>
      </c>
      <c r="C1465" s="107" t="s">
        <v>2049</v>
      </c>
      <c r="D1465" s="107"/>
      <c r="E1465" s="116"/>
      <c r="F1465" s="116"/>
      <c r="G1465" s="108" t="s">
        <v>935</v>
      </c>
      <c r="H1465" s="105" t="n">
        <f aca="false">'[2]$ лето'!j1465-'[2]$ лето'!au1465-'[2]$ лето'!at1465-'[2]$ лето'!as1465-'[2]$ лето'!ar1465-'[2]$ лето'!aq1465-'[2]$ лето'!ap1465-'[2]$ лето'!an1465-'[2]$ лето'!am1465-'[2]$ лето'!al1465-'[2]$ лето'!ak1465-'[2]$ лето'!aj1465-'[2]$ лето'!ah1465-'[2]$ лето'!ag1465-'[2]$ лето'!af1465-'[2]$ лето'!ae1465-'[2]$ лето'!ad1465-'[2]$ лето'!ab1465-'[2]$ лето'!aa1465-'[2]$ лето'!z1465-'[2]$ лето'!y1465-'[2]$ лето'!x1465-'[2]$ лето'!v1465-'[2]$ лето'!u1465-'[2]$ лето'!t1465-'[2]$ лето'!s1465-'[2]$ лето'!r1465-'[2]$ лето'!p1465-'[2]$ лето'!o1465-'[2]$ лето'!n1465-'[2]$ лето'!m1465-'[2]$ лето'!l1465+'[2]$ лето'!k1465+'[2]$ лето'!q1465+'[2]$ лето'!w1465+'[2]$ лето'!ac1465+'[2]$ лето'!ai1465+'[2]$ лето'!ao1465</f>
        <v>4</v>
      </c>
      <c r="I1465" s="109" t="n">
        <f aca="false">'[2]$ лето'!ay1465*1.1</f>
        <v>5020.4</v>
      </c>
      <c r="J1465" s="85" t="n">
        <v>2018</v>
      </c>
    </row>
    <row r="1466" customFormat="false" ht="15" hidden="true" customHeight="false" outlineLevel="0" collapsed="false">
      <c r="A1466" s="115" t="s">
        <v>2037</v>
      </c>
      <c r="B1466" s="115" t="s">
        <v>593</v>
      </c>
      <c r="C1466" s="114" t="s">
        <v>2050</v>
      </c>
      <c r="D1466" s="114"/>
      <c r="E1466" s="114"/>
      <c r="F1466" s="114"/>
      <c r="G1466" s="108"/>
      <c r="H1466" s="105" t="n">
        <f aca="false">'[2]$ лето'!j1466-'[2]$ лето'!au1466-'[2]$ лето'!at1466-'[2]$ лето'!as1466-'[2]$ лето'!ar1466-'[2]$ лето'!aq1466-'[2]$ лето'!ap1466-'[2]$ лето'!an1466-'[2]$ лето'!am1466-'[2]$ лето'!al1466-'[2]$ лето'!ak1466-'[2]$ лето'!aj1466-'[2]$ лето'!ah1466-'[2]$ лето'!ag1466-'[2]$ лето'!af1466-'[2]$ лето'!ae1466-'[2]$ лето'!ad1466-'[2]$ лето'!ab1466-'[2]$ лето'!aa1466-'[2]$ лето'!z1466-'[2]$ лето'!y1466-'[2]$ лето'!x1466-'[2]$ лето'!v1466-'[2]$ лето'!u1466-'[2]$ лето'!t1466-'[2]$ лето'!s1466-'[2]$ лето'!r1466-'[2]$ лето'!p1466-'[2]$ лето'!o1466-'[2]$ лето'!n1466-'[2]$ лето'!m1466-'[2]$ лето'!l1466+'[2]$ лето'!k1466+'[2]$ лето'!q1466+'[2]$ лето'!w1466+'[2]$ лето'!ac1466+'[2]$ лето'!ai1466+'[2]$ лето'!ao1466</f>
        <v>0</v>
      </c>
      <c r="I1466" s="109" t="n">
        <f aca="false">'[2]$ лето'!ay1466*1.1</f>
        <v>4158</v>
      </c>
    </row>
    <row r="1467" customFormat="false" ht="15" hidden="true" customHeight="false" outlineLevel="0" collapsed="false">
      <c r="A1467" s="115" t="s">
        <v>2037</v>
      </c>
      <c r="B1467" s="115" t="s">
        <v>615</v>
      </c>
      <c r="C1467" s="107" t="s">
        <v>2051</v>
      </c>
      <c r="D1467" s="107"/>
      <c r="E1467" s="107"/>
      <c r="F1467" s="107"/>
      <c r="G1467" s="108"/>
      <c r="H1467" s="105" t="n">
        <f aca="false">'[2]$ лето'!j1467-'[2]$ лето'!au1467-'[2]$ лето'!at1467-'[2]$ лето'!as1467-'[2]$ лето'!ar1467-'[2]$ лето'!aq1467-'[2]$ лето'!ap1467-'[2]$ лето'!an1467-'[2]$ лето'!am1467-'[2]$ лето'!al1467-'[2]$ лето'!ak1467-'[2]$ лето'!aj1467-'[2]$ лето'!ah1467-'[2]$ лето'!ag1467-'[2]$ лето'!af1467-'[2]$ лето'!ae1467-'[2]$ лето'!ad1467-'[2]$ лето'!ab1467-'[2]$ лето'!aa1467-'[2]$ лето'!z1467-'[2]$ лето'!y1467-'[2]$ лето'!x1467-'[2]$ лето'!v1467-'[2]$ лето'!u1467-'[2]$ лето'!t1467-'[2]$ лето'!s1467-'[2]$ лето'!r1467-'[2]$ лето'!p1467-'[2]$ лето'!o1467-'[2]$ лето'!n1467-'[2]$ лето'!m1467-'[2]$ лето'!l1467+'[2]$ лето'!k1467+'[2]$ лето'!q1467+'[2]$ лето'!w1467+'[2]$ лето'!ac1467+'[2]$ лето'!ai1467+'[2]$ лето'!ao1467</f>
        <v>0</v>
      </c>
      <c r="I1467" s="109" t="n">
        <f aca="false">'[2]$ лето'!ay1467*1.1</f>
        <v>2464</v>
      </c>
    </row>
    <row r="1468" customFormat="false" ht="15" hidden="true" customHeight="false" outlineLevel="0" collapsed="false">
      <c r="A1468" s="115" t="s">
        <v>2037</v>
      </c>
      <c r="B1468" s="115" t="s">
        <v>623</v>
      </c>
      <c r="C1468" s="107" t="s">
        <v>2052</v>
      </c>
      <c r="D1468" s="107"/>
      <c r="E1468" s="107"/>
      <c r="F1468" s="107"/>
      <c r="G1468" s="108"/>
      <c r="H1468" s="105" t="n">
        <f aca="false">'[2]$ лето'!j1468-'[2]$ лето'!au1468-'[2]$ лето'!at1468-'[2]$ лето'!as1468-'[2]$ лето'!ar1468-'[2]$ лето'!aq1468-'[2]$ лето'!ap1468-'[2]$ лето'!an1468-'[2]$ лето'!am1468-'[2]$ лето'!al1468-'[2]$ лето'!ak1468-'[2]$ лето'!aj1468-'[2]$ лето'!ah1468-'[2]$ лето'!ag1468-'[2]$ лето'!af1468-'[2]$ лето'!ae1468-'[2]$ лето'!ad1468-'[2]$ лето'!ab1468-'[2]$ лето'!aa1468-'[2]$ лето'!z1468-'[2]$ лето'!y1468-'[2]$ лето'!x1468-'[2]$ лето'!v1468-'[2]$ лето'!u1468-'[2]$ лето'!t1468-'[2]$ лето'!s1468-'[2]$ лето'!r1468-'[2]$ лето'!p1468-'[2]$ лето'!o1468-'[2]$ лето'!n1468-'[2]$ лето'!m1468-'[2]$ лето'!l1468+'[2]$ лето'!k1468+'[2]$ лето'!q1468+'[2]$ лето'!w1468+'[2]$ лето'!ac1468+'[2]$ лето'!ai1468+'[2]$ лето'!ao1468</f>
        <v>0</v>
      </c>
      <c r="I1468" s="109" t="n">
        <f aca="false">'[2]$ лето'!ay1468*1.1</f>
        <v>1663.2</v>
      </c>
    </row>
    <row r="1469" customFormat="false" ht="15" hidden="true" customHeight="false" outlineLevel="0" collapsed="false">
      <c r="A1469" s="115" t="s">
        <v>2037</v>
      </c>
      <c r="B1469" s="115" t="s">
        <v>589</v>
      </c>
      <c r="C1469" s="107" t="s">
        <v>2053</v>
      </c>
      <c r="D1469" s="107"/>
      <c r="E1469" s="107"/>
      <c r="F1469" s="107"/>
      <c r="G1469" s="108"/>
      <c r="H1469" s="105" t="n">
        <f aca="false">'[2]$ лето'!j1469-'[2]$ лето'!au1469-'[2]$ лето'!at1469-'[2]$ лето'!as1469-'[2]$ лето'!ar1469-'[2]$ лето'!aq1469-'[2]$ лето'!ap1469-'[2]$ лето'!an1469-'[2]$ лето'!am1469-'[2]$ лето'!al1469-'[2]$ лето'!ak1469-'[2]$ лето'!aj1469-'[2]$ лето'!ah1469-'[2]$ лето'!ag1469-'[2]$ лето'!af1469-'[2]$ лето'!ae1469-'[2]$ лето'!ad1469-'[2]$ лето'!ab1469-'[2]$ лето'!aa1469-'[2]$ лето'!z1469-'[2]$ лето'!y1469-'[2]$ лето'!x1469-'[2]$ лето'!v1469-'[2]$ лето'!u1469-'[2]$ лето'!t1469-'[2]$ лето'!s1469-'[2]$ лето'!r1469-'[2]$ лето'!p1469-'[2]$ лето'!o1469-'[2]$ лето'!n1469-'[2]$ лето'!m1469-'[2]$ лето'!l1469+'[2]$ лето'!k1469+'[2]$ лето'!q1469+'[2]$ лето'!w1469+'[2]$ лето'!ac1469+'[2]$ лето'!ai1469+'[2]$ лето'!ao1469</f>
        <v>0</v>
      </c>
      <c r="I1469" s="109" t="n">
        <f aca="false">'[2]$ лето'!ay1469*1.1</f>
        <v>4004</v>
      </c>
    </row>
    <row r="1470" customFormat="false" ht="15" hidden="true" customHeight="false" outlineLevel="0" collapsed="false">
      <c r="A1470" s="115" t="s">
        <v>2037</v>
      </c>
      <c r="B1470" s="115" t="s">
        <v>589</v>
      </c>
      <c r="C1470" s="107" t="s">
        <v>2054</v>
      </c>
      <c r="D1470" s="107"/>
      <c r="E1470" s="107"/>
      <c r="F1470" s="107"/>
      <c r="G1470" s="108"/>
      <c r="H1470" s="105" t="n">
        <f aca="false">'[2]$ лето'!j1470-'[2]$ лето'!au1470-'[2]$ лето'!at1470-'[2]$ лето'!as1470-'[2]$ лето'!ar1470-'[2]$ лето'!aq1470-'[2]$ лето'!ap1470-'[2]$ лето'!an1470-'[2]$ лето'!am1470-'[2]$ лето'!al1470-'[2]$ лето'!ak1470-'[2]$ лето'!aj1470-'[2]$ лето'!ah1470-'[2]$ лето'!ag1470-'[2]$ лето'!af1470-'[2]$ лето'!ae1470-'[2]$ лето'!ad1470-'[2]$ лето'!ab1470-'[2]$ лето'!aa1470-'[2]$ лето'!z1470-'[2]$ лето'!y1470-'[2]$ лето'!x1470-'[2]$ лето'!v1470-'[2]$ лето'!u1470-'[2]$ лето'!t1470-'[2]$ лето'!s1470-'[2]$ лето'!r1470-'[2]$ лето'!p1470-'[2]$ лето'!o1470-'[2]$ лето'!n1470-'[2]$ лето'!m1470-'[2]$ лето'!l1470+'[2]$ лето'!k1470+'[2]$ лето'!q1470+'[2]$ лето'!w1470+'[2]$ лето'!ac1470+'[2]$ лето'!ai1470+'[2]$ лето'!ao1470</f>
        <v>0</v>
      </c>
      <c r="I1470" s="109" t="n">
        <f aca="false">'[2]$ лето'!ay1470*1.1</f>
        <v>4004</v>
      </c>
    </row>
    <row r="1471" customFormat="false" ht="15" hidden="false" customHeight="false" outlineLevel="0" collapsed="false">
      <c r="A1471" s="115" t="s">
        <v>2037</v>
      </c>
      <c r="B1471" s="115" t="s">
        <v>589</v>
      </c>
      <c r="C1471" s="107" t="s">
        <v>1822</v>
      </c>
      <c r="D1471" s="107"/>
      <c r="E1471" s="116"/>
      <c r="F1471" s="116"/>
      <c r="G1471" s="108"/>
      <c r="H1471" s="105" t="n">
        <f aca="false">'[2]$ лето'!j1471-'[2]$ лето'!au1471-'[2]$ лето'!at1471-'[2]$ лето'!as1471-'[2]$ лето'!ar1471-'[2]$ лето'!aq1471-'[2]$ лето'!ap1471-'[2]$ лето'!an1471-'[2]$ лето'!am1471-'[2]$ лето'!al1471-'[2]$ лето'!ak1471-'[2]$ лето'!aj1471-'[2]$ лето'!ah1471-'[2]$ лето'!ag1471-'[2]$ лето'!af1471-'[2]$ лето'!ae1471-'[2]$ лето'!ad1471-'[2]$ лето'!ab1471-'[2]$ лето'!aa1471-'[2]$ лето'!z1471-'[2]$ лето'!y1471-'[2]$ лето'!x1471-'[2]$ лето'!v1471-'[2]$ лето'!u1471-'[2]$ лето'!t1471-'[2]$ лето'!s1471-'[2]$ лето'!r1471-'[2]$ лето'!p1471-'[2]$ лето'!o1471-'[2]$ лето'!n1471-'[2]$ лето'!m1471-'[2]$ лето'!l1471+'[2]$ лето'!k1471+'[2]$ лето'!q1471+'[2]$ лето'!w1471+'[2]$ лето'!ac1471+'[2]$ лето'!ai1471+'[2]$ лето'!ao1471</f>
        <v>2</v>
      </c>
      <c r="I1471" s="109" t="n">
        <f aca="false">'[2]$ лето'!ay1471*1.1</f>
        <v>2499.2</v>
      </c>
    </row>
    <row r="1472" customFormat="false" ht="15" hidden="true" customHeight="false" outlineLevel="0" collapsed="false">
      <c r="A1472" s="115" t="s">
        <v>2037</v>
      </c>
      <c r="B1472" s="115" t="s">
        <v>564</v>
      </c>
      <c r="C1472" s="107" t="s">
        <v>2055</v>
      </c>
      <c r="D1472" s="107"/>
      <c r="E1472" s="107"/>
      <c r="F1472" s="107"/>
      <c r="G1472" s="108" t="s">
        <v>520</v>
      </c>
      <c r="H1472" s="105" t="n">
        <f aca="false">'[2]$ лето'!j1472-'[2]$ лето'!au1472-'[2]$ лето'!at1472-'[2]$ лето'!as1472-'[2]$ лето'!ar1472-'[2]$ лето'!aq1472-'[2]$ лето'!ap1472-'[2]$ лето'!an1472-'[2]$ лето'!am1472-'[2]$ лето'!al1472-'[2]$ лето'!ak1472-'[2]$ лето'!aj1472-'[2]$ лето'!ah1472-'[2]$ лето'!ag1472-'[2]$ лето'!af1472-'[2]$ лето'!ae1472-'[2]$ лето'!ad1472-'[2]$ лето'!ab1472-'[2]$ лето'!aa1472-'[2]$ лето'!z1472-'[2]$ лето'!y1472-'[2]$ лето'!x1472-'[2]$ лето'!v1472-'[2]$ лето'!u1472-'[2]$ лето'!t1472-'[2]$ лето'!s1472-'[2]$ лето'!r1472-'[2]$ лето'!p1472-'[2]$ лето'!o1472-'[2]$ лето'!n1472-'[2]$ лето'!m1472-'[2]$ лето'!l1472+'[2]$ лето'!k1472+'[2]$ лето'!q1472+'[2]$ лето'!w1472+'[2]$ лето'!ac1472+'[2]$ лето'!ai1472+'[2]$ лето'!ao1472</f>
        <v>0</v>
      </c>
      <c r="I1472" s="109" t="n">
        <f aca="false">'[2]$ лето'!ay1472*1.1</f>
        <v>1848</v>
      </c>
      <c r="J1472" s="85" t="n">
        <v>2017</v>
      </c>
    </row>
    <row r="1473" customFormat="false" ht="15" hidden="true" customHeight="false" outlineLevel="0" collapsed="false">
      <c r="A1473" s="115" t="s">
        <v>2037</v>
      </c>
      <c r="B1473" s="115" t="s">
        <v>564</v>
      </c>
      <c r="C1473" s="107" t="s">
        <v>2056</v>
      </c>
      <c r="D1473" s="107"/>
      <c r="E1473" s="107"/>
      <c r="F1473" s="107"/>
      <c r="G1473" s="108" t="s">
        <v>520</v>
      </c>
      <c r="H1473" s="105" t="n">
        <f aca="false">'[2]$ лето'!j1473-'[2]$ лето'!au1473-'[2]$ лето'!at1473-'[2]$ лето'!as1473-'[2]$ лето'!ar1473-'[2]$ лето'!aq1473-'[2]$ лето'!ap1473-'[2]$ лето'!an1473-'[2]$ лето'!am1473-'[2]$ лето'!al1473-'[2]$ лето'!ak1473-'[2]$ лето'!aj1473-'[2]$ лето'!ah1473-'[2]$ лето'!ag1473-'[2]$ лето'!af1473-'[2]$ лето'!ae1473-'[2]$ лето'!ad1473-'[2]$ лето'!ab1473-'[2]$ лето'!aa1473-'[2]$ лето'!z1473-'[2]$ лето'!y1473-'[2]$ лето'!x1473-'[2]$ лето'!v1473-'[2]$ лето'!u1473-'[2]$ лето'!t1473-'[2]$ лето'!s1473-'[2]$ лето'!r1473-'[2]$ лето'!p1473-'[2]$ лето'!o1473-'[2]$ лето'!n1473-'[2]$ лето'!m1473-'[2]$ лето'!l1473+'[2]$ лето'!k1473+'[2]$ лето'!q1473+'[2]$ лето'!w1473+'[2]$ лето'!ac1473+'[2]$ лето'!ai1473+'[2]$ лето'!ao1473</f>
        <v>0</v>
      </c>
      <c r="I1473" s="109" t="n">
        <f aca="false">'[2]$ лето'!ay1473*1.1</f>
        <v>1848</v>
      </c>
    </row>
    <row r="1474" customFormat="false" ht="15" hidden="true" customHeight="false" outlineLevel="0" collapsed="false">
      <c r="A1474" s="115" t="s">
        <v>2057</v>
      </c>
      <c r="B1474" s="115" t="s">
        <v>601</v>
      </c>
      <c r="C1474" s="107" t="s">
        <v>2058</v>
      </c>
      <c r="D1474" s="107"/>
      <c r="E1474" s="107"/>
      <c r="F1474" s="107"/>
      <c r="G1474" s="108" t="s">
        <v>876</v>
      </c>
      <c r="H1474" s="105" t="n">
        <f aca="false">'[2]$ лето'!j1474-'[2]$ лето'!au1474-'[2]$ лето'!at1474-'[2]$ лето'!as1474-'[2]$ лето'!ar1474-'[2]$ лето'!aq1474-'[2]$ лето'!ap1474-'[2]$ лето'!an1474-'[2]$ лето'!am1474-'[2]$ лето'!al1474-'[2]$ лето'!ak1474-'[2]$ лето'!aj1474-'[2]$ лето'!ah1474-'[2]$ лето'!ag1474-'[2]$ лето'!af1474-'[2]$ лето'!ae1474-'[2]$ лето'!ad1474-'[2]$ лето'!ab1474-'[2]$ лето'!aa1474-'[2]$ лето'!z1474-'[2]$ лето'!y1474-'[2]$ лето'!x1474-'[2]$ лето'!v1474-'[2]$ лето'!u1474-'[2]$ лето'!t1474-'[2]$ лето'!s1474-'[2]$ лето'!r1474-'[2]$ лето'!p1474-'[2]$ лето'!o1474-'[2]$ лето'!n1474-'[2]$ лето'!m1474-'[2]$ лето'!l1474+'[2]$ лето'!k1474+'[2]$ лето'!q1474+'[2]$ лето'!w1474+'[2]$ лето'!ac1474+'[2]$ лето'!ai1474+'[2]$ лето'!ao1474</f>
        <v>0</v>
      </c>
      <c r="I1474" s="109" t="n">
        <f aca="false">'[2]$ лето'!ay1474*1.1</f>
        <v>4510</v>
      </c>
      <c r="J1474" s="85" t="n">
        <v>2017</v>
      </c>
    </row>
    <row r="1475" customFormat="false" ht="15" hidden="false" customHeight="false" outlineLevel="0" collapsed="false">
      <c r="A1475" s="115" t="s">
        <v>2057</v>
      </c>
      <c r="B1475" s="115" t="s">
        <v>658</v>
      </c>
      <c r="C1475" s="116" t="s">
        <v>2059</v>
      </c>
      <c r="D1475" s="116"/>
      <c r="E1475" s="116"/>
      <c r="F1475" s="116"/>
      <c r="G1475" s="108"/>
      <c r="H1475" s="105" t="n">
        <f aca="false">'[2]$ лето'!j1475-'[2]$ лето'!au1475-'[2]$ лето'!at1475-'[2]$ лето'!as1475-'[2]$ лето'!ar1475-'[2]$ лето'!aq1475-'[2]$ лето'!ap1475-'[2]$ лето'!an1475-'[2]$ лето'!am1475-'[2]$ лето'!al1475-'[2]$ лето'!ak1475-'[2]$ лето'!aj1475-'[2]$ лето'!ah1475-'[2]$ лето'!ag1475-'[2]$ лето'!af1475-'[2]$ лето'!ae1475-'[2]$ лето'!ad1475-'[2]$ лето'!ab1475-'[2]$ лето'!aa1475-'[2]$ лето'!z1475-'[2]$ лето'!y1475-'[2]$ лето'!x1475-'[2]$ лето'!v1475-'[2]$ лето'!u1475-'[2]$ лето'!t1475-'[2]$ лето'!s1475-'[2]$ лето'!r1475-'[2]$ лето'!p1475-'[2]$ лето'!o1475-'[2]$ лето'!n1475-'[2]$ лето'!m1475-'[2]$ лето'!l1475+'[2]$ лето'!k1475+'[2]$ лето'!q1475+'[2]$ лето'!w1475+'[2]$ лето'!ac1475+'[2]$ лето'!ai1475+'[2]$ лето'!ao1475</f>
        <v>4</v>
      </c>
      <c r="I1475" s="109" t="n">
        <f aca="false">'[2]$ лето'!ay1475*1.1</f>
        <v>5390</v>
      </c>
      <c r="J1475" s="85" t="n">
        <v>2017</v>
      </c>
    </row>
    <row r="1476" customFormat="false" ht="15" hidden="true" customHeight="false" outlineLevel="0" collapsed="false">
      <c r="A1476" s="115" t="s">
        <v>2057</v>
      </c>
      <c r="B1476" s="115" t="s">
        <v>658</v>
      </c>
      <c r="C1476" s="116" t="s">
        <v>2060</v>
      </c>
      <c r="D1476" s="116"/>
      <c r="E1476" s="116"/>
      <c r="F1476" s="116"/>
      <c r="G1476" s="108" t="s">
        <v>2061</v>
      </c>
      <c r="H1476" s="105" t="n">
        <f aca="false">'[2]$ лето'!j1476-'[2]$ лето'!au1476-'[2]$ лето'!at1476-'[2]$ лето'!as1476-'[2]$ лето'!ar1476-'[2]$ лето'!aq1476-'[2]$ лето'!ap1476-'[2]$ лето'!an1476-'[2]$ лето'!am1476-'[2]$ лето'!al1476-'[2]$ лето'!ak1476-'[2]$ лето'!aj1476-'[2]$ лето'!ah1476-'[2]$ лето'!ag1476-'[2]$ лето'!af1476-'[2]$ лето'!ae1476-'[2]$ лето'!ad1476-'[2]$ лето'!ab1476-'[2]$ лето'!aa1476-'[2]$ лето'!z1476-'[2]$ лето'!y1476-'[2]$ лето'!x1476-'[2]$ лето'!v1476-'[2]$ лето'!u1476-'[2]$ лето'!t1476-'[2]$ лето'!s1476-'[2]$ лето'!r1476-'[2]$ лето'!p1476-'[2]$ лето'!o1476-'[2]$ лето'!n1476-'[2]$ лето'!m1476-'[2]$ лето'!l1476+'[2]$ лето'!k1476+'[2]$ лето'!q1476+'[2]$ лето'!w1476+'[2]$ лето'!ac1476+'[2]$ лето'!ai1476+'[2]$ лето'!ao1476</f>
        <v>0</v>
      </c>
      <c r="I1476" s="109" t="n">
        <f aca="false">'[2]$ лето'!ay1476*1.1</f>
        <v>5944.4</v>
      </c>
    </row>
    <row r="1477" customFormat="false" ht="15" hidden="false" customHeight="false" outlineLevel="0" collapsed="false">
      <c r="A1477" s="115" t="s">
        <v>2057</v>
      </c>
      <c r="B1477" s="115" t="s">
        <v>606</v>
      </c>
      <c r="C1477" s="116" t="s">
        <v>2062</v>
      </c>
      <c r="D1477" s="116"/>
      <c r="E1477" s="116"/>
      <c r="F1477" s="116"/>
      <c r="G1477" s="108" t="s">
        <v>609</v>
      </c>
      <c r="H1477" s="105" t="n">
        <f aca="false">'[2]$ лето'!j1477-'[2]$ лето'!au1477-'[2]$ лето'!at1477-'[2]$ лето'!as1477-'[2]$ лето'!ar1477-'[2]$ лето'!aq1477-'[2]$ лето'!ap1477-'[2]$ лето'!an1477-'[2]$ лето'!am1477-'[2]$ лето'!al1477-'[2]$ лето'!ak1477-'[2]$ лето'!aj1477-'[2]$ лето'!ah1477-'[2]$ лето'!ag1477-'[2]$ лето'!af1477-'[2]$ лето'!ae1477-'[2]$ лето'!ad1477-'[2]$ лето'!ab1477-'[2]$ лето'!aa1477-'[2]$ лето'!z1477-'[2]$ лето'!y1477-'[2]$ лето'!x1477-'[2]$ лето'!v1477-'[2]$ лето'!u1477-'[2]$ лето'!t1477-'[2]$ лето'!s1477-'[2]$ лето'!r1477-'[2]$ лето'!p1477-'[2]$ лето'!o1477-'[2]$ лето'!n1477-'[2]$ лето'!m1477-'[2]$ лето'!l1477+'[2]$ лето'!k1477+'[2]$ лето'!q1477+'[2]$ лето'!w1477+'[2]$ лето'!ac1477+'[2]$ лето'!ai1477+'[2]$ лето'!ao1477</f>
        <v>8</v>
      </c>
      <c r="I1477" s="109" t="n">
        <f aca="false">'[2]$ лето'!ay1477*1.1</f>
        <v>3234</v>
      </c>
      <c r="J1477" s="85" t="n">
        <v>2017</v>
      </c>
    </row>
    <row r="1478" customFormat="false" ht="15" hidden="true" customHeight="false" outlineLevel="0" collapsed="false">
      <c r="A1478" s="115" t="s">
        <v>2057</v>
      </c>
      <c r="B1478" s="115" t="s">
        <v>577</v>
      </c>
      <c r="C1478" s="116" t="s">
        <v>2063</v>
      </c>
      <c r="D1478" s="116"/>
      <c r="E1478" s="116"/>
      <c r="F1478" s="116"/>
      <c r="G1478" s="108" t="s">
        <v>563</v>
      </c>
      <c r="H1478" s="105" t="n">
        <f aca="false">'[2]$ лето'!j1478-'[2]$ лето'!au1478-'[2]$ лето'!at1478-'[2]$ лето'!as1478-'[2]$ лето'!ar1478-'[2]$ лето'!aq1478-'[2]$ лето'!ap1478-'[2]$ лето'!an1478-'[2]$ лето'!am1478-'[2]$ лето'!al1478-'[2]$ лето'!ak1478-'[2]$ лето'!aj1478-'[2]$ лето'!ah1478-'[2]$ лето'!ag1478-'[2]$ лето'!af1478-'[2]$ лето'!ae1478-'[2]$ лето'!ad1478-'[2]$ лето'!ab1478-'[2]$ лето'!aa1478-'[2]$ лето'!z1478-'[2]$ лето'!y1478-'[2]$ лето'!x1478-'[2]$ лето'!v1478-'[2]$ лето'!u1478-'[2]$ лето'!t1478-'[2]$ лето'!s1478-'[2]$ лето'!r1478-'[2]$ лето'!p1478-'[2]$ лето'!o1478-'[2]$ лето'!n1478-'[2]$ лето'!m1478-'[2]$ лето'!l1478+'[2]$ лето'!k1478+'[2]$ лето'!q1478+'[2]$ лето'!w1478+'[2]$ лето'!ac1478+'[2]$ лето'!ai1478+'[2]$ лето'!ao1478</f>
        <v>0</v>
      </c>
      <c r="I1478" s="109" t="n">
        <f aca="false">'[2]$ лето'!ay1478*1.1</f>
        <v>3080</v>
      </c>
      <c r="J1478" s="85" t="n">
        <v>2016</v>
      </c>
    </row>
    <row r="1479" customFormat="false" ht="15" hidden="true" customHeight="false" outlineLevel="0" collapsed="false">
      <c r="A1479" s="115" t="s">
        <v>2057</v>
      </c>
      <c r="B1479" s="115" t="s">
        <v>593</v>
      </c>
      <c r="C1479" s="107" t="s">
        <v>2064</v>
      </c>
      <c r="D1479" s="107"/>
      <c r="E1479" s="107"/>
      <c r="F1479" s="107"/>
      <c r="G1479" s="108" t="s">
        <v>2065</v>
      </c>
      <c r="H1479" s="105" t="n">
        <f aca="false">'[2]$ лето'!j1479-'[2]$ лето'!au1479-'[2]$ лето'!at1479-'[2]$ лето'!as1479-'[2]$ лето'!ar1479-'[2]$ лето'!aq1479-'[2]$ лето'!ap1479-'[2]$ лето'!an1479-'[2]$ лето'!am1479-'[2]$ лето'!al1479-'[2]$ лето'!ak1479-'[2]$ лето'!aj1479-'[2]$ лето'!ah1479-'[2]$ лето'!ag1479-'[2]$ лето'!af1479-'[2]$ лето'!ae1479-'[2]$ лето'!ad1479-'[2]$ лето'!ab1479-'[2]$ лето'!aa1479-'[2]$ лето'!z1479-'[2]$ лето'!y1479-'[2]$ лето'!x1479-'[2]$ лето'!v1479-'[2]$ лето'!u1479-'[2]$ лето'!t1479-'[2]$ лето'!s1479-'[2]$ лето'!r1479-'[2]$ лето'!p1479-'[2]$ лето'!o1479-'[2]$ лето'!n1479-'[2]$ лето'!m1479-'[2]$ лето'!l1479+'[2]$ лето'!k1479+'[2]$ лето'!q1479+'[2]$ лето'!w1479+'[2]$ лето'!ac1479+'[2]$ лето'!ai1479+'[2]$ лето'!ao1479</f>
        <v>0</v>
      </c>
      <c r="I1479" s="109" t="n">
        <f aca="false">'[2]$ лето'!ay1479*1.1</f>
        <v>5636.4</v>
      </c>
    </row>
    <row r="1480" customFormat="false" ht="15" hidden="true" customHeight="false" outlineLevel="0" collapsed="false">
      <c r="A1480" s="115" t="s">
        <v>2057</v>
      </c>
      <c r="B1480" s="115" t="s">
        <v>589</v>
      </c>
      <c r="C1480" s="107" t="s">
        <v>2066</v>
      </c>
      <c r="D1480" s="107"/>
      <c r="E1480" s="107"/>
      <c r="F1480" s="107"/>
      <c r="G1480" s="108"/>
      <c r="H1480" s="105" t="n">
        <f aca="false">'[2]$ лето'!j1480-'[2]$ лето'!au1480-'[2]$ лето'!at1480-'[2]$ лето'!as1480-'[2]$ лето'!ar1480-'[2]$ лето'!aq1480-'[2]$ лето'!ap1480-'[2]$ лето'!an1480-'[2]$ лето'!am1480-'[2]$ лето'!al1480-'[2]$ лето'!ak1480-'[2]$ лето'!aj1480-'[2]$ лето'!ah1480-'[2]$ лето'!ag1480-'[2]$ лето'!af1480-'[2]$ лето'!ae1480-'[2]$ лето'!ad1480-'[2]$ лето'!ab1480-'[2]$ лето'!aa1480-'[2]$ лето'!z1480-'[2]$ лето'!y1480-'[2]$ лето'!x1480-'[2]$ лето'!v1480-'[2]$ лето'!u1480-'[2]$ лето'!t1480-'[2]$ лето'!s1480-'[2]$ лето'!r1480-'[2]$ лето'!p1480-'[2]$ лето'!o1480-'[2]$ лето'!n1480-'[2]$ лето'!m1480-'[2]$ лето'!l1480+'[2]$ лето'!k1480+'[2]$ лето'!q1480+'[2]$ лето'!w1480+'[2]$ лето'!ac1480+'[2]$ лето'!ai1480+'[2]$ лето'!ao1480</f>
        <v>0</v>
      </c>
      <c r="I1480" s="109" t="n">
        <f aca="false">'[2]$ лето'!ay1480*1.1</f>
        <v>4096.4</v>
      </c>
    </row>
    <row r="1481" customFormat="false" ht="15" hidden="false" customHeight="false" outlineLevel="0" collapsed="false">
      <c r="A1481" s="115" t="s">
        <v>2057</v>
      </c>
      <c r="B1481" s="115" t="s">
        <v>564</v>
      </c>
      <c r="C1481" s="116" t="s">
        <v>2067</v>
      </c>
      <c r="D1481" s="116"/>
      <c r="E1481" s="116"/>
      <c r="F1481" s="116"/>
      <c r="G1481" s="108" t="s">
        <v>520</v>
      </c>
      <c r="H1481" s="105" t="n">
        <f aca="false">'[2]$ лето'!j1481-'[2]$ лето'!au1481-'[2]$ лето'!at1481-'[2]$ лето'!as1481-'[2]$ лето'!ar1481-'[2]$ лето'!aq1481-'[2]$ лето'!ap1481-'[2]$ лето'!an1481-'[2]$ лето'!am1481-'[2]$ лето'!al1481-'[2]$ лето'!ak1481-'[2]$ лето'!aj1481-'[2]$ лето'!ah1481-'[2]$ лето'!ag1481-'[2]$ лето'!af1481-'[2]$ лето'!ae1481-'[2]$ лето'!ad1481-'[2]$ лето'!ab1481-'[2]$ лето'!aa1481-'[2]$ лето'!z1481-'[2]$ лето'!y1481-'[2]$ лето'!x1481-'[2]$ лето'!v1481-'[2]$ лето'!u1481-'[2]$ лето'!t1481-'[2]$ лето'!s1481-'[2]$ лето'!r1481-'[2]$ лето'!p1481-'[2]$ лето'!o1481-'[2]$ лето'!n1481-'[2]$ лето'!m1481-'[2]$ лето'!l1481+'[2]$ лето'!k1481+'[2]$ лето'!q1481+'[2]$ лето'!w1481+'[2]$ лето'!ac1481+'[2]$ лето'!ai1481+'[2]$ лето'!ao1481</f>
        <v>4</v>
      </c>
      <c r="I1481" s="109" t="n">
        <f aca="false">'[2]$ лето'!ay1481*1.1</f>
        <v>1940.4</v>
      </c>
      <c r="J1481" s="85" t="n">
        <v>2017</v>
      </c>
    </row>
    <row r="1482" customFormat="false" ht="15" hidden="true" customHeight="false" outlineLevel="0" collapsed="false">
      <c r="A1482" s="115" t="s">
        <v>2068</v>
      </c>
      <c r="B1482" s="115" t="s">
        <v>553</v>
      </c>
      <c r="C1482" s="116" t="s">
        <v>2069</v>
      </c>
      <c r="D1482" s="116"/>
      <c r="E1482" s="116"/>
      <c r="F1482" s="116"/>
      <c r="G1482" s="108"/>
      <c r="H1482" s="105" t="n">
        <f aca="false">'[2]$ лето'!j1482-'[2]$ лето'!au1482-'[2]$ лето'!at1482-'[2]$ лето'!as1482-'[2]$ лето'!ar1482-'[2]$ лето'!aq1482-'[2]$ лето'!ap1482-'[2]$ лето'!an1482-'[2]$ лето'!am1482-'[2]$ лето'!al1482-'[2]$ лето'!ak1482-'[2]$ лето'!aj1482-'[2]$ лето'!ah1482-'[2]$ лето'!ag1482-'[2]$ лето'!af1482-'[2]$ лето'!ae1482-'[2]$ лето'!ad1482-'[2]$ лето'!ab1482-'[2]$ лето'!aa1482-'[2]$ лето'!z1482-'[2]$ лето'!y1482-'[2]$ лето'!x1482-'[2]$ лето'!v1482-'[2]$ лето'!u1482-'[2]$ лето'!t1482-'[2]$ лето'!s1482-'[2]$ лето'!r1482-'[2]$ лето'!p1482-'[2]$ лето'!o1482-'[2]$ лето'!n1482-'[2]$ лето'!m1482-'[2]$ лето'!l1482+'[2]$ лето'!k1482+'[2]$ лето'!q1482+'[2]$ лето'!w1482+'[2]$ лето'!ac1482+'[2]$ лето'!ai1482+'[2]$ лето'!ao1482</f>
        <v>0</v>
      </c>
      <c r="I1482" s="109" t="n">
        <f aca="false">'[2]$ лето'!ay1482*1.1</f>
        <v>2618</v>
      </c>
    </row>
    <row r="1483" customFormat="false" ht="15" hidden="true" customHeight="false" outlineLevel="0" collapsed="false">
      <c r="A1483" s="115" t="s">
        <v>2068</v>
      </c>
      <c r="B1483" s="115" t="s">
        <v>593</v>
      </c>
      <c r="C1483" s="107" t="s">
        <v>2070</v>
      </c>
      <c r="D1483" s="107"/>
      <c r="E1483" s="107"/>
      <c r="F1483" s="107"/>
      <c r="G1483" s="108" t="s">
        <v>1999</v>
      </c>
      <c r="H1483" s="105" t="n">
        <f aca="false">'[2]$ лето'!j1483-'[2]$ лето'!au1483-'[2]$ лето'!at1483-'[2]$ лето'!as1483-'[2]$ лето'!ar1483-'[2]$ лето'!aq1483-'[2]$ лето'!ap1483-'[2]$ лето'!an1483-'[2]$ лето'!am1483-'[2]$ лето'!al1483-'[2]$ лето'!ak1483-'[2]$ лето'!aj1483-'[2]$ лето'!ah1483-'[2]$ лето'!ag1483-'[2]$ лето'!af1483-'[2]$ лето'!ae1483-'[2]$ лето'!ad1483-'[2]$ лето'!ab1483-'[2]$ лето'!aa1483-'[2]$ лето'!z1483-'[2]$ лето'!y1483-'[2]$ лето'!x1483-'[2]$ лето'!v1483-'[2]$ лето'!u1483-'[2]$ лето'!t1483-'[2]$ лето'!s1483-'[2]$ лето'!r1483-'[2]$ лето'!p1483-'[2]$ лето'!o1483-'[2]$ лето'!n1483-'[2]$ лето'!m1483-'[2]$ лето'!l1483+'[2]$ лето'!k1483+'[2]$ лето'!q1483+'[2]$ лето'!w1483+'[2]$ лето'!ac1483+'[2]$ лето'!ai1483+'[2]$ лето'!ao1483</f>
        <v>0</v>
      </c>
      <c r="I1483" s="109" t="n">
        <f aca="false">'[2]$ лето'!ay1483*1.1</f>
        <v>4127.2</v>
      </c>
    </row>
    <row r="1484" customFormat="false" ht="15" hidden="true" customHeight="false" outlineLevel="0" collapsed="false">
      <c r="A1484" s="115" t="s">
        <v>2068</v>
      </c>
      <c r="B1484" s="115" t="s">
        <v>593</v>
      </c>
      <c r="C1484" s="107" t="s">
        <v>2071</v>
      </c>
      <c r="D1484" s="107"/>
      <c r="E1484" s="107"/>
      <c r="F1484" s="107"/>
      <c r="G1484" s="108" t="s">
        <v>1127</v>
      </c>
      <c r="H1484" s="105" t="n">
        <f aca="false">'[2]$ лето'!j1484-'[2]$ лето'!au1484-'[2]$ лето'!at1484-'[2]$ лето'!as1484-'[2]$ лето'!ar1484-'[2]$ лето'!aq1484-'[2]$ лето'!ap1484-'[2]$ лето'!an1484-'[2]$ лето'!am1484-'[2]$ лето'!al1484-'[2]$ лето'!ak1484-'[2]$ лето'!aj1484-'[2]$ лето'!ah1484-'[2]$ лето'!ag1484-'[2]$ лето'!af1484-'[2]$ лето'!ae1484-'[2]$ лето'!ad1484-'[2]$ лето'!ab1484-'[2]$ лето'!aa1484-'[2]$ лето'!z1484-'[2]$ лето'!y1484-'[2]$ лето'!x1484-'[2]$ лето'!v1484-'[2]$ лето'!u1484-'[2]$ лето'!t1484-'[2]$ лето'!s1484-'[2]$ лето'!r1484-'[2]$ лето'!p1484-'[2]$ лето'!o1484-'[2]$ лето'!n1484-'[2]$ лето'!m1484-'[2]$ лето'!l1484+'[2]$ лето'!k1484+'[2]$ лето'!q1484+'[2]$ лето'!w1484+'[2]$ лето'!ac1484+'[2]$ лето'!ai1484+'[2]$ лето'!ao1484</f>
        <v>0</v>
      </c>
      <c r="I1484" s="109" t="n">
        <f aca="false">'[2]$ лето'!ay1484*1.1</f>
        <v>4015</v>
      </c>
      <c r="J1484" s="85" t="n">
        <v>2016</v>
      </c>
    </row>
    <row r="1485" customFormat="false" ht="15" hidden="true" customHeight="false" outlineLevel="0" collapsed="false">
      <c r="A1485" s="115" t="s">
        <v>2068</v>
      </c>
      <c r="B1485" s="115" t="s">
        <v>615</v>
      </c>
      <c r="C1485" s="107" t="s">
        <v>2072</v>
      </c>
      <c r="D1485" s="107"/>
      <c r="E1485" s="107"/>
      <c r="F1485" s="107"/>
      <c r="G1485" s="108"/>
      <c r="H1485" s="105" t="n">
        <f aca="false">'[2]$ лето'!j1485-'[2]$ лето'!au1485-'[2]$ лето'!at1485-'[2]$ лето'!as1485-'[2]$ лето'!ar1485-'[2]$ лето'!aq1485-'[2]$ лето'!ap1485-'[2]$ лето'!an1485-'[2]$ лето'!am1485-'[2]$ лето'!al1485-'[2]$ лето'!ak1485-'[2]$ лето'!aj1485-'[2]$ лето'!ah1485-'[2]$ лето'!ag1485-'[2]$ лето'!af1485-'[2]$ лето'!ae1485-'[2]$ лето'!ad1485-'[2]$ лето'!ab1485-'[2]$ лето'!aa1485-'[2]$ лето'!z1485-'[2]$ лето'!y1485-'[2]$ лето'!x1485-'[2]$ лето'!v1485-'[2]$ лето'!u1485-'[2]$ лето'!t1485-'[2]$ лето'!s1485-'[2]$ лето'!r1485-'[2]$ лето'!p1485-'[2]$ лето'!o1485-'[2]$ лето'!n1485-'[2]$ лето'!m1485-'[2]$ лето'!l1485+'[2]$ лето'!k1485+'[2]$ лето'!q1485+'[2]$ лето'!w1485+'[2]$ лето'!ac1485+'[2]$ лето'!ai1485+'[2]$ лето'!ao1485</f>
        <v>0</v>
      </c>
      <c r="I1485" s="109" t="n">
        <f aca="false">'[2]$ лето'!ay1485*1.1</f>
        <v>2864.4</v>
      </c>
    </row>
    <row r="1486" customFormat="false" ht="15" hidden="true" customHeight="false" outlineLevel="0" collapsed="false">
      <c r="A1486" s="115" t="s">
        <v>2068</v>
      </c>
      <c r="B1486" s="115" t="s">
        <v>589</v>
      </c>
      <c r="C1486" s="107" t="s">
        <v>2073</v>
      </c>
      <c r="D1486" s="107"/>
      <c r="E1486" s="107"/>
      <c r="F1486" s="107"/>
      <c r="G1486" s="108"/>
      <c r="H1486" s="105" t="n">
        <f aca="false">'[2]$ лето'!j1486-'[2]$ лето'!au1486-'[2]$ лето'!at1486-'[2]$ лето'!as1486-'[2]$ лето'!ar1486-'[2]$ лето'!aq1486-'[2]$ лето'!ap1486-'[2]$ лето'!an1486-'[2]$ лето'!am1486-'[2]$ лето'!al1486-'[2]$ лето'!ak1486-'[2]$ лето'!aj1486-'[2]$ лето'!ah1486-'[2]$ лето'!ag1486-'[2]$ лето'!af1486-'[2]$ лето'!ae1486-'[2]$ лето'!ad1486-'[2]$ лето'!ab1486-'[2]$ лето'!aa1486-'[2]$ лето'!z1486-'[2]$ лето'!y1486-'[2]$ лето'!x1486-'[2]$ лето'!v1486-'[2]$ лето'!u1486-'[2]$ лето'!t1486-'[2]$ лето'!s1486-'[2]$ лето'!r1486-'[2]$ лето'!p1486-'[2]$ лето'!o1486-'[2]$ лето'!n1486-'[2]$ лето'!m1486-'[2]$ лето'!l1486+'[2]$ лето'!k1486+'[2]$ лето'!q1486+'[2]$ лето'!w1486+'[2]$ лето'!ac1486+'[2]$ лето'!ai1486+'[2]$ лето'!ao1486</f>
        <v>0</v>
      </c>
      <c r="I1486" s="109" t="n">
        <f aca="false">'[2]$ лето'!ay1486*1.1</f>
        <v>3850</v>
      </c>
    </row>
    <row r="1487" customFormat="false" ht="15" hidden="true" customHeight="false" outlineLevel="0" collapsed="false">
      <c r="A1487" s="115" t="s">
        <v>2074</v>
      </c>
      <c r="B1487" s="115" t="s">
        <v>568</v>
      </c>
      <c r="C1487" s="107" t="s">
        <v>2075</v>
      </c>
      <c r="D1487" s="107"/>
      <c r="E1487" s="107"/>
      <c r="F1487" s="107"/>
      <c r="G1487" s="108" t="s">
        <v>640</v>
      </c>
      <c r="H1487" s="105" t="n">
        <f aca="false">'[2]$ лето'!j1487-'[2]$ лето'!au1487-'[2]$ лето'!at1487-'[2]$ лето'!as1487-'[2]$ лето'!ar1487-'[2]$ лето'!aq1487-'[2]$ лето'!ap1487-'[2]$ лето'!an1487-'[2]$ лето'!am1487-'[2]$ лето'!al1487-'[2]$ лето'!ak1487-'[2]$ лето'!aj1487-'[2]$ лето'!ah1487-'[2]$ лето'!ag1487-'[2]$ лето'!af1487-'[2]$ лето'!ae1487-'[2]$ лето'!ad1487-'[2]$ лето'!ab1487-'[2]$ лето'!aa1487-'[2]$ лето'!z1487-'[2]$ лето'!y1487-'[2]$ лето'!x1487-'[2]$ лето'!v1487-'[2]$ лето'!u1487-'[2]$ лето'!t1487-'[2]$ лето'!s1487-'[2]$ лето'!r1487-'[2]$ лето'!p1487-'[2]$ лето'!o1487-'[2]$ лето'!n1487-'[2]$ лето'!m1487-'[2]$ лето'!l1487+'[2]$ лето'!k1487+'[2]$ лето'!q1487+'[2]$ лето'!w1487+'[2]$ лето'!ac1487+'[2]$ лето'!ai1487+'[2]$ лето'!ao1487</f>
        <v>0</v>
      </c>
      <c r="I1487" s="109" t="n">
        <f aca="false">'[2]$ лето'!ay1487*1.1</f>
        <v>2833.6</v>
      </c>
      <c r="J1487" s="85" t="n">
        <v>2017</v>
      </c>
    </row>
    <row r="1488" customFormat="false" ht="15" hidden="true" customHeight="false" outlineLevel="0" collapsed="false">
      <c r="A1488" s="115" t="s">
        <v>2074</v>
      </c>
      <c r="B1488" s="115" t="s">
        <v>601</v>
      </c>
      <c r="C1488" s="107" t="s">
        <v>2076</v>
      </c>
      <c r="D1488" s="107"/>
      <c r="E1488" s="107"/>
      <c r="F1488" s="107"/>
      <c r="G1488" s="108" t="s">
        <v>876</v>
      </c>
      <c r="H1488" s="105" t="n">
        <f aca="false">'[2]$ лето'!j1488-'[2]$ лето'!au1488-'[2]$ лето'!at1488-'[2]$ лето'!as1488-'[2]$ лето'!ar1488-'[2]$ лето'!aq1488-'[2]$ лето'!ap1488-'[2]$ лето'!an1488-'[2]$ лето'!am1488-'[2]$ лето'!al1488-'[2]$ лето'!ak1488-'[2]$ лето'!aj1488-'[2]$ лето'!ah1488-'[2]$ лето'!ag1488-'[2]$ лето'!af1488-'[2]$ лето'!ae1488-'[2]$ лето'!ad1488-'[2]$ лето'!ab1488-'[2]$ лето'!aa1488-'[2]$ лето'!z1488-'[2]$ лето'!y1488-'[2]$ лето'!x1488-'[2]$ лето'!v1488-'[2]$ лето'!u1488-'[2]$ лето'!t1488-'[2]$ лето'!s1488-'[2]$ лето'!r1488-'[2]$ лето'!p1488-'[2]$ лето'!o1488-'[2]$ лето'!n1488-'[2]$ лето'!m1488-'[2]$ лето'!l1488+'[2]$ лето'!k1488+'[2]$ лето'!q1488+'[2]$ лето'!w1488+'[2]$ лето'!ac1488+'[2]$ лето'!ai1488+'[2]$ лето'!ao1488</f>
        <v>0</v>
      </c>
      <c r="I1488" s="109" t="n">
        <f aca="false">'[2]$ лето'!ay1488*1.1</f>
        <v>4466</v>
      </c>
    </row>
    <row r="1489" customFormat="false" ht="15" hidden="true" customHeight="false" outlineLevel="0" collapsed="false">
      <c r="A1489" s="115" t="s">
        <v>2074</v>
      </c>
      <c r="B1489" s="115" t="s">
        <v>658</v>
      </c>
      <c r="C1489" s="107" t="s">
        <v>2077</v>
      </c>
      <c r="D1489" s="107"/>
      <c r="E1489" s="107"/>
      <c r="F1489" s="107"/>
      <c r="G1489" s="108" t="s">
        <v>868</v>
      </c>
      <c r="H1489" s="105" t="n">
        <f aca="false">'[2]$ лето'!j1489-'[2]$ лето'!au1489-'[2]$ лето'!at1489-'[2]$ лето'!as1489-'[2]$ лето'!ar1489-'[2]$ лето'!aq1489-'[2]$ лето'!ap1489-'[2]$ лето'!an1489-'[2]$ лето'!am1489-'[2]$ лето'!al1489-'[2]$ лето'!ak1489-'[2]$ лето'!aj1489-'[2]$ лето'!ah1489-'[2]$ лето'!ag1489-'[2]$ лето'!af1489-'[2]$ лето'!ae1489-'[2]$ лето'!ad1489-'[2]$ лето'!ab1489-'[2]$ лето'!aa1489-'[2]$ лето'!z1489-'[2]$ лето'!y1489-'[2]$ лето'!x1489-'[2]$ лето'!v1489-'[2]$ лето'!u1489-'[2]$ лето'!t1489-'[2]$ лето'!s1489-'[2]$ лето'!r1489-'[2]$ лето'!p1489-'[2]$ лето'!o1489-'[2]$ лето'!n1489-'[2]$ лето'!m1489-'[2]$ лето'!l1489+'[2]$ лето'!k1489+'[2]$ лето'!q1489+'[2]$ лето'!w1489+'[2]$ лето'!ac1489+'[2]$ лето'!ai1489+'[2]$ лето'!ao1489</f>
        <v>0</v>
      </c>
      <c r="I1489" s="109" t="n">
        <f aca="false">'[2]$ лето'!ay1489*1.1</f>
        <v>4774</v>
      </c>
    </row>
    <row r="1490" customFormat="false" ht="15" hidden="true" customHeight="false" outlineLevel="0" collapsed="false">
      <c r="A1490" s="123" t="s">
        <v>2074</v>
      </c>
      <c r="B1490" s="123" t="s">
        <v>604</v>
      </c>
      <c r="C1490" s="107" t="s">
        <v>1244</v>
      </c>
      <c r="D1490" s="107"/>
      <c r="E1490" s="107"/>
      <c r="F1490" s="107"/>
      <c r="G1490" s="108" t="s">
        <v>868</v>
      </c>
      <c r="H1490" s="105" t="n">
        <f aca="false">'[2]$ лето'!j1490-'[2]$ лето'!au1490-'[2]$ лето'!at1490-'[2]$ лето'!as1490-'[2]$ лето'!ar1490-'[2]$ лето'!aq1490-'[2]$ лето'!ap1490-'[2]$ лето'!an1490-'[2]$ лето'!am1490-'[2]$ лето'!al1490-'[2]$ лето'!ak1490-'[2]$ лето'!aj1490-'[2]$ лето'!ah1490-'[2]$ лето'!ag1490-'[2]$ лето'!af1490-'[2]$ лето'!ae1490-'[2]$ лето'!ad1490-'[2]$ лето'!ab1490-'[2]$ лето'!aa1490-'[2]$ лето'!z1490-'[2]$ лето'!y1490-'[2]$ лето'!x1490-'[2]$ лето'!v1490-'[2]$ лето'!u1490-'[2]$ лето'!t1490-'[2]$ лето'!s1490-'[2]$ лето'!r1490-'[2]$ лето'!p1490-'[2]$ лето'!o1490-'[2]$ лето'!n1490-'[2]$ лето'!m1490-'[2]$ лето'!l1490+'[2]$ лето'!k1490+'[2]$ лето'!q1490+'[2]$ лето'!w1490+'[2]$ лето'!ac1490+'[2]$ лето'!ai1490+'[2]$ лето'!ao1490</f>
        <v>0</v>
      </c>
      <c r="I1490" s="109" t="n">
        <f aca="false">'[2]$ лето'!ay1490*1.1</f>
        <v>4466</v>
      </c>
    </row>
    <row r="1491" customFormat="false" ht="15" hidden="true" customHeight="false" outlineLevel="0" collapsed="false">
      <c r="A1491" s="115" t="s">
        <v>2074</v>
      </c>
      <c r="B1491" s="115" t="s">
        <v>668</v>
      </c>
      <c r="C1491" s="116" t="s">
        <v>2078</v>
      </c>
      <c r="D1491" s="116"/>
      <c r="E1491" s="116"/>
      <c r="F1491" s="116"/>
      <c r="G1491" s="108" t="s">
        <v>609</v>
      </c>
      <c r="H1491" s="105" t="n">
        <f aca="false">'[2]$ лето'!j1491-'[2]$ лето'!au1491-'[2]$ лето'!at1491-'[2]$ лето'!as1491-'[2]$ лето'!ar1491-'[2]$ лето'!aq1491-'[2]$ лето'!ap1491-'[2]$ лето'!an1491-'[2]$ лето'!am1491-'[2]$ лето'!al1491-'[2]$ лето'!ak1491-'[2]$ лето'!aj1491-'[2]$ лето'!ah1491-'[2]$ лето'!ag1491-'[2]$ лето'!af1491-'[2]$ лето'!ae1491-'[2]$ лето'!ad1491-'[2]$ лето'!ab1491-'[2]$ лето'!aa1491-'[2]$ лето'!z1491-'[2]$ лето'!y1491-'[2]$ лето'!x1491-'[2]$ лето'!v1491-'[2]$ лето'!u1491-'[2]$ лето'!t1491-'[2]$ лето'!s1491-'[2]$ лето'!r1491-'[2]$ лето'!p1491-'[2]$ лето'!o1491-'[2]$ лето'!n1491-'[2]$ лето'!m1491-'[2]$ лето'!l1491+'[2]$ лето'!k1491+'[2]$ лето'!q1491+'[2]$ лето'!w1491+'[2]$ лето'!ac1491+'[2]$ лето'!ai1491+'[2]$ лето'!ao1491</f>
        <v>0</v>
      </c>
      <c r="I1491" s="109" t="n">
        <f aca="false">'[2]$ лето'!ay1491*1.1</f>
        <v>2926</v>
      </c>
    </row>
    <row r="1492" customFormat="false" ht="15" hidden="false" customHeight="false" outlineLevel="0" collapsed="false">
      <c r="A1492" s="115" t="s">
        <v>2074</v>
      </c>
      <c r="B1492" s="115" t="s">
        <v>593</v>
      </c>
      <c r="C1492" s="116" t="s">
        <v>2079</v>
      </c>
      <c r="D1492" s="116"/>
      <c r="E1492" s="116" t="n">
        <v>99</v>
      </c>
      <c r="F1492" s="116" t="s">
        <v>1727</v>
      </c>
      <c r="G1492" s="108" t="s">
        <v>933</v>
      </c>
      <c r="H1492" s="105" t="n">
        <f aca="false">'[2]$ лето'!j1492-'[2]$ лето'!au1492-'[2]$ лето'!at1492-'[2]$ лето'!as1492-'[2]$ лето'!ar1492-'[2]$ лето'!aq1492-'[2]$ лето'!ap1492-'[2]$ лето'!an1492-'[2]$ лето'!am1492-'[2]$ лето'!al1492-'[2]$ лето'!ak1492-'[2]$ лето'!aj1492-'[2]$ лето'!ah1492-'[2]$ лето'!ag1492-'[2]$ лето'!af1492-'[2]$ лето'!ae1492-'[2]$ лето'!ad1492-'[2]$ лето'!ab1492-'[2]$ лето'!aa1492-'[2]$ лето'!z1492-'[2]$ лето'!y1492-'[2]$ лето'!x1492-'[2]$ лето'!v1492-'[2]$ лето'!u1492-'[2]$ лето'!t1492-'[2]$ лето'!s1492-'[2]$ лето'!r1492-'[2]$ лето'!p1492-'[2]$ лето'!o1492-'[2]$ лето'!n1492-'[2]$ лето'!m1492-'[2]$ лето'!l1492+'[2]$ лето'!k1492+'[2]$ лето'!q1492+'[2]$ лето'!w1492+'[2]$ лето'!ac1492+'[2]$ лето'!ai1492+'[2]$ лето'!ao1492</f>
        <v>8</v>
      </c>
      <c r="I1492" s="109" t="n">
        <f aca="false">'[2]$ лето'!ay1492*1.1</f>
        <v>4774</v>
      </c>
      <c r="J1492" s="85" t="n">
        <v>2016</v>
      </c>
    </row>
    <row r="1493" customFormat="false" ht="15" hidden="false" customHeight="false" outlineLevel="0" collapsed="false">
      <c r="A1493" s="115" t="s">
        <v>2074</v>
      </c>
      <c r="B1493" s="115" t="s">
        <v>593</v>
      </c>
      <c r="C1493" s="116" t="s">
        <v>2080</v>
      </c>
      <c r="D1493" s="116"/>
      <c r="E1493" s="116"/>
      <c r="F1493" s="116"/>
      <c r="G1493" s="108" t="s">
        <v>933</v>
      </c>
      <c r="H1493" s="105" t="n">
        <f aca="false">'[2]$ лето'!j1493-'[2]$ лето'!au1493-'[2]$ лето'!at1493-'[2]$ лето'!as1493-'[2]$ лето'!ar1493-'[2]$ лето'!aq1493-'[2]$ лето'!ap1493-'[2]$ лето'!an1493-'[2]$ лето'!am1493-'[2]$ лето'!al1493-'[2]$ лето'!ak1493-'[2]$ лето'!aj1493-'[2]$ лето'!ah1493-'[2]$ лето'!ag1493-'[2]$ лето'!af1493-'[2]$ лето'!ae1493-'[2]$ лето'!ad1493-'[2]$ лето'!ab1493-'[2]$ лето'!aa1493-'[2]$ лето'!z1493-'[2]$ лето'!y1493-'[2]$ лето'!x1493-'[2]$ лето'!v1493-'[2]$ лето'!u1493-'[2]$ лето'!t1493-'[2]$ лето'!s1493-'[2]$ лето'!r1493-'[2]$ лето'!p1493-'[2]$ лето'!o1493-'[2]$ лето'!n1493-'[2]$ лето'!m1493-'[2]$ лето'!l1493+'[2]$ лето'!k1493+'[2]$ лето'!q1493+'[2]$ лето'!w1493+'[2]$ лето'!ac1493+'[2]$ лето'!ai1493+'[2]$ лето'!ao1493</f>
        <v>6</v>
      </c>
      <c r="I1493" s="109" t="n">
        <f aca="false">'[2]$ лето'!ay1493*1.1</f>
        <v>4774</v>
      </c>
      <c r="J1493" s="85" t="n">
        <v>2016</v>
      </c>
    </row>
    <row r="1494" customFormat="false" ht="15" hidden="false" customHeight="false" outlineLevel="0" collapsed="false">
      <c r="A1494" s="115" t="s">
        <v>2074</v>
      </c>
      <c r="B1494" s="115" t="s">
        <v>617</v>
      </c>
      <c r="C1494" s="116" t="s">
        <v>2081</v>
      </c>
      <c r="D1494" s="116"/>
      <c r="E1494" s="116"/>
      <c r="F1494" s="116"/>
      <c r="G1494" s="108" t="s">
        <v>625</v>
      </c>
      <c r="H1494" s="105" t="n">
        <f aca="false">'[2]$ лето'!j1494-'[2]$ лето'!au1494-'[2]$ лето'!at1494-'[2]$ лето'!as1494-'[2]$ лето'!ar1494-'[2]$ лето'!aq1494-'[2]$ лето'!ap1494-'[2]$ лето'!an1494-'[2]$ лето'!am1494-'[2]$ лето'!al1494-'[2]$ лето'!ak1494-'[2]$ лето'!aj1494-'[2]$ лето'!ah1494-'[2]$ лето'!ag1494-'[2]$ лето'!af1494-'[2]$ лето'!ae1494-'[2]$ лето'!ad1494-'[2]$ лето'!ab1494-'[2]$ лето'!aa1494-'[2]$ лето'!z1494-'[2]$ лето'!y1494-'[2]$ лето'!x1494-'[2]$ лето'!v1494-'[2]$ лето'!u1494-'[2]$ лето'!t1494-'[2]$ лето'!s1494-'[2]$ лето'!r1494-'[2]$ лето'!p1494-'[2]$ лето'!o1494-'[2]$ лето'!n1494-'[2]$ лето'!m1494-'[2]$ лето'!l1494+'[2]$ лето'!k1494+'[2]$ лето'!q1494+'[2]$ лето'!w1494+'[2]$ лето'!ac1494+'[2]$ лето'!ai1494+'[2]$ лето'!ao1494</f>
        <v>2</v>
      </c>
      <c r="I1494" s="109" t="n">
        <f aca="false">'[2]$ лето'!ay1494*1.1</f>
        <v>2156</v>
      </c>
      <c r="J1494" s="85" t="n">
        <v>2018</v>
      </c>
    </row>
    <row r="1495" customFormat="false" ht="15" hidden="false" customHeight="false" outlineLevel="0" collapsed="false">
      <c r="A1495" s="115" t="s">
        <v>2074</v>
      </c>
      <c r="B1495" s="115" t="s">
        <v>981</v>
      </c>
      <c r="C1495" s="116" t="s">
        <v>2082</v>
      </c>
      <c r="D1495" s="116"/>
      <c r="E1495" s="116"/>
      <c r="F1495" s="116"/>
      <c r="G1495" s="108" t="s">
        <v>640</v>
      </c>
      <c r="H1495" s="105" t="n">
        <f aca="false">'[2]$ лето'!j1495-'[2]$ лето'!au1495-'[2]$ лето'!at1495-'[2]$ лето'!as1495-'[2]$ лето'!ar1495-'[2]$ лето'!aq1495-'[2]$ лето'!ap1495-'[2]$ лето'!an1495-'[2]$ лето'!am1495-'[2]$ лето'!al1495-'[2]$ лето'!ak1495-'[2]$ лето'!aj1495-'[2]$ лето'!ah1495-'[2]$ лето'!ag1495-'[2]$ лето'!af1495-'[2]$ лето'!ae1495-'[2]$ лето'!ad1495-'[2]$ лето'!ab1495-'[2]$ лето'!aa1495-'[2]$ лето'!z1495-'[2]$ лето'!y1495-'[2]$ лето'!x1495-'[2]$ лето'!v1495-'[2]$ лето'!u1495-'[2]$ лето'!t1495-'[2]$ лето'!s1495-'[2]$ лето'!r1495-'[2]$ лето'!p1495-'[2]$ лето'!o1495-'[2]$ лето'!n1495-'[2]$ лето'!m1495-'[2]$ лето'!l1495+'[2]$ лето'!k1495+'[2]$ лето'!q1495+'[2]$ лето'!w1495+'[2]$ лето'!ac1495+'[2]$ лето'!ai1495+'[2]$ лето'!ao1495</f>
        <v>4</v>
      </c>
      <c r="I1495" s="109" t="n">
        <f aca="false">'[2]$ лето'!ay1495*1.1</f>
        <v>4158</v>
      </c>
      <c r="J1495" s="85" t="n">
        <v>2017</v>
      </c>
    </row>
    <row r="1496" customFormat="false" ht="15" hidden="true" customHeight="false" outlineLevel="0" collapsed="false">
      <c r="A1496" s="115" t="s">
        <v>2083</v>
      </c>
      <c r="B1496" s="115" t="s">
        <v>568</v>
      </c>
      <c r="C1496" s="116" t="s">
        <v>2084</v>
      </c>
      <c r="D1496" s="116"/>
      <c r="E1496" s="116"/>
      <c r="F1496" s="116"/>
      <c r="G1496" s="108" t="s">
        <v>868</v>
      </c>
      <c r="H1496" s="105" t="n">
        <f aca="false">'[2]$ лето'!j1496-'[2]$ лето'!au1496-'[2]$ лето'!at1496-'[2]$ лето'!as1496-'[2]$ лето'!ar1496-'[2]$ лето'!aq1496-'[2]$ лето'!ap1496-'[2]$ лето'!an1496-'[2]$ лето'!am1496-'[2]$ лето'!al1496-'[2]$ лето'!ak1496-'[2]$ лето'!aj1496-'[2]$ лето'!ah1496-'[2]$ лето'!ag1496-'[2]$ лето'!af1496-'[2]$ лето'!ae1496-'[2]$ лето'!ad1496-'[2]$ лето'!ab1496-'[2]$ лето'!aa1496-'[2]$ лето'!z1496-'[2]$ лето'!y1496-'[2]$ лето'!x1496-'[2]$ лето'!v1496-'[2]$ лето'!u1496-'[2]$ лето'!t1496-'[2]$ лето'!s1496-'[2]$ лето'!r1496-'[2]$ лето'!p1496-'[2]$ лето'!o1496-'[2]$ лето'!n1496-'[2]$ лето'!m1496-'[2]$ лето'!l1496+'[2]$ лето'!k1496+'[2]$ лето'!q1496+'[2]$ лето'!w1496+'[2]$ лето'!ac1496+'[2]$ лето'!ai1496+'[2]$ лето'!ao1496</f>
        <v>0</v>
      </c>
      <c r="I1496" s="109" t="n">
        <f aca="false">'[2]$ лето'!ay1496*1.1</f>
        <v>2618</v>
      </c>
    </row>
    <row r="1497" customFormat="false" ht="15" hidden="false" customHeight="false" outlineLevel="0" collapsed="false">
      <c r="A1497" s="129" t="s">
        <v>2083</v>
      </c>
      <c r="B1497" s="129" t="s">
        <v>601</v>
      </c>
      <c r="C1497" s="131" t="s">
        <v>2085</v>
      </c>
      <c r="D1497" s="131"/>
      <c r="E1497" s="131"/>
      <c r="F1497" s="131"/>
      <c r="G1497" s="132"/>
      <c r="H1497" s="105" t="n">
        <f aca="false">'[2]$ лето'!j1497-'[2]$ лето'!au1497-'[2]$ лето'!at1497-'[2]$ лето'!as1497-'[2]$ лето'!ar1497-'[2]$ лето'!aq1497-'[2]$ лето'!ap1497-'[2]$ лето'!an1497-'[2]$ лето'!am1497-'[2]$ лето'!al1497-'[2]$ лето'!ak1497-'[2]$ лето'!aj1497-'[2]$ лето'!ah1497-'[2]$ лето'!ag1497-'[2]$ лето'!af1497-'[2]$ лето'!ae1497-'[2]$ лето'!ad1497-'[2]$ лето'!ab1497-'[2]$ лето'!aa1497-'[2]$ лето'!z1497-'[2]$ лето'!y1497-'[2]$ лето'!x1497-'[2]$ лето'!v1497-'[2]$ лето'!u1497-'[2]$ лето'!t1497-'[2]$ лето'!s1497-'[2]$ лето'!r1497-'[2]$ лето'!p1497-'[2]$ лето'!o1497-'[2]$ лето'!n1497-'[2]$ лето'!m1497-'[2]$ лето'!l1497+'[2]$ лето'!k1497+'[2]$ лето'!q1497+'[2]$ лето'!w1497+'[2]$ лето'!ac1497+'[2]$ лето'!ai1497+'[2]$ лето'!ao1497</f>
        <v>4</v>
      </c>
      <c r="I1497" s="133" t="n">
        <f aca="false">'[2]$ лето'!ay1497*1.1</f>
        <v>902</v>
      </c>
    </row>
    <row r="1498" customFormat="false" ht="15" hidden="false" customHeight="false" outlineLevel="0" collapsed="false">
      <c r="A1498" s="115" t="s">
        <v>2083</v>
      </c>
      <c r="B1498" s="115" t="s">
        <v>658</v>
      </c>
      <c r="C1498" s="116" t="s">
        <v>2086</v>
      </c>
      <c r="D1498" s="116"/>
      <c r="E1498" s="116"/>
      <c r="F1498" s="116"/>
      <c r="G1498" s="108"/>
      <c r="H1498" s="105" t="n">
        <f aca="false">'[2]$ лето'!j1498-'[2]$ лето'!au1498-'[2]$ лето'!at1498-'[2]$ лето'!as1498-'[2]$ лето'!ar1498-'[2]$ лето'!aq1498-'[2]$ лето'!ap1498-'[2]$ лето'!an1498-'[2]$ лето'!am1498-'[2]$ лето'!al1498-'[2]$ лето'!ak1498-'[2]$ лето'!aj1498-'[2]$ лето'!ah1498-'[2]$ лето'!ag1498-'[2]$ лето'!af1498-'[2]$ лето'!ae1498-'[2]$ лето'!ad1498-'[2]$ лето'!ab1498-'[2]$ лето'!aa1498-'[2]$ лето'!z1498-'[2]$ лето'!y1498-'[2]$ лето'!x1498-'[2]$ лето'!v1498-'[2]$ лето'!u1498-'[2]$ лето'!t1498-'[2]$ лето'!s1498-'[2]$ лето'!r1498-'[2]$ лето'!p1498-'[2]$ лето'!o1498-'[2]$ лето'!n1498-'[2]$ лето'!m1498-'[2]$ лето'!l1498+'[2]$ лето'!k1498+'[2]$ лето'!q1498+'[2]$ лето'!w1498+'[2]$ лето'!ac1498+'[2]$ лето'!ai1498+'[2]$ лето'!ao1498</f>
        <v>2</v>
      </c>
      <c r="I1498" s="109" t="n">
        <f aca="false">'[2]$ лето'!ay1498*1.1</f>
        <v>3696</v>
      </c>
      <c r="J1498" s="85" t="n">
        <v>2015</v>
      </c>
    </row>
    <row r="1499" customFormat="false" ht="15" hidden="true" customHeight="false" outlineLevel="0" collapsed="false">
      <c r="A1499" s="115" t="s">
        <v>2083</v>
      </c>
      <c r="B1499" s="115" t="s">
        <v>658</v>
      </c>
      <c r="C1499" s="116" t="s">
        <v>2087</v>
      </c>
      <c r="D1499" s="116"/>
      <c r="E1499" s="116"/>
      <c r="F1499" s="116"/>
      <c r="G1499" s="108" t="s">
        <v>2061</v>
      </c>
      <c r="H1499" s="105" t="n">
        <f aca="false">'[2]$ лето'!j1499-'[2]$ лето'!au1499-'[2]$ лето'!at1499-'[2]$ лето'!as1499-'[2]$ лето'!ar1499-'[2]$ лето'!aq1499-'[2]$ лето'!ap1499-'[2]$ лето'!an1499-'[2]$ лето'!am1499-'[2]$ лето'!al1499-'[2]$ лето'!ak1499-'[2]$ лето'!aj1499-'[2]$ лето'!ah1499-'[2]$ лето'!ag1499-'[2]$ лето'!af1499-'[2]$ лето'!ae1499-'[2]$ лето'!ad1499-'[2]$ лето'!ab1499-'[2]$ лето'!aa1499-'[2]$ лето'!z1499-'[2]$ лето'!y1499-'[2]$ лето'!x1499-'[2]$ лето'!v1499-'[2]$ лето'!u1499-'[2]$ лето'!t1499-'[2]$ лето'!s1499-'[2]$ лето'!r1499-'[2]$ лето'!p1499-'[2]$ лето'!o1499-'[2]$ лето'!n1499-'[2]$ лето'!m1499-'[2]$ лето'!l1499+'[2]$ лето'!k1499+'[2]$ лето'!q1499+'[2]$ лето'!w1499+'[2]$ лето'!ac1499+'[2]$ лето'!ai1499+'[2]$ лето'!ao1499</f>
        <v>0</v>
      </c>
      <c r="I1499" s="109" t="n">
        <f aca="false">'[2]$ лето'!ay1499*1.1</f>
        <v>4004</v>
      </c>
    </row>
    <row r="1500" customFormat="false" ht="15" hidden="true" customHeight="false" outlineLevel="0" collapsed="false">
      <c r="A1500" s="115" t="s">
        <v>2083</v>
      </c>
      <c r="B1500" s="115" t="s">
        <v>553</v>
      </c>
      <c r="C1500" s="116" t="s">
        <v>2088</v>
      </c>
      <c r="D1500" s="116"/>
      <c r="E1500" s="116"/>
      <c r="F1500" s="116"/>
      <c r="G1500" s="108"/>
      <c r="H1500" s="105" t="n">
        <f aca="false">'[2]$ лето'!j1500-'[2]$ лето'!au1500-'[2]$ лето'!at1500-'[2]$ лето'!as1500-'[2]$ лето'!ar1500-'[2]$ лето'!aq1500-'[2]$ лето'!ap1500-'[2]$ лето'!an1500-'[2]$ лето'!am1500-'[2]$ лето'!al1500-'[2]$ лето'!ak1500-'[2]$ лето'!aj1500-'[2]$ лето'!ah1500-'[2]$ лето'!ag1500-'[2]$ лето'!af1500-'[2]$ лето'!ae1500-'[2]$ лето'!ad1500-'[2]$ лето'!ab1500-'[2]$ лето'!aa1500-'[2]$ лето'!z1500-'[2]$ лето'!y1500-'[2]$ лето'!x1500-'[2]$ лето'!v1500-'[2]$ лето'!u1500-'[2]$ лето'!t1500-'[2]$ лето'!s1500-'[2]$ лето'!r1500-'[2]$ лето'!p1500-'[2]$ лето'!o1500-'[2]$ лето'!n1500-'[2]$ лето'!m1500-'[2]$ лето'!l1500+'[2]$ лето'!k1500+'[2]$ лето'!q1500+'[2]$ лето'!w1500+'[2]$ лето'!ac1500+'[2]$ лето'!ai1500+'[2]$ лето'!ao1500</f>
        <v>0</v>
      </c>
      <c r="I1500" s="109" t="n">
        <f aca="false">'[2]$ лето'!ay1500*1.1</f>
        <v>4835.6</v>
      </c>
    </row>
    <row r="1501" customFormat="false" ht="15" hidden="true" customHeight="false" outlineLevel="0" collapsed="false">
      <c r="A1501" s="115" t="s">
        <v>2083</v>
      </c>
      <c r="B1501" s="115" t="s">
        <v>553</v>
      </c>
      <c r="C1501" s="116" t="s">
        <v>2089</v>
      </c>
      <c r="D1501" s="116"/>
      <c r="E1501" s="116"/>
      <c r="F1501" s="116"/>
      <c r="G1501" s="108"/>
      <c r="H1501" s="105" t="n">
        <f aca="false">'[2]$ лето'!j1501-'[2]$ лето'!au1501-'[2]$ лето'!at1501-'[2]$ лето'!as1501-'[2]$ лето'!ar1501-'[2]$ лето'!aq1501-'[2]$ лето'!ap1501-'[2]$ лето'!an1501-'[2]$ лето'!am1501-'[2]$ лето'!al1501-'[2]$ лето'!ak1501-'[2]$ лето'!aj1501-'[2]$ лето'!ah1501-'[2]$ лето'!ag1501-'[2]$ лето'!af1501-'[2]$ лето'!ae1501-'[2]$ лето'!ad1501-'[2]$ лето'!ab1501-'[2]$ лето'!aa1501-'[2]$ лето'!z1501-'[2]$ лето'!y1501-'[2]$ лето'!x1501-'[2]$ лето'!v1501-'[2]$ лето'!u1501-'[2]$ лето'!t1501-'[2]$ лето'!s1501-'[2]$ лето'!r1501-'[2]$ лето'!p1501-'[2]$ лето'!o1501-'[2]$ лето'!n1501-'[2]$ лето'!m1501-'[2]$ лето'!l1501+'[2]$ лето'!k1501+'[2]$ лето'!q1501+'[2]$ лето'!w1501+'[2]$ лето'!ac1501+'[2]$ лето'!ai1501+'[2]$ лето'!ao1501</f>
        <v>0</v>
      </c>
      <c r="I1501" s="109" t="n">
        <f aca="false">'[2]$ лето'!ay1501*1.1</f>
        <v>1848</v>
      </c>
      <c r="J1501" s="85" t="s">
        <v>1993</v>
      </c>
    </row>
    <row r="1502" customFormat="false" ht="15" hidden="true" customHeight="false" outlineLevel="0" collapsed="false">
      <c r="A1502" s="115" t="s">
        <v>2083</v>
      </c>
      <c r="B1502" s="115" t="s">
        <v>948</v>
      </c>
      <c r="C1502" s="116" t="s">
        <v>2090</v>
      </c>
      <c r="D1502" s="116"/>
      <c r="E1502" s="116"/>
      <c r="F1502" s="116"/>
      <c r="G1502" s="108"/>
      <c r="H1502" s="105" t="n">
        <f aca="false">'[2]$ лето'!j1502-'[2]$ лето'!au1502-'[2]$ лето'!at1502-'[2]$ лето'!as1502-'[2]$ лето'!ar1502-'[2]$ лето'!aq1502-'[2]$ лето'!ap1502-'[2]$ лето'!an1502-'[2]$ лето'!am1502-'[2]$ лето'!al1502-'[2]$ лето'!ak1502-'[2]$ лето'!aj1502-'[2]$ лето'!ah1502-'[2]$ лето'!ag1502-'[2]$ лето'!af1502-'[2]$ лето'!ae1502-'[2]$ лето'!ad1502-'[2]$ лето'!ab1502-'[2]$ лето'!aa1502-'[2]$ лето'!z1502-'[2]$ лето'!y1502-'[2]$ лето'!x1502-'[2]$ лето'!v1502-'[2]$ лето'!u1502-'[2]$ лето'!t1502-'[2]$ лето'!s1502-'[2]$ лето'!r1502-'[2]$ лето'!p1502-'[2]$ лето'!o1502-'[2]$ лето'!n1502-'[2]$ лето'!m1502-'[2]$ лето'!l1502+'[2]$ лето'!k1502+'[2]$ лето'!q1502+'[2]$ лето'!w1502+'[2]$ лето'!ac1502+'[2]$ лето'!ai1502+'[2]$ лето'!ao1502</f>
        <v>0</v>
      </c>
      <c r="I1502" s="109" t="n">
        <f aca="false">'[2]$ лето'!ay1502*1.1</f>
        <v>5605.6</v>
      </c>
    </row>
    <row r="1503" customFormat="false" ht="15" hidden="true" customHeight="false" outlineLevel="0" collapsed="false">
      <c r="A1503" s="115" t="s">
        <v>2083</v>
      </c>
      <c r="B1503" s="115" t="s">
        <v>606</v>
      </c>
      <c r="C1503" s="116" t="s">
        <v>2091</v>
      </c>
      <c r="D1503" s="116"/>
      <c r="E1503" s="116"/>
      <c r="F1503" s="116"/>
      <c r="G1503" s="108" t="s">
        <v>609</v>
      </c>
      <c r="H1503" s="105" t="n">
        <f aca="false">'[2]$ лето'!j1503-'[2]$ лето'!au1503-'[2]$ лето'!at1503-'[2]$ лето'!as1503-'[2]$ лето'!ar1503-'[2]$ лето'!aq1503-'[2]$ лето'!ap1503-'[2]$ лето'!an1503-'[2]$ лето'!am1503-'[2]$ лето'!al1503-'[2]$ лето'!ak1503-'[2]$ лето'!aj1503-'[2]$ лето'!ah1503-'[2]$ лето'!ag1503-'[2]$ лето'!af1503-'[2]$ лето'!ae1503-'[2]$ лето'!ad1503-'[2]$ лето'!ab1503-'[2]$ лето'!aa1503-'[2]$ лето'!z1503-'[2]$ лето'!y1503-'[2]$ лето'!x1503-'[2]$ лето'!v1503-'[2]$ лето'!u1503-'[2]$ лето'!t1503-'[2]$ лето'!s1503-'[2]$ лето'!r1503-'[2]$ лето'!p1503-'[2]$ лето'!o1503-'[2]$ лето'!n1503-'[2]$ лето'!m1503-'[2]$ лето'!l1503+'[2]$ лето'!k1503+'[2]$ лето'!q1503+'[2]$ лето'!w1503+'[2]$ лето'!ac1503+'[2]$ лето'!ai1503+'[2]$ лето'!ao1503</f>
        <v>0</v>
      </c>
      <c r="I1503" s="109" t="n">
        <f aca="false">'[2]$ лето'!ay1503*1.1</f>
        <v>3418.8</v>
      </c>
      <c r="J1503" s="85" t="n">
        <v>2016</v>
      </c>
    </row>
    <row r="1504" customFormat="false" ht="15" hidden="true" customHeight="false" outlineLevel="0" collapsed="false">
      <c r="A1504" s="115" t="s">
        <v>2083</v>
      </c>
      <c r="B1504" s="115" t="s">
        <v>668</v>
      </c>
      <c r="C1504" s="116" t="s">
        <v>1566</v>
      </c>
      <c r="D1504" s="116"/>
      <c r="E1504" s="116"/>
      <c r="F1504" s="116"/>
      <c r="G1504" s="108" t="s">
        <v>609</v>
      </c>
      <c r="H1504" s="105" t="n">
        <f aca="false">'[2]$ лето'!j1504-'[2]$ лето'!au1504-'[2]$ лето'!at1504-'[2]$ лето'!as1504-'[2]$ лето'!ar1504-'[2]$ лето'!aq1504-'[2]$ лето'!ap1504-'[2]$ лето'!an1504-'[2]$ лето'!am1504-'[2]$ лето'!al1504-'[2]$ лето'!ak1504-'[2]$ лето'!aj1504-'[2]$ лето'!ah1504-'[2]$ лето'!ag1504-'[2]$ лето'!af1504-'[2]$ лето'!ae1504-'[2]$ лето'!ad1504-'[2]$ лето'!ab1504-'[2]$ лето'!aa1504-'[2]$ лето'!z1504-'[2]$ лето'!y1504-'[2]$ лето'!x1504-'[2]$ лето'!v1504-'[2]$ лето'!u1504-'[2]$ лето'!t1504-'[2]$ лето'!s1504-'[2]$ лето'!r1504-'[2]$ лето'!p1504-'[2]$ лето'!o1504-'[2]$ лето'!n1504-'[2]$ лето'!m1504-'[2]$ лето'!l1504+'[2]$ лето'!k1504+'[2]$ лето'!q1504+'[2]$ лето'!w1504+'[2]$ лето'!ac1504+'[2]$ лето'!ai1504+'[2]$ лето'!ao1504</f>
        <v>0</v>
      </c>
      <c r="I1504" s="109" t="n">
        <f aca="false">'[2]$ лето'!ay1504*1.1</f>
        <v>2833.6</v>
      </c>
      <c r="J1504" s="85" t="n">
        <v>2016</v>
      </c>
    </row>
    <row r="1505" customFormat="false" ht="15" hidden="true" customHeight="false" outlineLevel="0" collapsed="false">
      <c r="A1505" s="115" t="s">
        <v>2083</v>
      </c>
      <c r="B1505" s="115" t="s">
        <v>574</v>
      </c>
      <c r="C1505" s="116" t="s">
        <v>1918</v>
      </c>
      <c r="D1505" s="116"/>
      <c r="E1505" s="116"/>
      <c r="F1505" s="116"/>
      <c r="G1505" s="108" t="s">
        <v>576</v>
      </c>
      <c r="H1505" s="105" t="n">
        <f aca="false">'[2]$ лето'!j1505-'[2]$ лето'!au1505-'[2]$ лето'!at1505-'[2]$ лето'!as1505-'[2]$ лето'!ar1505-'[2]$ лето'!aq1505-'[2]$ лето'!ap1505-'[2]$ лето'!an1505-'[2]$ лето'!am1505-'[2]$ лето'!al1505-'[2]$ лето'!ak1505-'[2]$ лето'!aj1505-'[2]$ лето'!ah1505-'[2]$ лето'!ag1505-'[2]$ лето'!af1505-'[2]$ лето'!ae1505-'[2]$ лето'!ad1505-'[2]$ лето'!ab1505-'[2]$ лето'!aa1505-'[2]$ лето'!z1505-'[2]$ лето'!y1505-'[2]$ лето'!x1505-'[2]$ лето'!v1505-'[2]$ лето'!u1505-'[2]$ лето'!t1505-'[2]$ лето'!s1505-'[2]$ лето'!r1505-'[2]$ лето'!p1505-'[2]$ лето'!o1505-'[2]$ лето'!n1505-'[2]$ лето'!m1505-'[2]$ лето'!l1505+'[2]$ лето'!k1505+'[2]$ лето'!q1505+'[2]$ лето'!w1505+'[2]$ лето'!ac1505+'[2]$ лето'!ai1505+'[2]$ лето'!ao1505</f>
        <v>0</v>
      </c>
      <c r="I1505" s="109" t="n">
        <f aca="false">'[2]$ лето'!ay1505*1.1</f>
        <v>2648.8</v>
      </c>
    </row>
    <row r="1506" customFormat="false" ht="15" hidden="false" customHeight="false" outlineLevel="0" collapsed="false">
      <c r="A1506" s="115" t="s">
        <v>2083</v>
      </c>
      <c r="B1506" s="115" t="s">
        <v>579</v>
      </c>
      <c r="C1506" s="116" t="s">
        <v>2092</v>
      </c>
      <c r="D1506" s="116"/>
      <c r="E1506" s="116"/>
      <c r="F1506" s="116"/>
      <c r="G1506" s="108"/>
      <c r="H1506" s="105" t="n">
        <f aca="false">'[2]$ лето'!j1506-'[2]$ лето'!au1506-'[2]$ лето'!at1506-'[2]$ лето'!as1506-'[2]$ лето'!ar1506-'[2]$ лето'!aq1506-'[2]$ лето'!ap1506-'[2]$ лето'!an1506-'[2]$ лето'!am1506-'[2]$ лето'!al1506-'[2]$ лето'!ak1506-'[2]$ лето'!aj1506-'[2]$ лето'!ah1506-'[2]$ лето'!ag1506-'[2]$ лето'!af1506-'[2]$ лето'!ae1506-'[2]$ лето'!ad1506-'[2]$ лето'!ab1506-'[2]$ лето'!aa1506-'[2]$ лето'!z1506-'[2]$ лето'!y1506-'[2]$ лето'!x1506-'[2]$ лето'!v1506-'[2]$ лето'!u1506-'[2]$ лето'!t1506-'[2]$ лето'!s1506-'[2]$ лето'!r1506-'[2]$ лето'!p1506-'[2]$ лето'!o1506-'[2]$ лето'!n1506-'[2]$ лето'!m1506-'[2]$ лето'!l1506+'[2]$ лето'!k1506+'[2]$ лето'!q1506+'[2]$ лето'!w1506+'[2]$ лето'!ac1506+'[2]$ лето'!ai1506+'[2]$ лето'!ao1506</f>
        <v>4</v>
      </c>
      <c r="I1506" s="109" t="n">
        <f aca="false">'[2]$ лето'!ay1506*1.1</f>
        <v>2002</v>
      </c>
    </row>
    <row r="1507" customFormat="false" ht="15" hidden="false" customHeight="false" outlineLevel="0" collapsed="false">
      <c r="A1507" s="115" t="s">
        <v>2083</v>
      </c>
      <c r="B1507" s="115" t="s">
        <v>577</v>
      </c>
      <c r="C1507" s="116" t="s">
        <v>2093</v>
      </c>
      <c r="D1507" s="116"/>
      <c r="E1507" s="116"/>
      <c r="F1507" s="116"/>
      <c r="G1507" s="108" t="s">
        <v>563</v>
      </c>
      <c r="H1507" s="105" t="n">
        <f aca="false">'[2]$ лето'!j1507-'[2]$ лето'!au1507-'[2]$ лето'!at1507-'[2]$ лето'!as1507-'[2]$ лето'!ar1507-'[2]$ лето'!aq1507-'[2]$ лето'!ap1507-'[2]$ лето'!an1507-'[2]$ лето'!am1507-'[2]$ лето'!al1507-'[2]$ лето'!ak1507-'[2]$ лето'!aj1507-'[2]$ лето'!ah1507-'[2]$ лето'!ag1507-'[2]$ лето'!af1507-'[2]$ лето'!ae1507-'[2]$ лето'!ad1507-'[2]$ лето'!ab1507-'[2]$ лето'!aa1507-'[2]$ лето'!z1507-'[2]$ лето'!y1507-'[2]$ лето'!x1507-'[2]$ лето'!v1507-'[2]$ лето'!u1507-'[2]$ лето'!t1507-'[2]$ лето'!s1507-'[2]$ лето'!r1507-'[2]$ лето'!p1507-'[2]$ лето'!o1507-'[2]$ лето'!n1507-'[2]$ лето'!m1507-'[2]$ лето'!l1507+'[2]$ лето'!k1507+'[2]$ лето'!q1507+'[2]$ лето'!w1507+'[2]$ лето'!ac1507+'[2]$ лето'!ai1507+'[2]$ лето'!ao1507</f>
        <v>4</v>
      </c>
      <c r="I1507" s="109" t="n">
        <f aca="false">'[2]$ лето'!ay1507*1.1</f>
        <v>2618</v>
      </c>
      <c r="J1507" s="85" t="n">
        <v>2017</v>
      </c>
    </row>
    <row r="1508" customFormat="false" ht="15" hidden="true" customHeight="false" outlineLevel="0" collapsed="false">
      <c r="A1508" s="115" t="s">
        <v>2083</v>
      </c>
      <c r="B1508" s="115" t="s">
        <v>583</v>
      </c>
      <c r="C1508" s="116" t="s">
        <v>2094</v>
      </c>
      <c r="D1508" s="116"/>
      <c r="E1508" s="116"/>
      <c r="F1508" s="116"/>
      <c r="G1508" s="108" t="s">
        <v>843</v>
      </c>
      <c r="H1508" s="105" t="n">
        <f aca="false">'[2]$ лето'!j1508-'[2]$ лето'!au1508-'[2]$ лето'!at1508-'[2]$ лето'!as1508-'[2]$ лето'!ar1508-'[2]$ лето'!aq1508-'[2]$ лето'!ap1508-'[2]$ лето'!an1508-'[2]$ лето'!am1508-'[2]$ лето'!al1508-'[2]$ лето'!ak1508-'[2]$ лето'!aj1508-'[2]$ лето'!ah1508-'[2]$ лето'!ag1508-'[2]$ лето'!af1508-'[2]$ лето'!ae1508-'[2]$ лето'!ad1508-'[2]$ лето'!ab1508-'[2]$ лето'!aa1508-'[2]$ лето'!z1508-'[2]$ лето'!y1508-'[2]$ лето'!x1508-'[2]$ лето'!v1508-'[2]$ лето'!u1508-'[2]$ лето'!t1508-'[2]$ лето'!s1508-'[2]$ лето'!r1508-'[2]$ лето'!p1508-'[2]$ лето'!o1508-'[2]$ лето'!n1508-'[2]$ лето'!m1508-'[2]$ лето'!l1508+'[2]$ лето'!k1508+'[2]$ лето'!q1508+'[2]$ лето'!w1508+'[2]$ лето'!ac1508+'[2]$ лето'!ai1508+'[2]$ лето'!ao1508</f>
        <v>0</v>
      </c>
      <c r="I1508" s="109" t="n">
        <f aca="false">'[2]$ лето'!ay1508*1.1</f>
        <v>2587.2</v>
      </c>
      <c r="J1508" s="85" t="n">
        <v>2017</v>
      </c>
    </row>
    <row r="1509" customFormat="false" ht="15" hidden="true" customHeight="false" outlineLevel="0" collapsed="false">
      <c r="A1509" s="115" t="s">
        <v>2083</v>
      </c>
      <c r="B1509" s="115" t="s">
        <v>593</v>
      </c>
      <c r="C1509" s="114" t="s">
        <v>2095</v>
      </c>
      <c r="D1509" s="114"/>
      <c r="E1509" s="114"/>
      <c r="F1509" s="114"/>
      <c r="G1509" s="108" t="s">
        <v>911</v>
      </c>
      <c r="H1509" s="105" t="n">
        <f aca="false">'[2]$ лето'!j1509-'[2]$ лето'!au1509-'[2]$ лето'!at1509-'[2]$ лето'!as1509-'[2]$ лето'!ar1509-'[2]$ лето'!aq1509-'[2]$ лето'!ap1509-'[2]$ лето'!an1509-'[2]$ лето'!am1509-'[2]$ лето'!al1509-'[2]$ лето'!ak1509-'[2]$ лето'!aj1509-'[2]$ лето'!ah1509-'[2]$ лето'!ag1509-'[2]$ лето'!af1509-'[2]$ лето'!ae1509-'[2]$ лето'!ad1509-'[2]$ лето'!ab1509-'[2]$ лето'!aa1509-'[2]$ лето'!z1509-'[2]$ лето'!y1509-'[2]$ лето'!x1509-'[2]$ лето'!v1509-'[2]$ лето'!u1509-'[2]$ лето'!t1509-'[2]$ лето'!s1509-'[2]$ лето'!r1509-'[2]$ лето'!p1509-'[2]$ лето'!o1509-'[2]$ лето'!n1509-'[2]$ лето'!m1509-'[2]$ лето'!l1509+'[2]$ лето'!k1509+'[2]$ лето'!q1509+'[2]$ лето'!w1509+'[2]$ лето'!ac1509+'[2]$ лето'!ai1509+'[2]$ лето'!ao1509</f>
        <v>0</v>
      </c>
      <c r="I1509" s="109" t="n">
        <f aca="false">'[2]$ лето'!ay1509*1.1</f>
        <v>4620</v>
      </c>
      <c r="J1509" s="85" t="n">
        <v>2017</v>
      </c>
    </row>
    <row r="1510" customFormat="false" ht="15" hidden="false" customHeight="false" outlineLevel="0" collapsed="false">
      <c r="A1510" s="115" t="s">
        <v>2083</v>
      </c>
      <c r="B1510" s="115" t="s">
        <v>593</v>
      </c>
      <c r="C1510" s="114" t="s">
        <v>2096</v>
      </c>
      <c r="D1510" s="114"/>
      <c r="E1510" s="126"/>
      <c r="F1510" s="126"/>
      <c r="G1510" s="108" t="s">
        <v>849</v>
      </c>
      <c r="H1510" s="105" t="n">
        <f aca="false">'[2]$ лето'!j1510-'[2]$ лето'!au1510-'[2]$ лето'!at1510-'[2]$ лето'!as1510-'[2]$ лето'!ar1510-'[2]$ лето'!aq1510-'[2]$ лето'!ap1510-'[2]$ лето'!an1510-'[2]$ лето'!am1510-'[2]$ лето'!al1510-'[2]$ лето'!ak1510-'[2]$ лето'!aj1510-'[2]$ лето'!ah1510-'[2]$ лето'!ag1510-'[2]$ лето'!af1510-'[2]$ лето'!ae1510-'[2]$ лето'!ad1510-'[2]$ лето'!ab1510-'[2]$ лето'!aa1510-'[2]$ лето'!z1510-'[2]$ лето'!y1510-'[2]$ лето'!x1510-'[2]$ лето'!v1510-'[2]$ лето'!u1510-'[2]$ лето'!t1510-'[2]$ лето'!s1510-'[2]$ лето'!r1510-'[2]$ лето'!p1510-'[2]$ лето'!o1510-'[2]$ лето'!n1510-'[2]$ лето'!m1510-'[2]$ лето'!l1510+'[2]$ лето'!k1510+'[2]$ лето'!q1510+'[2]$ лето'!w1510+'[2]$ лето'!ac1510+'[2]$ лето'!ai1510+'[2]$ лето'!ao1510</f>
        <v>2</v>
      </c>
      <c r="I1510" s="109" t="n">
        <f aca="false">'[2]$ лето'!ay1510*1.1</f>
        <v>4620</v>
      </c>
      <c r="J1510" s="85" t="n">
        <v>2017</v>
      </c>
    </row>
    <row r="1511" customFormat="false" ht="15" hidden="false" customHeight="false" outlineLevel="0" collapsed="false">
      <c r="A1511" s="115" t="s">
        <v>2083</v>
      </c>
      <c r="B1511" s="115" t="s">
        <v>593</v>
      </c>
      <c r="C1511" s="107" t="s">
        <v>2097</v>
      </c>
      <c r="D1511" s="107"/>
      <c r="E1511" s="116"/>
      <c r="F1511" s="116"/>
      <c r="G1511" s="108" t="s">
        <v>849</v>
      </c>
      <c r="H1511" s="105" t="n">
        <f aca="false">'[2]$ лето'!j1511-'[2]$ лето'!au1511-'[2]$ лето'!at1511-'[2]$ лето'!as1511-'[2]$ лето'!ar1511-'[2]$ лето'!aq1511-'[2]$ лето'!ap1511-'[2]$ лето'!an1511-'[2]$ лето'!am1511-'[2]$ лето'!al1511-'[2]$ лето'!ak1511-'[2]$ лето'!aj1511-'[2]$ лето'!ah1511-'[2]$ лето'!ag1511-'[2]$ лето'!af1511-'[2]$ лето'!ae1511-'[2]$ лето'!ad1511-'[2]$ лето'!ab1511-'[2]$ лето'!aa1511-'[2]$ лето'!z1511-'[2]$ лето'!y1511-'[2]$ лето'!x1511-'[2]$ лето'!v1511-'[2]$ лето'!u1511-'[2]$ лето'!t1511-'[2]$ лето'!s1511-'[2]$ лето'!r1511-'[2]$ лето'!p1511-'[2]$ лето'!o1511-'[2]$ лето'!n1511-'[2]$ лето'!m1511-'[2]$ лето'!l1511+'[2]$ лето'!k1511+'[2]$ лето'!q1511+'[2]$ лето'!w1511+'[2]$ лето'!ac1511+'[2]$ лето'!ai1511+'[2]$ лето'!ao1511</f>
        <v>4</v>
      </c>
      <c r="I1511" s="109" t="n">
        <f aca="false">'[2]$ лето'!ay1511*1.1</f>
        <v>4620</v>
      </c>
      <c r="J1511" s="85" t="n">
        <v>2017</v>
      </c>
    </row>
    <row r="1512" customFormat="false" ht="15" hidden="false" customHeight="false" outlineLevel="0" collapsed="false">
      <c r="A1512" s="115" t="s">
        <v>2083</v>
      </c>
      <c r="B1512" s="115" t="s">
        <v>593</v>
      </c>
      <c r="C1512" s="114" t="s">
        <v>2098</v>
      </c>
      <c r="D1512" s="114"/>
      <c r="E1512" s="126"/>
      <c r="F1512" s="126"/>
      <c r="G1512" s="108" t="s">
        <v>663</v>
      </c>
      <c r="H1512" s="105" t="n">
        <f aca="false">'[2]$ лето'!j1512-'[2]$ лето'!au1512-'[2]$ лето'!at1512-'[2]$ лето'!as1512-'[2]$ лето'!ar1512-'[2]$ лето'!aq1512-'[2]$ лето'!ap1512-'[2]$ лето'!an1512-'[2]$ лето'!am1512-'[2]$ лето'!al1512-'[2]$ лето'!ak1512-'[2]$ лето'!aj1512-'[2]$ лето'!ah1512-'[2]$ лето'!ag1512-'[2]$ лето'!af1512-'[2]$ лето'!ae1512-'[2]$ лето'!ad1512-'[2]$ лето'!ab1512-'[2]$ лето'!aa1512-'[2]$ лето'!z1512-'[2]$ лето'!y1512-'[2]$ лето'!x1512-'[2]$ лето'!v1512-'[2]$ лето'!u1512-'[2]$ лето'!t1512-'[2]$ лето'!s1512-'[2]$ лето'!r1512-'[2]$ лето'!p1512-'[2]$ лето'!o1512-'[2]$ лето'!n1512-'[2]$ лето'!m1512-'[2]$ лето'!l1512+'[2]$ лето'!k1512+'[2]$ лето'!q1512+'[2]$ лето'!w1512+'[2]$ лето'!ac1512+'[2]$ лето'!ai1512+'[2]$ лето'!ao1512</f>
        <v>8</v>
      </c>
      <c r="I1512" s="109" t="n">
        <f aca="false">'[2]$ лето'!ay1512*1.1</f>
        <v>4712.4</v>
      </c>
      <c r="J1512" s="85" t="n">
        <v>2018</v>
      </c>
    </row>
    <row r="1513" customFormat="false" ht="15" hidden="false" customHeight="false" outlineLevel="0" collapsed="false">
      <c r="A1513" s="115" t="s">
        <v>2083</v>
      </c>
      <c r="B1513" s="115" t="s">
        <v>621</v>
      </c>
      <c r="C1513" s="107" t="s">
        <v>2099</v>
      </c>
      <c r="D1513" s="107"/>
      <c r="E1513" s="116"/>
      <c r="F1513" s="116"/>
      <c r="G1513" s="108" t="s">
        <v>520</v>
      </c>
      <c r="H1513" s="105" t="n">
        <f aca="false">'[2]$ лето'!j1513-'[2]$ лето'!au1513-'[2]$ лето'!at1513-'[2]$ лето'!as1513-'[2]$ лето'!ar1513-'[2]$ лето'!aq1513-'[2]$ лето'!ap1513-'[2]$ лето'!an1513-'[2]$ лето'!am1513-'[2]$ лето'!al1513-'[2]$ лето'!ak1513-'[2]$ лето'!aj1513-'[2]$ лето'!ah1513-'[2]$ лето'!ag1513-'[2]$ лето'!af1513-'[2]$ лето'!ae1513-'[2]$ лето'!ad1513-'[2]$ лето'!ab1513-'[2]$ лето'!aa1513-'[2]$ лето'!z1513-'[2]$ лето'!y1513-'[2]$ лето'!x1513-'[2]$ лето'!v1513-'[2]$ лето'!u1513-'[2]$ лето'!t1513-'[2]$ лето'!s1513-'[2]$ лето'!r1513-'[2]$ лето'!p1513-'[2]$ лето'!o1513-'[2]$ лето'!n1513-'[2]$ лето'!m1513-'[2]$ лето'!l1513+'[2]$ лето'!k1513+'[2]$ лето'!q1513+'[2]$ лето'!w1513+'[2]$ лето'!ac1513+'[2]$ лето'!ai1513+'[2]$ лето'!ao1513</f>
        <v>4</v>
      </c>
      <c r="I1513" s="109" t="n">
        <f aca="false">'[2]$ лето'!ay1513*1.1</f>
        <v>2032.8</v>
      </c>
    </row>
    <row r="1514" customFormat="false" ht="15" hidden="true" customHeight="false" outlineLevel="0" collapsed="false">
      <c r="A1514" s="115" t="s">
        <v>2083</v>
      </c>
      <c r="B1514" s="115" t="s">
        <v>589</v>
      </c>
      <c r="C1514" s="116" t="s">
        <v>2100</v>
      </c>
      <c r="D1514" s="116"/>
      <c r="E1514" s="116"/>
      <c r="F1514" s="116"/>
      <c r="G1514" s="108" t="s">
        <v>876</v>
      </c>
      <c r="H1514" s="105" t="n">
        <f aca="false">'[2]$ лето'!j1514-'[2]$ лето'!au1514-'[2]$ лето'!at1514-'[2]$ лето'!as1514-'[2]$ лето'!ar1514-'[2]$ лето'!aq1514-'[2]$ лето'!ap1514-'[2]$ лето'!an1514-'[2]$ лето'!am1514-'[2]$ лето'!al1514-'[2]$ лето'!ak1514-'[2]$ лето'!aj1514-'[2]$ лето'!ah1514-'[2]$ лето'!ag1514-'[2]$ лето'!af1514-'[2]$ лето'!ae1514-'[2]$ лето'!ad1514-'[2]$ лето'!ab1514-'[2]$ лето'!aa1514-'[2]$ лето'!z1514-'[2]$ лето'!y1514-'[2]$ лето'!x1514-'[2]$ лето'!v1514-'[2]$ лето'!u1514-'[2]$ лето'!t1514-'[2]$ лето'!s1514-'[2]$ лето'!r1514-'[2]$ лето'!p1514-'[2]$ лето'!o1514-'[2]$ лето'!n1514-'[2]$ лето'!m1514-'[2]$ лето'!l1514+'[2]$ лето'!k1514+'[2]$ лето'!q1514+'[2]$ лето'!w1514+'[2]$ лето'!ac1514+'[2]$ лето'!ai1514+'[2]$ лето'!ao1514</f>
        <v>0</v>
      </c>
      <c r="I1514" s="109" t="n">
        <f aca="false">'[2]$ лето'!ay1514*1.1</f>
        <v>3942.4</v>
      </c>
      <c r="J1514" s="85" t="n">
        <v>2017</v>
      </c>
    </row>
    <row r="1515" customFormat="false" ht="15" hidden="true" customHeight="false" outlineLevel="0" collapsed="false">
      <c r="A1515" s="115" t="s">
        <v>2083</v>
      </c>
      <c r="B1515" s="115" t="s">
        <v>589</v>
      </c>
      <c r="C1515" s="116" t="s">
        <v>2101</v>
      </c>
      <c r="D1515" s="116"/>
      <c r="E1515" s="116"/>
      <c r="F1515" s="116"/>
      <c r="G1515" s="108"/>
      <c r="H1515" s="105" t="n">
        <f aca="false">'[2]$ лето'!j1515-'[2]$ лето'!au1515-'[2]$ лето'!at1515-'[2]$ лето'!as1515-'[2]$ лето'!ar1515-'[2]$ лето'!aq1515-'[2]$ лето'!ap1515-'[2]$ лето'!an1515-'[2]$ лето'!am1515-'[2]$ лето'!al1515-'[2]$ лето'!ak1515-'[2]$ лето'!aj1515-'[2]$ лето'!ah1515-'[2]$ лето'!ag1515-'[2]$ лето'!af1515-'[2]$ лето'!ae1515-'[2]$ лето'!ad1515-'[2]$ лето'!ab1515-'[2]$ лето'!aa1515-'[2]$ лето'!z1515-'[2]$ лето'!y1515-'[2]$ лето'!x1515-'[2]$ лето'!v1515-'[2]$ лето'!u1515-'[2]$ лето'!t1515-'[2]$ лето'!s1515-'[2]$ лето'!r1515-'[2]$ лето'!p1515-'[2]$ лето'!o1515-'[2]$ лето'!n1515-'[2]$ лето'!m1515-'[2]$ лето'!l1515+'[2]$ лето'!k1515+'[2]$ лето'!q1515+'[2]$ лето'!w1515+'[2]$ лето'!ac1515+'[2]$ лето'!ai1515+'[2]$ лето'!ao1515</f>
        <v>0</v>
      </c>
      <c r="I1515" s="109" t="n">
        <f aca="false">'[2]$ лето'!ay1515*1.1</f>
        <v>3388</v>
      </c>
    </row>
    <row r="1516" customFormat="false" ht="15" hidden="true" customHeight="false" outlineLevel="0" collapsed="false">
      <c r="A1516" s="115" t="s">
        <v>2083</v>
      </c>
      <c r="B1516" s="115" t="s">
        <v>564</v>
      </c>
      <c r="C1516" s="116" t="s">
        <v>2102</v>
      </c>
      <c r="D1516" s="116"/>
      <c r="E1516" s="116"/>
      <c r="F1516" s="116"/>
      <c r="G1516" s="108" t="s">
        <v>520</v>
      </c>
      <c r="H1516" s="105" t="n">
        <f aca="false">'[2]$ лето'!j1516-'[2]$ лето'!au1516-'[2]$ лето'!at1516-'[2]$ лето'!as1516-'[2]$ лето'!ar1516-'[2]$ лето'!aq1516-'[2]$ лето'!ap1516-'[2]$ лето'!an1516-'[2]$ лето'!am1516-'[2]$ лето'!al1516-'[2]$ лето'!ak1516-'[2]$ лето'!aj1516-'[2]$ лето'!ah1516-'[2]$ лето'!ag1516-'[2]$ лето'!af1516-'[2]$ лето'!ae1516-'[2]$ лето'!ad1516-'[2]$ лето'!ab1516-'[2]$ лето'!aa1516-'[2]$ лето'!z1516-'[2]$ лето'!y1516-'[2]$ лето'!x1516-'[2]$ лето'!v1516-'[2]$ лето'!u1516-'[2]$ лето'!t1516-'[2]$ лето'!s1516-'[2]$ лето'!r1516-'[2]$ лето'!p1516-'[2]$ лето'!o1516-'[2]$ лето'!n1516-'[2]$ лето'!m1516-'[2]$ лето'!l1516+'[2]$ лето'!k1516+'[2]$ лето'!q1516+'[2]$ лето'!w1516+'[2]$ лето'!ac1516+'[2]$ лето'!ai1516+'[2]$ лето'!ao1516</f>
        <v>0</v>
      </c>
      <c r="I1516" s="109" t="n">
        <f aca="false">'[2]$ лето'!ay1516*1.1</f>
        <v>2094.4</v>
      </c>
      <c r="J1516" s="85" t="n">
        <v>2017</v>
      </c>
    </row>
    <row r="1517" customFormat="false" ht="15" hidden="true" customHeight="false" outlineLevel="0" collapsed="false">
      <c r="A1517" s="115" t="s">
        <v>2083</v>
      </c>
      <c r="B1517" s="115" t="s">
        <v>981</v>
      </c>
      <c r="C1517" s="116" t="s">
        <v>2103</v>
      </c>
      <c r="D1517" s="116"/>
      <c r="E1517" s="116"/>
      <c r="F1517" s="116"/>
      <c r="G1517" s="108" t="s">
        <v>843</v>
      </c>
      <c r="H1517" s="105" t="n">
        <f aca="false">'[2]$ лето'!j1517-'[2]$ лето'!au1517-'[2]$ лето'!at1517-'[2]$ лето'!as1517-'[2]$ лето'!ar1517-'[2]$ лето'!aq1517-'[2]$ лето'!ap1517-'[2]$ лето'!an1517-'[2]$ лето'!am1517-'[2]$ лето'!al1517-'[2]$ лето'!ak1517-'[2]$ лето'!aj1517-'[2]$ лето'!ah1517-'[2]$ лето'!ag1517-'[2]$ лето'!af1517-'[2]$ лето'!ae1517-'[2]$ лето'!ad1517-'[2]$ лето'!ab1517-'[2]$ лето'!aa1517-'[2]$ лето'!z1517-'[2]$ лето'!y1517-'[2]$ лето'!x1517-'[2]$ лето'!v1517-'[2]$ лето'!u1517-'[2]$ лето'!t1517-'[2]$ лето'!s1517-'[2]$ лето'!r1517-'[2]$ лето'!p1517-'[2]$ лето'!o1517-'[2]$ лето'!n1517-'[2]$ лето'!m1517-'[2]$ лето'!l1517+'[2]$ лето'!k1517+'[2]$ лето'!q1517+'[2]$ лето'!w1517+'[2]$ лето'!ac1517+'[2]$ лето'!ai1517+'[2]$ лето'!ao1517</f>
        <v>0</v>
      </c>
      <c r="I1517" s="109" t="n">
        <f aca="false">'[2]$ лето'!ay1517*1.1</f>
        <v>3141.6</v>
      </c>
      <c r="J1517" s="85" t="n">
        <v>2017</v>
      </c>
    </row>
    <row r="1518" customFormat="false" ht="15" hidden="true" customHeight="false" outlineLevel="0" collapsed="false">
      <c r="A1518" s="115" t="s">
        <v>2083</v>
      </c>
      <c r="B1518" s="115" t="s">
        <v>1028</v>
      </c>
      <c r="C1518" s="116" t="s">
        <v>2104</v>
      </c>
      <c r="D1518" s="116"/>
      <c r="E1518" s="116"/>
      <c r="F1518" s="116"/>
      <c r="G1518" s="108" t="s">
        <v>876</v>
      </c>
      <c r="H1518" s="105" t="n">
        <f aca="false">'[2]$ лето'!j1518-'[2]$ лето'!au1518-'[2]$ лето'!at1518-'[2]$ лето'!as1518-'[2]$ лето'!ar1518-'[2]$ лето'!aq1518-'[2]$ лето'!ap1518-'[2]$ лето'!an1518-'[2]$ лето'!am1518-'[2]$ лето'!al1518-'[2]$ лето'!ak1518-'[2]$ лето'!aj1518-'[2]$ лето'!ah1518-'[2]$ лето'!ag1518-'[2]$ лето'!af1518-'[2]$ лето'!ae1518-'[2]$ лето'!ad1518-'[2]$ лето'!ab1518-'[2]$ лето'!aa1518-'[2]$ лето'!z1518-'[2]$ лето'!y1518-'[2]$ лето'!x1518-'[2]$ лето'!v1518-'[2]$ лето'!u1518-'[2]$ лето'!t1518-'[2]$ лето'!s1518-'[2]$ лето'!r1518-'[2]$ лето'!p1518-'[2]$ лето'!o1518-'[2]$ лето'!n1518-'[2]$ лето'!m1518-'[2]$ лето'!l1518+'[2]$ лето'!k1518+'[2]$ лето'!q1518+'[2]$ лето'!w1518+'[2]$ лето'!ac1518+'[2]$ лето'!ai1518+'[2]$ лето'!ao1518</f>
        <v>0</v>
      </c>
      <c r="I1518" s="109" t="n">
        <f aca="false">'[2]$ лето'!ay1518*1.1</f>
        <v>2772</v>
      </c>
    </row>
    <row r="1519" customFormat="false" ht="15" hidden="false" customHeight="false" outlineLevel="0" collapsed="false">
      <c r="A1519" s="129" t="s">
        <v>2083</v>
      </c>
      <c r="B1519" s="129" t="s">
        <v>589</v>
      </c>
      <c r="C1519" s="131" t="s">
        <v>2105</v>
      </c>
      <c r="D1519" s="131"/>
      <c r="E1519" s="131"/>
      <c r="F1519" s="131"/>
      <c r="G1519" s="132"/>
      <c r="H1519" s="105" t="n">
        <f aca="false">'[2]$ лето'!j1519-'[2]$ лето'!au1519-'[2]$ лето'!at1519-'[2]$ лето'!as1519-'[2]$ лето'!ar1519-'[2]$ лето'!aq1519-'[2]$ лето'!ap1519-'[2]$ лето'!an1519-'[2]$ лето'!am1519-'[2]$ лето'!al1519-'[2]$ лето'!ak1519-'[2]$ лето'!aj1519-'[2]$ лето'!ah1519-'[2]$ лето'!ag1519-'[2]$ лето'!af1519-'[2]$ лето'!ae1519-'[2]$ лето'!ad1519-'[2]$ лето'!ab1519-'[2]$ лето'!aa1519-'[2]$ лето'!z1519-'[2]$ лето'!y1519-'[2]$ лето'!x1519-'[2]$ лето'!v1519-'[2]$ лето'!u1519-'[2]$ лето'!t1519-'[2]$ лето'!s1519-'[2]$ лето'!r1519-'[2]$ лето'!p1519-'[2]$ лето'!o1519-'[2]$ лето'!n1519-'[2]$ лето'!m1519-'[2]$ лето'!l1519+'[2]$ лето'!k1519+'[2]$ лето'!q1519+'[2]$ лето'!w1519+'[2]$ лето'!ac1519+'[2]$ лето'!ai1519+'[2]$ лето'!ao1519</f>
        <v>1</v>
      </c>
      <c r="I1519" s="133" t="n">
        <f aca="false">'[2]$ лето'!ay1519*1.1</f>
        <v>781</v>
      </c>
      <c r="J1519" s="85" t="s">
        <v>2106</v>
      </c>
    </row>
    <row r="1520" customFormat="false" ht="15" hidden="true" customHeight="false" outlineLevel="0" collapsed="false">
      <c r="A1520" s="123" t="s">
        <v>2107</v>
      </c>
      <c r="B1520" s="115" t="s">
        <v>601</v>
      </c>
      <c r="C1520" s="116" t="s">
        <v>2108</v>
      </c>
      <c r="D1520" s="116"/>
      <c r="E1520" s="116"/>
      <c r="F1520" s="116"/>
      <c r="G1520" s="108"/>
      <c r="H1520" s="105" t="n">
        <f aca="false">'[2]$ лето'!j1520-'[2]$ лето'!au1520-'[2]$ лето'!at1520-'[2]$ лето'!as1520-'[2]$ лето'!ar1520-'[2]$ лето'!aq1520-'[2]$ лето'!ap1520-'[2]$ лето'!an1520-'[2]$ лето'!am1520-'[2]$ лето'!al1520-'[2]$ лето'!ak1520-'[2]$ лето'!aj1520-'[2]$ лето'!ah1520-'[2]$ лето'!ag1520-'[2]$ лето'!af1520-'[2]$ лето'!ae1520-'[2]$ лето'!ad1520-'[2]$ лето'!ab1520-'[2]$ лето'!aa1520-'[2]$ лето'!z1520-'[2]$ лето'!y1520-'[2]$ лето'!x1520-'[2]$ лето'!v1520-'[2]$ лето'!u1520-'[2]$ лето'!t1520-'[2]$ лето'!s1520-'[2]$ лето'!r1520-'[2]$ лето'!p1520-'[2]$ лето'!o1520-'[2]$ лето'!n1520-'[2]$ лето'!m1520-'[2]$ лето'!l1520+'[2]$ лето'!k1520+'[2]$ лето'!q1520+'[2]$ лето'!w1520+'[2]$ лето'!ac1520+'[2]$ лето'!ai1520+'[2]$ лето'!ao1520</f>
        <v>0</v>
      </c>
      <c r="I1520" s="109" t="n">
        <f aca="false">'[2]$ лето'!ay1520*1.1</f>
        <v>3788.4</v>
      </c>
      <c r="J1520" s="85" t="n">
        <v>2015</v>
      </c>
    </row>
    <row r="1521" customFormat="false" ht="15" hidden="false" customHeight="false" outlineLevel="0" collapsed="false">
      <c r="A1521" s="123" t="s">
        <v>2107</v>
      </c>
      <c r="B1521" s="115" t="s">
        <v>658</v>
      </c>
      <c r="C1521" s="116" t="s">
        <v>2109</v>
      </c>
      <c r="D1521" s="116"/>
      <c r="E1521" s="116"/>
      <c r="F1521" s="116"/>
      <c r="G1521" s="108"/>
      <c r="H1521" s="105" t="n">
        <f aca="false">'[2]$ лето'!j1521-'[2]$ лето'!au1521-'[2]$ лето'!at1521-'[2]$ лето'!as1521-'[2]$ лето'!ar1521-'[2]$ лето'!aq1521-'[2]$ лето'!ap1521-'[2]$ лето'!an1521-'[2]$ лето'!am1521-'[2]$ лето'!al1521-'[2]$ лето'!ak1521-'[2]$ лето'!aj1521-'[2]$ лето'!ah1521-'[2]$ лето'!ag1521-'[2]$ лето'!af1521-'[2]$ лето'!ae1521-'[2]$ лето'!ad1521-'[2]$ лето'!ab1521-'[2]$ лето'!aa1521-'[2]$ лето'!z1521-'[2]$ лето'!y1521-'[2]$ лето'!x1521-'[2]$ лето'!v1521-'[2]$ лето'!u1521-'[2]$ лето'!t1521-'[2]$ лето'!s1521-'[2]$ лето'!r1521-'[2]$ лето'!p1521-'[2]$ лето'!o1521-'[2]$ лето'!n1521-'[2]$ лето'!m1521-'[2]$ лето'!l1521+'[2]$ лето'!k1521+'[2]$ лето'!q1521+'[2]$ лето'!w1521+'[2]$ лето'!ac1521+'[2]$ лето'!ai1521+'[2]$ лето'!ao1521</f>
        <v>4</v>
      </c>
      <c r="I1521" s="109" t="n">
        <f aca="false">'[2]$ лето'!ay1521*1.1</f>
        <v>3819.2</v>
      </c>
    </row>
    <row r="1522" customFormat="false" ht="15" hidden="true" customHeight="false" outlineLevel="0" collapsed="false">
      <c r="A1522" s="123" t="s">
        <v>2107</v>
      </c>
      <c r="B1522" s="123" t="s">
        <v>668</v>
      </c>
      <c r="C1522" s="116" t="s">
        <v>1566</v>
      </c>
      <c r="D1522" s="116"/>
      <c r="E1522" s="116"/>
      <c r="F1522" s="116"/>
      <c r="G1522" s="108" t="s">
        <v>609</v>
      </c>
      <c r="H1522" s="105" t="n">
        <f aca="false">'[2]$ лето'!j1522-'[2]$ лето'!au1522-'[2]$ лето'!at1522-'[2]$ лето'!as1522-'[2]$ лето'!ar1522-'[2]$ лето'!aq1522-'[2]$ лето'!ap1522-'[2]$ лето'!an1522-'[2]$ лето'!am1522-'[2]$ лето'!al1522-'[2]$ лето'!ak1522-'[2]$ лето'!aj1522-'[2]$ лето'!ah1522-'[2]$ лето'!ag1522-'[2]$ лето'!af1522-'[2]$ лето'!ae1522-'[2]$ лето'!ad1522-'[2]$ лето'!ab1522-'[2]$ лето'!aa1522-'[2]$ лето'!z1522-'[2]$ лето'!y1522-'[2]$ лето'!x1522-'[2]$ лето'!v1522-'[2]$ лето'!u1522-'[2]$ лето'!t1522-'[2]$ лето'!s1522-'[2]$ лето'!r1522-'[2]$ лето'!p1522-'[2]$ лето'!o1522-'[2]$ лето'!n1522-'[2]$ лето'!m1522-'[2]$ лето'!l1522+'[2]$ лето'!k1522+'[2]$ лето'!q1522+'[2]$ лето'!w1522+'[2]$ лето'!ac1522+'[2]$ лето'!ai1522+'[2]$ лето'!ao1522</f>
        <v>0</v>
      </c>
      <c r="I1522" s="109" t="n">
        <f aca="false">'[2]$ лето'!ay1522*1.1</f>
        <v>3157</v>
      </c>
      <c r="J1522" s="85" t="n">
        <v>2017</v>
      </c>
    </row>
    <row r="1523" customFormat="false" ht="15" hidden="false" customHeight="false" outlineLevel="0" collapsed="false">
      <c r="A1523" s="115" t="s">
        <v>2107</v>
      </c>
      <c r="B1523" s="115" t="s">
        <v>593</v>
      </c>
      <c r="C1523" s="107" t="s">
        <v>2110</v>
      </c>
      <c r="D1523" s="107"/>
      <c r="E1523" s="116"/>
      <c r="F1523" s="116"/>
      <c r="G1523" s="108" t="s">
        <v>1432</v>
      </c>
      <c r="H1523" s="105" t="n">
        <f aca="false">'[2]$ лето'!j1523-'[2]$ лето'!au1523-'[2]$ лето'!at1523-'[2]$ лето'!as1523-'[2]$ лето'!ar1523-'[2]$ лето'!aq1523-'[2]$ лето'!ap1523-'[2]$ лето'!an1523-'[2]$ лето'!am1523-'[2]$ лето'!al1523-'[2]$ лето'!ak1523-'[2]$ лето'!aj1523-'[2]$ лето'!ah1523-'[2]$ лето'!ag1523-'[2]$ лето'!af1523-'[2]$ лето'!ae1523-'[2]$ лето'!ad1523-'[2]$ лето'!ab1523-'[2]$ лето'!aa1523-'[2]$ лето'!z1523-'[2]$ лето'!y1523-'[2]$ лето'!x1523-'[2]$ лето'!v1523-'[2]$ лето'!u1523-'[2]$ лето'!t1523-'[2]$ лето'!s1523-'[2]$ лето'!r1523-'[2]$ лето'!p1523-'[2]$ лето'!o1523-'[2]$ лето'!n1523-'[2]$ лето'!m1523-'[2]$ лето'!l1523+'[2]$ лето'!k1523+'[2]$ лето'!q1523+'[2]$ лето'!w1523+'[2]$ лето'!ac1523+'[2]$ лето'!ai1523+'[2]$ лето'!ao1523</f>
        <v>4</v>
      </c>
      <c r="I1523" s="109" t="n">
        <f aca="false">'[2]$ лето'!ay1523*1.1</f>
        <v>4004</v>
      </c>
      <c r="J1523" s="85" t="s">
        <v>2111</v>
      </c>
    </row>
    <row r="1524" customFormat="false" ht="15" hidden="false" customHeight="false" outlineLevel="0" collapsed="false">
      <c r="A1524" s="115" t="s">
        <v>2107</v>
      </c>
      <c r="B1524" s="115" t="s">
        <v>593</v>
      </c>
      <c r="C1524" s="107" t="s">
        <v>2112</v>
      </c>
      <c r="D1524" s="107"/>
      <c r="E1524" s="116"/>
      <c r="F1524" s="116"/>
      <c r="G1524" s="108" t="s">
        <v>663</v>
      </c>
      <c r="H1524" s="105" t="n">
        <f aca="false">'[2]$ лето'!j1524-'[2]$ лето'!au1524-'[2]$ лето'!at1524-'[2]$ лето'!as1524-'[2]$ лето'!ar1524-'[2]$ лето'!aq1524-'[2]$ лето'!ap1524-'[2]$ лето'!an1524-'[2]$ лето'!am1524-'[2]$ лето'!al1524-'[2]$ лето'!ak1524-'[2]$ лето'!aj1524-'[2]$ лето'!ah1524-'[2]$ лето'!ag1524-'[2]$ лето'!af1524-'[2]$ лето'!ae1524-'[2]$ лето'!ad1524-'[2]$ лето'!ab1524-'[2]$ лето'!aa1524-'[2]$ лето'!z1524-'[2]$ лето'!y1524-'[2]$ лето'!x1524-'[2]$ лето'!v1524-'[2]$ лето'!u1524-'[2]$ лето'!t1524-'[2]$ лето'!s1524-'[2]$ лето'!r1524-'[2]$ лето'!p1524-'[2]$ лето'!o1524-'[2]$ лето'!n1524-'[2]$ лето'!m1524-'[2]$ лето'!l1524+'[2]$ лето'!k1524+'[2]$ лето'!q1524+'[2]$ лето'!w1524+'[2]$ лето'!ac1524+'[2]$ лето'!ai1524+'[2]$ лето'!ao1524</f>
        <v>4</v>
      </c>
      <c r="I1524" s="109" t="n">
        <f aca="false">'[2]$ лето'!ay1524*1.1</f>
        <v>4373.6</v>
      </c>
      <c r="J1524" s="85" t="n">
        <v>2018</v>
      </c>
    </row>
    <row r="1525" customFormat="false" ht="15" hidden="true" customHeight="false" outlineLevel="0" collapsed="false">
      <c r="A1525" s="123" t="s">
        <v>2107</v>
      </c>
      <c r="B1525" s="123" t="s">
        <v>615</v>
      </c>
      <c r="C1525" s="107" t="s">
        <v>2113</v>
      </c>
      <c r="D1525" s="107"/>
      <c r="E1525" s="107"/>
      <c r="F1525" s="107"/>
      <c r="G1525" s="108"/>
      <c r="H1525" s="105" t="n">
        <f aca="false">'[2]$ лето'!j1525-'[2]$ лето'!au1525-'[2]$ лето'!at1525-'[2]$ лето'!as1525-'[2]$ лето'!ar1525-'[2]$ лето'!aq1525-'[2]$ лето'!ap1525-'[2]$ лето'!an1525-'[2]$ лето'!am1525-'[2]$ лето'!al1525-'[2]$ лето'!ak1525-'[2]$ лето'!aj1525-'[2]$ лето'!ah1525-'[2]$ лето'!ag1525-'[2]$ лето'!af1525-'[2]$ лето'!ae1525-'[2]$ лето'!ad1525-'[2]$ лето'!ab1525-'[2]$ лето'!aa1525-'[2]$ лето'!z1525-'[2]$ лето'!y1525-'[2]$ лето'!x1525-'[2]$ лето'!v1525-'[2]$ лето'!u1525-'[2]$ лето'!t1525-'[2]$ лето'!s1525-'[2]$ лето'!r1525-'[2]$ лето'!p1525-'[2]$ лето'!o1525-'[2]$ лето'!n1525-'[2]$ лето'!m1525-'[2]$ лето'!l1525+'[2]$ лето'!k1525+'[2]$ лето'!q1525+'[2]$ лето'!w1525+'[2]$ лето'!ac1525+'[2]$ лето'!ai1525+'[2]$ лето'!ao1525</f>
        <v>0</v>
      </c>
      <c r="I1525" s="109" t="n">
        <f aca="false">'[2]$ лето'!ay1525*1.1</f>
        <v>2618</v>
      </c>
    </row>
    <row r="1526" customFormat="false" ht="15" hidden="true" customHeight="false" outlineLevel="0" collapsed="false">
      <c r="A1526" s="123" t="s">
        <v>2107</v>
      </c>
      <c r="B1526" s="123" t="s">
        <v>2114</v>
      </c>
      <c r="C1526" s="107" t="s">
        <v>2115</v>
      </c>
      <c r="D1526" s="107"/>
      <c r="E1526" s="107"/>
      <c r="F1526" s="107"/>
      <c r="G1526" s="108"/>
      <c r="H1526" s="105" t="n">
        <f aca="false">'[2]$ лето'!j1526-'[2]$ лето'!au1526-'[2]$ лето'!at1526-'[2]$ лето'!as1526-'[2]$ лето'!ar1526-'[2]$ лето'!aq1526-'[2]$ лето'!ap1526-'[2]$ лето'!an1526-'[2]$ лето'!am1526-'[2]$ лето'!al1526-'[2]$ лето'!ak1526-'[2]$ лето'!aj1526-'[2]$ лето'!ah1526-'[2]$ лето'!ag1526-'[2]$ лето'!af1526-'[2]$ лето'!ae1526-'[2]$ лето'!ad1526-'[2]$ лето'!ab1526-'[2]$ лето'!aa1526-'[2]$ лето'!z1526-'[2]$ лето'!y1526-'[2]$ лето'!x1526-'[2]$ лето'!v1526-'[2]$ лето'!u1526-'[2]$ лето'!t1526-'[2]$ лето'!s1526-'[2]$ лето'!r1526-'[2]$ лето'!p1526-'[2]$ лето'!o1526-'[2]$ лето'!n1526-'[2]$ лето'!m1526-'[2]$ лето'!l1526+'[2]$ лето'!k1526+'[2]$ лето'!q1526+'[2]$ лето'!w1526+'[2]$ лето'!ac1526+'[2]$ лето'!ai1526+'[2]$ лето'!ao1526</f>
        <v>0</v>
      </c>
      <c r="I1526" s="109" t="n">
        <f aca="false">'[2]$ лето'!ay1526*1.1</f>
        <v>2772</v>
      </c>
    </row>
    <row r="1527" customFormat="false" ht="15" hidden="false" customHeight="false" outlineLevel="0" collapsed="false">
      <c r="A1527" s="123" t="s">
        <v>2107</v>
      </c>
      <c r="B1527" s="115" t="s">
        <v>981</v>
      </c>
      <c r="C1527" s="116" t="s">
        <v>2116</v>
      </c>
      <c r="D1527" s="116"/>
      <c r="E1527" s="116"/>
      <c r="F1527" s="116"/>
      <c r="G1527" s="108" t="s">
        <v>585</v>
      </c>
      <c r="H1527" s="105" t="n">
        <f aca="false">'[2]$ лето'!j1527-'[2]$ лето'!au1527-'[2]$ лето'!at1527-'[2]$ лето'!as1527-'[2]$ лето'!ar1527-'[2]$ лето'!aq1527-'[2]$ лето'!ap1527-'[2]$ лето'!an1527-'[2]$ лето'!am1527-'[2]$ лето'!al1527-'[2]$ лето'!ak1527-'[2]$ лето'!aj1527-'[2]$ лето'!ah1527-'[2]$ лето'!ag1527-'[2]$ лето'!af1527-'[2]$ лето'!ae1527-'[2]$ лето'!ad1527-'[2]$ лето'!ab1527-'[2]$ лето'!aa1527-'[2]$ лето'!z1527-'[2]$ лето'!y1527-'[2]$ лето'!x1527-'[2]$ лето'!v1527-'[2]$ лето'!u1527-'[2]$ лето'!t1527-'[2]$ лето'!s1527-'[2]$ лето'!r1527-'[2]$ лето'!p1527-'[2]$ лето'!o1527-'[2]$ лето'!n1527-'[2]$ лето'!m1527-'[2]$ лето'!l1527+'[2]$ лето'!k1527+'[2]$ лето'!q1527+'[2]$ лето'!w1527+'[2]$ лето'!ac1527+'[2]$ лето'!ai1527+'[2]$ лето'!ao1527</f>
        <v>4</v>
      </c>
      <c r="I1527" s="109" t="n">
        <f aca="false">'[2]$ лето'!ay1527*1.1</f>
        <v>3388</v>
      </c>
      <c r="J1527" s="85" t="n">
        <v>2017</v>
      </c>
    </row>
    <row r="1528" customFormat="false" ht="15" hidden="true" customHeight="false" outlineLevel="0" collapsed="false">
      <c r="A1528" s="115" t="s">
        <v>2117</v>
      </c>
      <c r="B1528" s="115" t="s">
        <v>801</v>
      </c>
      <c r="C1528" s="116" t="s">
        <v>2033</v>
      </c>
      <c r="D1528" s="116"/>
      <c r="E1528" s="116"/>
      <c r="F1528" s="116"/>
      <c r="G1528" s="108"/>
      <c r="H1528" s="105" t="n">
        <f aca="false">'[2]$ лето'!j1528-'[2]$ лето'!au1528-'[2]$ лето'!at1528-'[2]$ лето'!as1528-'[2]$ лето'!ar1528-'[2]$ лето'!aq1528-'[2]$ лето'!ap1528-'[2]$ лето'!an1528-'[2]$ лето'!am1528-'[2]$ лето'!al1528-'[2]$ лето'!ak1528-'[2]$ лето'!aj1528-'[2]$ лето'!ah1528-'[2]$ лето'!ag1528-'[2]$ лето'!af1528-'[2]$ лето'!ae1528-'[2]$ лето'!ad1528-'[2]$ лето'!ab1528-'[2]$ лето'!aa1528-'[2]$ лето'!z1528-'[2]$ лето'!y1528-'[2]$ лето'!x1528-'[2]$ лето'!v1528-'[2]$ лето'!u1528-'[2]$ лето'!t1528-'[2]$ лето'!s1528-'[2]$ лето'!r1528-'[2]$ лето'!p1528-'[2]$ лето'!o1528-'[2]$ лето'!n1528-'[2]$ лето'!m1528-'[2]$ лето'!l1528+'[2]$ лето'!k1528+'[2]$ лето'!q1528+'[2]$ лето'!w1528+'[2]$ лето'!ac1528+'[2]$ лето'!ai1528+'[2]$ лето'!ao1528</f>
        <v>0</v>
      </c>
      <c r="I1528" s="109" t="n">
        <f aca="false">'[2]$ лето'!ay1528*1.1</f>
        <v>4312</v>
      </c>
    </row>
    <row r="1529" customFormat="false" ht="15" hidden="false" customHeight="false" outlineLevel="0" collapsed="false">
      <c r="A1529" s="115" t="s">
        <v>2118</v>
      </c>
      <c r="B1529" s="115" t="s">
        <v>844</v>
      </c>
      <c r="C1529" s="116" t="s">
        <v>2119</v>
      </c>
      <c r="D1529" s="116"/>
      <c r="E1529" s="116"/>
      <c r="F1529" s="116"/>
      <c r="G1529" s="108" t="s">
        <v>1432</v>
      </c>
      <c r="H1529" s="105" t="n">
        <f aca="false">'[2]$ лето'!j1529-'[2]$ лето'!au1529-'[2]$ лето'!at1529-'[2]$ лето'!as1529-'[2]$ лето'!ar1529-'[2]$ лето'!aq1529-'[2]$ лето'!ap1529-'[2]$ лето'!an1529-'[2]$ лето'!am1529-'[2]$ лето'!al1529-'[2]$ лето'!ak1529-'[2]$ лето'!aj1529-'[2]$ лето'!ah1529-'[2]$ лето'!ag1529-'[2]$ лето'!af1529-'[2]$ лето'!ae1529-'[2]$ лето'!ad1529-'[2]$ лето'!ab1529-'[2]$ лето'!aa1529-'[2]$ лето'!z1529-'[2]$ лето'!y1529-'[2]$ лето'!x1529-'[2]$ лето'!v1529-'[2]$ лето'!u1529-'[2]$ лето'!t1529-'[2]$ лето'!s1529-'[2]$ лето'!r1529-'[2]$ лето'!p1529-'[2]$ лето'!o1529-'[2]$ лето'!n1529-'[2]$ лето'!m1529-'[2]$ лето'!l1529+'[2]$ лето'!k1529+'[2]$ лето'!q1529+'[2]$ лето'!w1529+'[2]$ лето'!ac1529+'[2]$ лето'!ai1529+'[2]$ лето'!ao1529</f>
        <v>4</v>
      </c>
      <c r="I1529" s="109" t="n">
        <f aca="false">'[2]$ лето'!ay1529*1.1</f>
        <v>5236</v>
      </c>
      <c r="J1529" s="85" t="n">
        <v>2017</v>
      </c>
    </row>
    <row r="1530" customFormat="false" ht="15" hidden="true" customHeight="false" outlineLevel="0" collapsed="false">
      <c r="A1530" s="115" t="s">
        <v>2118</v>
      </c>
      <c r="B1530" s="115" t="s">
        <v>601</v>
      </c>
      <c r="C1530" s="107" t="s">
        <v>2120</v>
      </c>
      <c r="D1530" s="107"/>
      <c r="E1530" s="116"/>
      <c r="F1530" s="116"/>
      <c r="G1530" s="108"/>
      <c r="H1530" s="105" t="n">
        <f aca="false">'[2]$ лето'!j1530-'[2]$ лето'!au1530-'[2]$ лето'!at1530-'[2]$ лето'!as1530-'[2]$ лето'!ar1530-'[2]$ лето'!aq1530-'[2]$ лето'!ap1530-'[2]$ лето'!an1530-'[2]$ лето'!am1530-'[2]$ лето'!al1530-'[2]$ лето'!ak1530-'[2]$ лето'!aj1530-'[2]$ лето'!ah1530-'[2]$ лето'!ag1530-'[2]$ лето'!af1530-'[2]$ лето'!ae1530-'[2]$ лето'!ad1530-'[2]$ лето'!ab1530-'[2]$ лето'!aa1530-'[2]$ лето'!z1530-'[2]$ лето'!y1530-'[2]$ лето'!x1530-'[2]$ лето'!v1530-'[2]$ лето'!u1530-'[2]$ лето'!t1530-'[2]$ лето'!s1530-'[2]$ лето'!r1530-'[2]$ лето'!p1530-'[2]$ лето'!o1530-'[2]$ лето'!n1530-'[2]$ лето'!m1530-'[2]$ лето'!l1530+'[2]$ лето'!k1530+'[2]$ лето'!q1530+'[2]$ лето'!w1530+'[2]$ лето'!ac1530+'[2]$ лето'!ai1530+'[2]$ лето'!ao1530</f>
        <v>0</v>
      </c>
      <c r="I1530" s="109" t="n">
        <f aca="false">'[2]$ лето'!ay1530*1.1</f>
        <v>3740</v>
      </c>
    </row>
    <row r="1531" customFormat="false" ht="15" hidden="true" customHeight="false" outlineLevel="0" collapsed="false">
      <c r="A1531" s="115" t="s">
        <v>2118</v>
      </c>
      <c r="B1531" s="115" t="s">
        <v>601</v>
      </c>
      <c r="C1531" s="107" t="s">
        <v>2121</v>
      </c>
      <c r="D1531" s="107"/>
      <c r="E1531" s="107"/>
      <c r="F1531" s="107"/>
      <c r="G1531" s="108"/>
      <c r="H1531" s="105" t="n">
        <f aca="false">'[2]$ лето'!j1531-'[2]$ лето'!au1531-'[2]$ лето'!at1531-'[2]$ лето'!as1531-'[2]$ лето'!ar1531-'[2]$ лето'!aq1531-'[2]$ лето'!ap1531-'[2]$ лето'!an1531-'[2]$ лето'!am1531-'[2]$ лето'!al1531-'[2]$ лето'!ak1531-'[2]$ лето'!aj1531-'[2]$ лето'!ah1531-'[2]$ лето'!ag1531-'[2]$ лето'!af1531-'[2]$ лето'!ae1531-'[2]$ лето'!ad1531-'[2]$ лето'!ab1531-'[2]$ лето'!aa1531-'[2]$ лето'!z1531-'[2]$ лето'!y1531-'[2]$ лето'!x1531-'[2]$ лето'!v1531-'[2]$ лето'!u1531-'[2]$ лето'!t1531-'[2]$ лето'!s1531-'[2]$ лето'!r1531-'[2]$ лето'!p1531-'[2]$ лето'!o1531-'[2]$ лето'!n1531-'[2]$ лето'!m1531-'[2]$ лето'!l1531+'[2]$ лето'!k1531+'[2]$ лето'!q1531+'[2]$ лето'!w1531+'[2]$ лето'!ac1531+'[2]$ лето'!ai1531+'[2]$ лето'!ao1531</f>
        <v>0</v>
      </c>
      <c r="I1531" s="109" t="n">
        <f aca="false">'[2]$ лето'!ay1531*1.1</f>
        <v>4312</v>
      </c>
    </row>
    <row r="1532" customFormat="false" ht="15" hidden="false" customHeight="false" outlineLevel="0" collapsed="false">
      <c r="A1532" s="129" t="s">
        <v>2118</v>
      </c>
      <c r="B1532" s="129" t="s">
        <v>601</v>
      </c>
      <c r="C1532" s="130" t="s">
        <v>2122</v>
      </c>
      <c r="D1532" s="130"/>
      <c r="E1532" s="131"/>
      <c r="F1532" s="131"/>
      <c r="G1532" s="132"/>
      <c r="H1532" s="105" t="n">
        <f aca="false">'[2]$ лето'!j1532-'[2]$ лето'!au1532-'[2]$ лето'!at1532-'[2]$ лето'!as1532-'[2]$ лето'!ar1532-'[2]$ лето'!aq1532-'[2]$ лето'!ap1532-'[2]$ лето'!an1532-'[2]$ лето'!am1532-'[2]$ лето'!al1532-'[2]$ лето'!ak1532-'[2]$ лето'!aj1532-'[2]$ лето'!ah1532-'[2]$ лето'!ag1532-'[2]$ лето'!af1532-'[2]$ лето'!ae1532-'[2]$ лето'!ad1532-'[2]$ лето'!ab1532-'[2]$ лето'!aa1532-'[2]$ лето'!z1532-'[2]$ лето'!y1532-'[2]$ лето'!x1532-'[2]$ лето'!v1532-'[2]$ лето'!u1532-'[2]$ лето'!t1532-'[2]$ лето'!s1532-'[2]$ лето'!r1532-'[2]$ лето'!p1532-'[2]$ лето'!o1532-'[2]$ лето'!n1532-'[2]$ лето'!m1532-'[2]$ лето'!l1532+'[2]$ лето'!k1532+'[2]$ лето'!q1532+'[2]$ лето'!w1532+'[2]$ лето'!ac1532+'[2]$ лето'!ai1532+'[2]$ лето'!ao1532</f>
        <v>2</v>
      </c>
      <c r="I1532" s="133" t="n">
        <f aca="false">'[2]$ лето'!ay1532*1.1</f>
        <v>1265</v>
      </c>
    </row>
    <row r="1533" customFormat="false" ht="15" hidden="true" customHeight="false" outlineLevel="0" collapsed="false">
      <c r="A1533" s="115" t="s">
        <v>2118</v>
      </c>
      <c r="B1533" s="115" t="s">
        <v>658</v>
      </c>
      <c r="C1533" s="107" t="s">
        <v>2123</v>
      </c>
      <c r="D1533" s="107"/>
      <c r="E1533" s="107"/>
      <c r="F1533" s="107"/>
      <c r="G1533" s="108"/>
      <c r="H1533" s="105" t="n">
        <f aca="false">'[2]$ лето'!j1533-'[2]$ лето'!au1533-'[2]$ лето'!at1533-'[2]$ лето'!as1533-'[2]$ лето'!ar1533-'[2]$ лето'!aq1533-'[2]$ лето'!ap1533-'[2]$ лето'!an1533-'[2]$ лето'!am1533-'[2]$ лето'!al1533-'[2]$ лето'!ak1533-'[2]$ лето'!aj1533-'[2]$ лето'!ah1533-'[2]$ лето'!ag1533-'[2]$ лето'!af1533-'[2]$ лето'!ae1533-'[2]$ лето'!ad1533-'[2]$ лето'!ab1533-'[2]$ лето'!aa1533-'[2]$ лето'!z1533-'[2]$ лето'!y1533-'[2]$ лето'!x1533-'[2]$ лето'!v1533-'[2]$ лето'!u1533-'[2]$ лето'!t1533-'[2]$ лето'!s1533-'[2]$ лето'!r1533-'[2]$ лето'!p1533-'[2]$ лето'!o1533-'[2]$ лето'!n1533-'[2]$ лето'!m1533-'[2]$ лето'!l1533+'[2]$ лето'!k1533+'[2]$ лето'!q1533+'[2]$ лето'!w1533+'[2]$ лето'!ac1533+'[2]$ лето'!ai1533+'[2]$ лето'!ao1533</f>
        <v>0</v>
      </c>
      <c r="I1533" s="109" t="n">
        <f aca="false">'[2]$ лето'!ay1533*1.1</f>
        <v>4466</v>
      </c>
    </row>
    <row r="1534" customFormat="false" ht="15" hidden="false" customHeight="false" outlineLevel="0" collapsed="false">
      <c r="A1534" s="129" t="s">
        <v>2118</v>
      </c>
      <c r="B1534" s="129" t="s">
        <v>707</v>
      </c>
      <c r="C1534" s="131" t="n">
        <v>5000</v>
      </c>
      <c r="D1534" s="131"/>
      <c r="E1534" s="131"/>
      <c r="F1534" s="131"/>
      <c r="G1534" s="132"/>
      <c r="H1534" s="105" t="n">
        <f aca="false">'[2]$ лето'!j1534-'[2]$ лето'!au1534-'[2]$ лето'!at1534-'[2]$ лето'!as1534-'[2]$ лето'!ar1534-'[2]$ лето'!aq1534-'[2]$ лето'!ap1534-'[2]$ лето'!an1534-'[2]$ лето'!am1534-'[2]$ лето'!al1534-'[2]$ лето'!ak1534-'[2]$ лето'!aj1534-'[2]$ лето'!ah1534-'[2]$ лето'!ag1534-'[2]$ лето'!af1534-'[2]$ лето'!ae1534-'[2]$ лето'!ad1534-'[2]$ лето'!ab1534-'[2]$ лето'!aa1534-'[2]$ лето'!z1534-'[2]$ лето'!y1534-'[2]$ лето'!x1534-'[2]$ лето'!v1534-'[2]$ лето'!u1534-'[2]$ лето'!t1534-'[2]$ лето'!s1534-'[2]$ лето'!r1534-'[2]$ лето'!p1534-'[2]$ лето'!o1534-'[2]$ лето'!n1534-'[2]$ лето'!m1534-'[2]$ лето'!l1534+'[2]$ лето'!k1534+'[2]$ лето'!q1534+'[2]$ лето'!w1534+'[2]$ лето'!ac1534+'[2]$ лето'!ai1534+'[2]$ лето'!ao1534</f>
        <v>2</v>
      </c>
      <c r="I1534" s="133" t="n">
        <f aca="false">'[2]$ лето'!ay1534*1.1</f>
        <v>440</v>
      </c>
    </row>
    <row r="1535" customFormat="false" ht="15" hidden="true" customHeight="false" outlineLevel="0" collapsed="false">
      <c r="A1535" s="115" t="s">
        <v>2118</v>
      </c>
      <c r="B1535" s="115" t="s">
        <v>606</v>
      </c>
      <c r="C1535" s="107" t="s">
        <v>2124</v>
      </c>
      <c r="D1535" s="107"/>
      <c r="E1535" s="107"/>
      <c r="F1535" s="107"/>
      <c r="G1535" s="108"/>
      <c r="H1535" s="105" t="n">
        <f aca="false">'[2]$ лето'!j1535-'[2]$ лето'!au1535-'[2]$ лето'!at1535-'[2]$ лето'!as1535-'[2]$ лето'!ar1535-'[2]$ лето'!aq1535-'[2]$ лето'!ap1535-'[2]$ лето'!an1535-'[2]$ лето'!am1535-'[2]$ лето'!al1535-'[2]$ лето'!ak1535-'[2]$ лето'!aj1535-'[2]$ лето'!ah1535-'[2]$ лето'!ag1535-'[2]$ лето'!af1535-'[2]$ лето'!ae1535-'[2]$ лето'!ad1535-'[2]$ лето'!ab1535-'[2]$ лето'!aa1535-'[2]$ лето'!z1535-'[2]$ лето'!y1535-'[2]$ лето'!x1535-'[2]$ лето'!v1535-'[2]$ лето'!u1535-'[2]$ лето'!t1535-'[2]$ лето'!s1535-'[2]$ лето'!r1535-'[2]$ лето'!p1535-'[2]$ лето'!o1535-'[2]$ лето'!n1535-'[2]$ лето'!m1535-'[2]$ лето'!l1535+'[2]$ лето'!k1535+'[2]$ лето'!q1535+'[2]$ лето'!w1535+'[2]$ лето'!ac1535+'[2]$ лето'!ai1535+'[2]$ лето'!ao1535</f>
        <v>0</v>
      </c>
      <c r="I1535" s="109" t="n">
        <f aca="false">'[2]$ лето'!ay1535*1.1</f>
        <v>3634.4</v>
      </c>
    </row>
    <row r="1536" customFormat="false" ht="15" hidden="true" customHeight="false" outlineLevel="0" collapsed="false">
      <c r="A1536" s="115" t="s">
        <v>2118</v>
      </c>
      <c r="B1536" s="115" t="s">
        <v>606</v>
      </c>
      <c r="C1536" s="107" t="s">
        <v>2125</v>
      </c>
      <c r="D1536" s="107"/>
      <c r="E1536" s="107"/>
      <c r="F1536" s="107"/>
      <c r="G1536" s="108"/>
      <c r="H1536" s="105" t="n">
        <f aca="false">'[2]$ лето'!j1536-'[2]$ лето'!au1536-'[2]$ лето'!at1536-'[2]$ лето'!as1536-'[2]$ лето'!ar1536-'[2]$ лето'!aq1536-'[2]$ лето'!ap1536-'[2]$ лето'!an1536-'[2]$ лето'!am1536-'[2]$ лето'!al1536-'[2]$ лето'!ak1536-'[2]$ лето'!aj1536-'[2]$ лето'!ah1536-'[2]$ лето'!ag1536-'[2]$ лето'!af1536-'[2]$ лето'!ae1536-'[2]$ лето'!ad1536-'[2]$ лето'!ab1536-'[2]$ лето'!aa1536-'[2]$ лето'!z1536-'[2]$ лето'!y1536-'[2]$ лето'!x1536-'[2]$ лето'!v1536-'[2]$ лето'!u1536-'[2]$ лето'!t1536-'[2]$ лето'!s1536-'[2]$ лето'!r1536-'[2]$ лето'!p1536-'[2]$ лето'!o1536-'[2]$ лето'!n1536-'[2]$ лето'!m1536-'[2]$ лето'!l1536+'[2]$ лето'!k1536+'[2]$ лето'!q1536+'[2]$ лето'!w1536+'[2]$ лето'!ac1536+'[2]$ лето'!ai1536+'[2]$ лето'!ao1536</f>
        <v>0</v>
      </c>
      <c r="I1536" s="109" t="n">
        <f aca="false">'[2]$ лето'!ay1536*1.1</f>
        <v>3388</v>
      </c>
      <c r="J1536" s="85" t="n">
        <v>2017</v>
      </c>
    </row>
    <row r="1537" customFormat="false" ht="15" hidden="true" customHeight="false" outlineLevel="0" collapsed="false">
      <c r="A1537" s="115" t="s">
        <v>2118</v>
      </c>
      <c r="B1537" s="115" t="s">
        <v>668</v>
      </c>
      <c r="C1537" s="107" t="s">
        <v>2126</v>
      </c>
      <c r="D1537" s="107"/>
      <c r="E1537" s="107"/>
      <c r="F1537" s="107"/>
      <c r="G1537" s="108" t="s">
        <v>609</v>
      </c>
      <c r="H1537" s="105" t="n">
        <f aca="false">'[2]$ лето'!j1537-'[2]$ лето'!au1537-'[2]$ лето'!at1537-'[2]$ лето'!as1537-'[2]$ лето'!ar1537-'[2]$ лето'!aq1537-'[2]$ лето'!ap1537-'[2]$ лето'!an1537-'[2]$ лето'!am1537-'[2]$ лето'!al1537-'[2]$ лето'!ak1537-'[2]$ лето'!aj1537-'[2]$ лето'!ah1537-'[2]$ лето'!ag1537-'[2]$ лето'!af1537-'[2]$ лето'!ae1537-'[2]$ лето'!ad1537-'[2]$ лето'!ab1537-'[2]$ лето'!aa1537-'[2]$ лето'!z1537-'[2]$ лето'!y1537-'[2]$ лето'!x1537-'[2]$ лето'!v1537-'[2]$ лето'!u1537-'[2]$ лето'!t1537-'[2]$ лето'!s1537-'[2]$ лето'!r1537-'[2]$ лето'!p1537-'[2]$ лето'!o1537-'[2]$ лето'!n1537-'[2]$ лето'!m1537-'[2]$ лето'!l1537+'[2]$ лето'!k1537+'[2]$ лето'!q1537+'[2]$ лето'!w1537+'[2]$ лето'!ac1537+'[2]$ лето'!ai1537+'[2]$ лето'!ao1537</f>
        <v>0</v>
      </c>
      <c r="I1537" s="109" t="n">
        <f aca="false">'[2]$ лето'!ay1537*1.1</f>
        <v>3141.6</v>
      </c>
      <c r="J1537" s="85" t="n">
        <v>2016</v>
      </c>
    </row>
    <row r="1538" customFormat="false" ht="15" hidden="false" customHeight="false" outlineLevel="0" collapsed="false">
      <c r="A1538" s="115" t="s">
        <v>2118</v>
      </c>
      <c r="B1538" s="115" t="s">
        <v>668</v>
      </c>
      <c r="C1538" s="107" t="s">
        <v>1566</v>
      </c>
      <c r="D1538" s="107"/>
      <c r="E1538" s="116"/>
      <c r="F1538" s="116"/>
      <c r="G1538" s="108" t="s">
        <v>609</v>
      </c>
      <c r="H1538" s="105" t="n">
        <f aca="false">'[2]$ лето'!j1538-'[2]$ лето'!au1538-'[2]$ лето'!at1538-'[2]$ лето'!as1538-'[2]$ лето'!ar1538-'[2]$ лето'!aq1538-'[2]$ лето'!ap1538-'[2]$ лето'!an1538-'[2]$ лето'!am1538-'[2]$ лето'!al1538-'[2]$ лето'!ak1538-'[2]$ лето'!aj1538-'[2]$ лето'!ah1538-'[2]$ лето'!ag1538-'[2]$ лето'!af1538-'[2]$ лето'!ae1538-'[2]$ лето'!ad1538-'[2]$ лето'!ab1538-'[2]$ лето'!aa1538-'[2]$ лето'!z1538-'[2]$ лето'!y1538-'[2]$ лето'!x1538-'[2]$ лето'!v1538-'[2]$ лето'!u1538-'[2]$ лето'!t1538-'[2]$ лето'!s1538-'[2]$ лето'!r1538-'[2]$ лето'!p1538-'[2]$ лето'!o1538-'[2]$ лето'!n1538-'[2]$ лето'!m1538-'[2]$ лето'!l1538+'[2]$ лето'!k1538+'[2]$ лето'!q1538+'[2]$ лето'!w1538+'[2]$ лето'!ac1538+'[2]$ лето'!ai1538+'[2]$ лето'!ao1538</f>
        <v>2</v>
      </c>
      <c r="I1538" s="109" t="n">
        <f aca="false">'[2]$ лето'!ay1538*1.1</f>
        <v>3080</v>
      </c>
    </row>
    <row r="1539" customFormat="false" ht="15" hidden="true" customHeight="false" outlineLevel="0" collapsed="false">
      <c r="A1539" s="115" t="s">
        <v>2118</v>
      </c>
      <c r="B1539" s="115" t="s">
        <v>1471</v>
      </c>
      <c r="C1539" s="107" t="s">
        <v>2127</v>
      </c>
      <c r="D1539" s="107"/>
      <c r="E1539" s="107"/>
      <c r="F1539" s="107"/>
      <c r="G1539" s="108" t="s">
        <v>609</v>
      </c>
      <c r="H1539" s="105" t="n">
        <f aca="false">'[2]$ лето'!j1539-'[2]$ лето'!au1539-'[2]$ лето'!at1539-'[2]$ лето'!as1539-'[2]$ лето'!ar1539-'[2]$ лето'!aq1539-'[2]$ лето'!ap1539-'[2]$ лето'!an1539-'[2]$ лето'!am1539-'[2]$ лето'!al1539-'[2]$ лето'!ak1539-'[2]$ лето'!aj1539-'[2]$ лето'!ah1539-'[2]$ лето'!ag1539-'[2]$ лето'!af1539-'[2]$ лето'!ae1539-'[2]$ лето'!ad1539-'[2]$ лето'!ab1539-'[2]$ лето'!aa1539-'[2]$ лето'!z1539-'[2]$ лето'!y1539-'[2]$ лето'!x1539-'[2]$ лето'!v1539-'[2]$ лето'!u1539-'[2]$ лето'!t1539-'[2]$ лето'!s1539-'[2]$ лето'!r1539-'[2]$ лето'!p1539-'[2]$ лето'!o1539-'[2]$ лето'!n1539-'[2]$ лето'!m1539-'[2]$ лето'!l1539+'[2]$ лето'!k1539+'[2]$ лето'!q1539+'[2]$ лето'!w1539+'[2]$ лето'!ac1539+'[2]$ лето'!ai1539+'[2]$ лето'!ao1539</f>
        <v>0</v>
      </c>
      <c r="I1539" s="109" t="n">
        <f aca="false">'[2]$ лето'!ay1539*1.1</f>
        <v>3234</v>
      </c>
      <c r="J1539" s="85" t="n">
        <v>2017</v>
      </c>
    </row>
    <row r="1540" customFormat="false" ht="15" hidden="false" customHeight="false" outlineLevel="0" collapsed="false">
      <c r="A1540" s="115" t="s">
        <v>2118</v>
      </c>
      <c r="B1540" s="115" t="s">
        <v>613</v>
      </c>
      <c r="C1540" s="107" t="s">
        <v>2128</v>
      </c>
      <c r="D1540" s="107"/>
      <c r="E1540" s="116"/>
      <c r="F1540" s="116"/>
      <c r="G1540" s="108"/>
      <c r="H1540" s="105" t="n">
        <f aca="false">'[2]$ лето'!j1540-'[2]$ лето'!au1540-'[2]$ лето'!at1540-'[2]$ лето'!as1540-'[2]$ лето'!ar1540-'[2]$ лето'!aq1540-'[2]$ лето'!ap1540-'[2]$ лето'!an1540-'[2]$ лето'!am1540-'[2]$ лето'!al1540-'[2]$ лето'!ak1540-'[2]$ лето'!aj1540-'[2]$ лето'!ah1540-'[2]$ лето'!ag1540-'[2]$ лето'!af1540-'[2]$ лето'!ae1540-'[2]$ лето'!ad1540-'[2]$ лето'!ab1540-'[2]$ лето'!aa1540-'[2]$ лето'!z1540-'[2]$ лето'!y1540-'[2]$ лето'!x1540-'[2]$ лето'!v1540-'[2]$ лето'!u1540-'[2]$ лето'!t1540-'[2]$ лето'!s1540-'[2]$ лето'!r1540-'[2]$ лето'!p1540-'[2]$ лето'!o1540-'[2]$ лето'!n1540-'[2]$ лето'!m1540-'[2]$ лето'!l1540+'[2]$ лето'!k1540+'[2]$ лето'!q1540+'[2]$ лето'!w1540+'[2]$ лето'!ac1540+'[2]$ лето'!ai1540+'[2]$ лето'!ao1540</f>
        <v>4</v>
      </c>
      <c r="I1540" s="109" t="n">
        <f aca="false">'[2]$ лето'!ay1540*1.1</f>
        <v>2833.6</v>
      </c>
    </row>
    <row r="1541" customFormat="false" ht="15" hidden="false" customHeight="false" outlineLevel="0" collapsed="false">
      <c r="A1541" s="115" t="s">
        <v>2118</v>
      </c>
      <c r="B1541" s="115" t="s">
        <v>593</v>
      </c>
      <c r="C1541" s="116" t="s">
        <v>2129</v>
      </c>
      <c r="D1541" s="116"/>
      <c r="E1541" s="116"/>
      <c r="F1541" s="116"/>
      <c r="G1541" s="108" t="s">
        <v>1432</v>
      </c>
      <c r="H1541" s="105" t="n">
        <f aca="false">'[2]$ лето'!j1541-'[2]$ лето'!au1541-'[2]$ лето'!at1541-'[2]$ лето'!as1541-'[2]$ лето'!ar1541-'[2]$ лето'!aq1541-'[2]$ лето'!ap1541-'[2]$ лето'!an1541-'[2]$ лето'!am1541-'[2]$ лето'!al1541-'[2]$ лето'!ak1541-'[2]$ лето'!aj1541-'[2]$ лето'!ah1541-'[2]$ лето'!ag1541-'[2]$ лето'!af1541-'[2]$ лето'!ae1541-'[2]$ лето'!ad1541-'[2]$ лето'!ab1541-'[2]$ лето'!aa1541-'[2]$ лето'!z1541-'[2]$ лето'!y1541-'[2]$ лето'!x1541-'[2]$ лето'!v1541-'[2]$ лето'!u1541-'[2]$ лето'!t1541-'[2]$ лето'!s1541-'[2]$ лето'!r1541-'[2]$ лето'!p1541-'[2]$ лето'!o1541-'[2]$ лето'!n1541-'[2]$ лето'!m1541-'[2]$ лето'!l1541+'[2]$ лето'!k1541+'[2]$ лето'!q1541+'[2]$ лето'!w1541+'[2]$ лето'!ac1541+'[2]$ лето'!ai1541+'[2]$ лето'!ao1541</f>
        <v>8</v>
      </c>
      <c r="I1541" s="109" t="n">
        <f aca="false">'[2]$ лето'!ay1541*1.1</f>
        <v>3880.8</v>
      </c>
      <c r="J1541" s="113" t="n">
        <v>2016</v>
      </c>
    </row>
    <row r="1542" customFormat="false" ht="15" hidden="true" customHeight="false" outlineLevel="0" collapsed="false">
      <c r="A1542" s="115" t="s">
        <v>2118</v>
      </c>
      <c r="B1542" s="115" t="s">
        <v>593</v>
      </c>
      <c r="C1542" s="116" t="s">
        <v>2130</v>
      </c>
      <c r="D1542" s="116"/>
      <c r="E1542" s="116"/>
      <c r="F1542" s="116"/>
      <c r="G1542" s="108" t="s">
        <v>663</v>
      </c>
      <c r="H1542" s="105" t="n">
        <f aca="false">'[2]$ лето'!j1542-'[2]$ лето'!au1542-'[2]$ лето'!at1542-'[2]$ лето'!as1542-'[2]$ лето'!ar1542-'[2]$ лето'!aq1542-'[2]$ лето'!ap1542-'[2]$ лето'!an1542-'[2]$ лето'!am1542-'[2]$ лето'!al1542-'[2]$ лето'!ak1542-'[2]$ лето'!aj1542-'[2]$ лето'!ah1542-'[2]$ лето'!ag1542-'[2]$ лето'!af1542-'[2]$ лето'!ae1542-'[2]$ лето'!ad1542-'[2]$ лето'!ab1542-'[2]$ лето'!aa1542-'[2]$ лето'!z1542-'[2]$ лето'!y1542-'[2]$ лето'!x1542-'[2]$ лето'!v1542-'[2]$ лето'!u1542-'[2]$ лето'!t1542-'[2]$ лето'!s1542-'[2]$ лето'!r1542-'[2]$ лето'!p1542-'[2]$ лето'!o1542-'[2]$ лето'!n1542-'[2]$ лето'!m1542-'[2]$ лето'!l1542+'[2]$ лето'!k1542+'[2]$ лето'!q1542+'[2]$ лето'!w1542+'[2]$ лето'!ac1542+'[2]$ лето'!ai1542+'[2]$ лето'!ao1542</f>
        <v>0</v>
      </c>
      <c r="I1542" s="109" t="n">
        <f aca="false">'[2]$ лето'!ay1542*1.1</f>
        <v>4866.4</v>
      </c>
      <c r="J1542" s="113"/>
    </row>
    <row r="1543" customFormat="false" ht="15" hidden="true" customHeight="false" outlineLevel="0" collapsed="false">
      <c r="A1543" s="115" t="s">
        <v>2118</v>
      </c>
      <c r="B1543" s="115" t="s">
        <v>615</v>
      </c>
      <c r="C1543" s="116" t="s">
        <v>2131</v>
      </c>
      <c r="D1543" s="116"/>
      <c r="E1543" s="116"/>
      <c r="F1543" s="116"/>
      <c r="G1543" s="108"/>
      <c r="H1543" s="105" t="n">
        <f aca="false">'[2]$ лето'!j1543-'[2]$ лето'!au1543-'[2]$ лето'!at1543-'[2]$ лето'!as1543-'[2]$ лето'!ar1543-'[2]$ лето'!aq1543-'[2]$ лето'!ap1543-'[2]$ лето'!an1543-'[2]$ лето'!am1543-'[2]$ лето'!al1543-'[2]$ лето'!ak1543-'[2]$ лето'!aj1543-'[2]$ лето'!ah1543-'[2]$ лето'!ag1543-'[2]$ лето'!af1543-'[2]$ лето'!ae1543-'[2]$ лето'!ad1543-'[2]$ лето'!ab1543-'[2]$ лето'!aa1543-'[2]$ лето'!z1543-'[2]$ лето'!y1543-'[2]$ лето'!x1543-'[2]$ лето'!v1543-'[2]$ лето'!u1543-'[2]$ лето'!t1543-'[2]$ лето'!s1543-'[2]$ лето'!r1543-'[2]$ лето'!p1543-'[2]$ лето'!o1543-'[2]$ лето'!n1543-'[2]$ лето'!m1543-'[2]$ лето'!l1543+'[2]$ лето'!k1543+'[2]$ лето'!q1543+'[2]$ лето'!w1543+'[2]$ лето'!ac1543+'[2]$ лето'!ai1543+'[2]$ лето'!ao1543</f>
        <v>0</v>
      </c>
      <c r="I1543" s="109" t="n">
        <f aca="false">'[2]$ лето'!ay1543*1.1</f>
        <v>2833.6</v>
      </c>
      <c r="J1543" s="113" t="n">
        <v>2016</v>
      </c>
    </row>
    <row r="1544" customFormat="false" ht="15" hidden="true" customHeight="false" outlineLevel="0" collapsed="false">
      <c r="A1544" s="115" t="s">
        <v>2118</v>
      </c>
      <c r="B1544" s="115" t="s">
        <v>615</v>
      </c>
      <c r="C1544" s="116" t="s">
        <v>2132</v>
      </c>
      <c r="D1544" s="116"/>
      <c r="E1544" s="116"/>
      <c r="F1544" s="116"/>
      <c r="G1544" s="108"/>
      <c r="H1544" s="105" t="n">
        <f aca="false">'[2]$ лето'!j1544-'[2]$ лето'!au1544-'[2]$ лето'!at1544-'[2]$ лето'!as1544-'[2]$ лето'!ar1544-'[2]$ лето'!aq1544-'[2]$ лето'!ap1544-'[2]$ лето'!an1544-'[2]$ лето'!am1544-'[2]$ лето'!al1544-'[2]$ лето'!ak1544-'[2]$ лето'!aj1544-'[2]$ лето'!ah1544-'[2]$ лето'!ag1544-'[2]$ лето'!af1544-'[2]$ лето'!ae1544-'[2]$ лето'!ad1544-'[2]$ лето'!ab1544-'[2]$ лето'!aa1544-'[2]$ лето'!z1544-'[2]$ лето'!y1544-'[2]$ лето'!x1544-'[2]$ лето'!v1544-'[2]$ лето'!u1544-'[2]$ лето'!t1544-'[2]$ лето'!s1544-'[2]$ лето'!r1544-'[2]$ лето'!p1544-'[2]$ лето'!o1544-'[2]$ лето'!n1544-'[2]$ лето'!m1544-'[2]$ лето'!l1544+'[2]$ лето'!k1544+'[2]$ лето'!q1544+'[2]$ лето'!w1544+'[2]$ лето'!ac1544+'[2]$ лето'!ai1544+'[2]$ лето'!ao1544</f>
        <v>0</v>
      </c>
      <c r="I1544" s="109" t="n">
        <f aca="false">'[2]$ лето'!ay1544*1.1</f>
        <v>2833.6</v>
      </c>
      <c r="J1544" s="113"/>
    </row>
    <row r="1545" customFormat="false" ht="15" hidden="true" customHeight="false" outlineLevel="0" collapsed="false">
      <c r="A1545" s="115" t="s">
        <v>2118</v>
      </c>
      <c r="B1545" s="115" t="s">
        <v>615</v>
      </c>
      <c r="C1545" s="119" t="s">
        <v>2133</v>
      </c>
      <c r="D1545" s="119"/>
      <c r="E1545" s="119"/>
      <c r="F1545" s="119"/>
      <c r="G1545" s="108"/>
      <c r="H1545" s="105" t="n">
        <f aca="false">'[2]$ лето'!j1545-'[2]$ лето'!au1545-'[2]$ лето'!at1545-'[2]$ лето'!as1545-'[2]$ лето'!ar1545-'[2]$ лето'!aq1545-'[2]$ лето'!ap1545-'[2]$ лето'!an1545-'[2]$ лето'!am1545-'[2]$ лето'!al1545-'[2]$ лето'!ak1545-'[2]$ лето'!aj1545-'[2]$ лето'!ah1545-'[2]$ лето'!ag1545-'[2]$ лето'!af1545-'[2]$ лето'!ae1545-'[2]$ лето'!ad1545-'[2]$ лето'!ab1545-'[2]$ лето'!aa1545-'[2]$ лето'!z1545-'[2]$ лето'!y1545-'[2]$ лето'!x1545-'[2]$ лето'!v1545-'[2]$ лето'!u1545-'[2]$ лето'!t1545-'[2]$ лето'!s1545-'[2]$ лето'!r1545-'[2]$ лето'!p1545-'[2]$ лето'!o1545-'[2]$ лето'!n1545-'[2]$ лето'!m1545-'[2]$ лето'!l1545+'[2]$ лето'!k1545+'[2]$ лето'!q1545+'[2]$ лето'!w1545+'[2]$ лето'!ac1545+'[2]$ лето'!ai1545+'[2]$ лето'!ao1545</f>
        <v>0</v>
      </c>
      <c r="I1545" s="109" t="n">
        <f aca="false">'[2]$ лето'!ay1545*1.1</f>
        <v>3080</v>
      </c>
      <c r="J1545" s="113"/>
    </row>
    <row r="1546" customFormat="false" ht="15" hidden="true" customHeight="false" outlineLevel="0" collapsed="false">
      <c r="A1546" s="115" t="s">
        <v>2118</v>
      </c>
      <c r="B1546" s="115" t="s">
        <v>589</v>
      </c>
      <c r="C1546" s="116" t="s">
        <v>2134</v>
      </c>
      <c r="D1546" s="116"/>
      <c r="E1546" s="116"/>
      <c r="F1546" s="116"/>
      <c r="G1546" s="108" t="s">
        <v>626</v>
      </c>
      <c r="H1546" s="105" t="n">
        <f aca="false">'[2]$ лето'!j1546-'[2]$ лето'!au1546-'[2]$ лето'!at1546-'[2]$ лето'!as1546-'[2]$ лето'!ar1546-'[2]$ лето'!aq1546-'[2]$ лето'!ap1546-'[2]$ лето'!an1546-'[2]$ лето'!am1546-'[2]$ лето'!al1546-'[2]$ лето'!ak1546-'[2]$ лето'!aj1546-'[2]$ лето'!ah1546-'[2]$ лето'!ag1546-'[2]$ лето'!af1546-'[2]$ лето'!ae1546-'[2]$ лето'!ad1546-'[2]$ лето'!ab1546-'[2]$ лето'!aa1546-'[2]$ лето'!z1546-'[2]$ лето'!y1546-'[2]$ лето'!x1546-'[2]$ лето'!v1546-'[2]$ лето'!u1546-'[2]$ лето'!t1546-'[2]$ лето'!s1546-'[2]$ лето'!r1546-'[2]$ лето'!p1546-'[2]$ лето'!o1546-'[2]$ лето'!n1546-'[2]$ лето'!m1546-'[2]$ лето'!l1546+'[2]$ лето'!k1546+'[2]$ лето'!q1546+'[2]$ лето'!w1546+'[2]$ лето'!ac1546+'[2]$ лето'!ai1546+'[2]$ лето'!ao1546</f>
        <v>0</v>
      </c>
      <c r="I1546" s="109" t="n">
        <f aca="false">'[2]$ лето'!ay1546*1.1</f>
        <v>4312</v>
      </c>
      <c r="J1546" s="113" t="n">
        <v>2017</v>
      </c>
    </row>
    <row r="1547" customFormat="false" ht="15" hidden="true" customHeight="false" outlineLevel="0" collapsed="false">
      <c r="A1547" s="115" t="s">
        <v>2118</v>
      </c>
      <c r="B1547" s="115" t="s">
        <v>589</v>
      </c>
      <c r="C1547" s="116" t="s">
        <v>2135</v>
      </c>
      <c r="D1547" s="116"/>
      <c r="E1547" s="116"/>
      <c r="F1547" s="116"/>
      <c r="G1547" s="108"/>
      <c r="H1547" s="105" t="n">
        <f aca="false">'[2]$ лето'!j1547-'[2]$ лето'!au1547-'[2]$ лето'!at1547-'[2]$ лето'!as1547-'[2]$ лето'!ar1547-'[2]$ лето'!aq1547-'[2]$ лето'!ap1547-'[2]$ лето'!an1547-'[2]$ лето'!am1547-'[2]$ лето'!al1547-'[2]$ лето'!ak1547-'[2]$ лето'!aj1547-'[2]$ лето'!ah1547-'[2]$ лето'!ag1547-'[2]$ лето'!af1547-'[2]$ лето'!ae1547-'[2]$ лето'!ad1547-'[2]$ лето'!ab1547-'[2]$ лето'!aa1547-'[2]$ лето'!z1547-'[2]$ лето'!y1547-'[2]$ лето'!x1547-'[2]$ лето'!v1547-'[2]$ лето'!u1547-'[2]$ лето'!t1547-'[2]$ лето'!s1547-'[2]$ лето'!r1547-'[2]$ лето'!p1547-'[2]$ лето'!o1547-'[2]$ лето'!n1547-'[2]$ лето'!m1547-'[2]$ лето'!l1547+'[2]$ лето'!k1547+'[2]$ лето'!q1547+'[2]$ лето'!w1547+'[2]$ лето'!ac1547+'[2]$ лето'!ai1547+'[2]$ лето'!ao1547</f>
        <v>0</v>
      </c>
      <c r="I1547" s="109" t="n">
        <f aca="false">'[2]$ лето'!ay1547*1.1</f>
        <v>4404.4</v>
      </c>
      <c r="J1547" s="113"/>
    </row>
    <row r="1548" customFormat="false" ht="15" hidden="true" customHeight="false" outlineLevel="0" collapsed="false">
      <c r="A1548" s="115" t="s">
        <v>2136</v>
      </c>
      <c r="B1548" s="115" t="s">
        <v>844</v>
      </c>
      <c r="C1548" s="116" t="s">
        <v>2137</v>
      </c>
      <c r="D1548" s="116"/>
      <c r="E1548" s="116"/>
      <c r="F1548" s="116"/>
      <c r="G1548" s="108" t="s">
        <v>1999</v>
      </c>
      <c r="H1548" s="105" t="n">
        <f aca="false">'[2]$ лето'!j1548-'[2]$ лето'!au1548-'[2]$ лето'!at1548-'[2]$ лето'!as1548-'[2]$ лето'!ar1548-'[2]$ лето'!aq1548-'[2]$ лето'!ap1548-'[2]$ лето'!an1548-'[2]$ лето'!am1548-'[2]$ лето'!al1548-'[2]$ лето'!ak1548-'[2]$ лето'!aj1548-'[2]$ лето'!ah1548-'[2]$ лето'!ag1548-'[2]$ лето'!af1548-'[2]$ лето'!ae1548-'[2]$ лето'!ad1548-'[2]$ лето'!ab1548-'[2]$ лето'!aa1548-'[2]$ лето'!z1548-'[2]$ лето'!y1548-'[2]$ лето'!x1548-'[2]$ лето'!v1548-'[2]$ лето'!u1548-'[2]$ лето'!t1548-'[2]$ лето'!s1548-'[2]$ лето'!r1548-'[2]$ лето'!p1548-'[2]$ лето'!o1548-'[2]$ лето'!n1548-'[2]$ лето'!m1548-'[2]$ лето'!l1548+'[2]$ лето'!k1548+'[2]$ лето'!q1548+'[2]$ лето'!w1548+'[2]$ лето'!ac1548+'[2]$ лето'!ai1548+'[2]$ лето'!ao1548</f>
        <v>0</v>
      </c>
      <c r="I1548" s="109" t="n">
        <f aca="false">'[2]$ лето'!ay1548*1.1</f>
        <v>5236</v>
      </c>
      <c r="J1548" s="113" t="n">
        <v>2016</v>
      </c>
    </row>
    <row r="1549" customFormat="false" ht="15" hidden="false" customHeight="false" outlineLevel="0" collapsed="false">
      <c r="A1549" s="115" t="s">
        <v>2136</v>
      </c>
      <c r="B1549" s="115" t="s">
        <v>593</v>
      </c>
      <c r="C1549" s="116" t="s">
        <v>2138</v>
      </c>
      <c r="D1549" s="116"/>
      <c r="E1549" s="116"/>
      <c r="F1549" s="116"/>
      <c r="G1549" s="108" t="s">
        <v>1432</v>
      </c>
      <c r="H1549" s="105" t="n">
        <f aca="false">'[2]$ лето'!j1549-'[2]$ лето'!au1549-'[2]$ лето'!at1549-'[2]$ лето'!as1549-'[2]$ лето'!ar1549-'[2]$ лето'!aq1549-'[2]$ лето'!ap1549-'[2]$ лето'!an1549-'[2]$ лето'!am1549-'[2]$ лето'!al1549-'[2]$ лето'!ak1549-'[2]$ лето'!aj1549-'[2]$ лето'!ah1549-'[2]$ лето'!ag1549-'[2]$ лето'!af1549-'[2]$ лето'!ae1549-'[2]$ лето'!ad1549-'[2]$ лето'!ab1549-'[2]$ лето'!aa1549-'[2]$ лето'!z1549-'[2]$ лето'!y1549-'[2]$ лето'!x1549-'[2]$ лето'!v1549-'[2]$ лето'!u1549-'[2]$ лето'!t1549-'[2]$ лето'!s1549-'[2]$ лето'!r1549-'[2]$ лето'!p1549-'[2]$ лето'!o1549-'[2]$ лето'!n1549-'[2]$ лето'!m1549-'[2]$ лето'!l1549+'[2]$ лето'!k1549+'[2]$ лето'!q1549+'[2]$ лето'!w1549+'[2]$ лето'!ac1549+'[2]$ лето'!ai1549+'[2]$ лето'!ao1549</f>
        <v>4</v>
      </c>
      <c r="I1549" s="109" t="n">
        <f aca="false">'[2]$ лето'!ay1549*1.1</f>
        <v>4928</v>
      </c>
      <c r="J1549" s="113" t="n">
        <v>2016</v>
      </c>
    </row>
    <row r="1550" customFormat="false" ht="15" hidden="false" customHeight="false" outlineLevel="0" collapsed="false">
      <c r="A1550" s="115" t="s">
        <v>2139</v>
      </c>
      <c r="B1550" s="115" t="s">
        <v>589</v>
      </c>
      <c r="C1550" s="116" t="s">
        <v>1822</v>
      </c>
      <c r="D1550" s="116"/>
      <c r="E1550" s="116"/>
      <c r="F1550" s="116"/>
      <c r="G1550" s="108"/>
      <c r="H1550" s="105" t="n">
        <f aca="false">'[2]$ лето'!j1550-'[2]$ лето'!au1550-'[2]$ лето'!at1550-'[2]$ лето'!as1550-'[2]$ лето'!ar1550-'[2]$ лето'!aq1550-'[2]$ лето'!ap1550-'[2]$ лето'!an1550-'[2]$ лето'!am1550-'[2]$ лето'!al1550-'[2]$ лето'!ak1550-'[2]$ лето'!aj1550-'[2]$ лето'!ah1550-'[2]$ лето'!ag1550-'[2]$ лето'!af1550-'[2]$ лето'!ae1550-'[2]$ лето'!ad1550-'[2]$ лето'!ab1550-'[2]$ лето'!aa1550-'[2]$ лето'!z1550-'[2]$ лето'!y1550-'[2]$ лето'!x1550-'[2]$ лето'!v1550-'[2]$ лето'!u1550-'[2]$ лето'!t1550-'[2]$ лето'!s1550-'[2]$ лето'!r1550-'[2]$ лето'!p1550-'[2]$ лето'!o1550-'[2]$ лето'!n1550-'[2]$ лето'!m1550-'[2]$ лето'!l1550+'[2]$ лето'!k1550+'[2]$ лето'!q1550+'[2]$ лето'!w1550+'[2]$ лето'!ac1550+'[2]$ лето'!ai1550+'[2]$ лето'!ao1550</f>
        <v>4</v>
      </c>
      <c r="I1550" s="109" t="n">
        <f aca="false">'[2]$ лето'!ay1550*1.1</f>
        <v>2499.2</v>
      </c>
      <c r="J1550" s="113"/>
    </row>
    <row r="1551" customFormat="false" ht="15" hidden="true" customHeight="false" outlineLevel="0" collapsed="false">
      <c r="A1551" s="115" t="s">
        <v>2139</v>
      </c>
      <c r="B1551" s="115" t="s">
        <v>589</v>
      </c>
      <c r="C1551" s="116" t="s">
        <v>2034</v>
      </c>
      <c r="D1551" s="116"/>
      <c r="E1551" s="116"/>
      <c r="F1551" s="116"/>
      <c r="G1551" s="108"/>
      <c r="H1551" s="105" t="n">
        <f aca="false">'[2]$ лето'!j1551-'[2]$ лето'!au1551-'[2]$ лето'!at1551-'[2]$ лето'!as1551-'[2]$ лето'!ar1551-'[2]$ лето'!aq1551-'[2]$ лето'!ap1551-'[2]$ лето'!an1551-'[2]$ лето'!am1551-'[2]$ лето'!al1551-'[2]$ лето'!ak1551-'[2]$ лето'!aj1551-'[2]$ лето'!ah1551-'[2]$ лето'!ag1551-'[2]$ лето'!af1551-'[2]$ лето'!ae1551-'[2]$ лето'!ad1551-'[2]$ лето'!ab1551-'[2]$ лето'!aa1551-'[2]$ лето'!z1551-'[2]$ лето'!y1551-'[2]$ лето'!x1551-'[2]$ лето'!v1551-'[2]$ лето'!u1551-'[2]$ лето'!t1551-'[2]$ лето'!s1551-'[2]$ лето'!r1551-'[2]$ лето'!p1551-'[2]$ лето'!o1551-'[2]$ лето'!n1551-'[2]$ лето'!m1551-'[2]$ лето'!l1551+'[2]$ лето'!k1551+'[2]$ лето'!q1551+'[2]$ лето'!w1551+'[2]$ лето'!ac1551+'[2]$ лето'!ai1551+'[2]$ лето'!ao1551</f>
        <v>0</v>
      </c>
      <c r="I1551" s="109" t="n">
        <f aca="false">'[2]$ лето'!ay1551*1.1</f>
        <v>2772</v>
      </c>
      <c r="J1551" s="113"/>
    </row>
    <row r="1552" customFormat="false" ht="15" hidden="true" customHeight="false" outlineLevel="0" collapsed="false">
      <c r="A1552" s="115" t="s">
        <v>2140</v>
      </c>
      <c r="B1552" s="115" t="s">
        <v>658</v>
      </c>
      <c r="C1552" s="116" t="s">
        <v>2141</v>
      </c>
      <c r="D1552" s="116"/>
      <c r="E1552" s="116"/>
      <c r="F1552" s="116"/>
      <c r="G1552" s="108" t="s">
        <v>868</v>
      </c>
      <c r="H1552" s="105" t="n">
        <f aca="false">'[2]$ лето'!j1552-'[2]$ лето'!au1552-'[2]$ лето'!at1552-'[2]$ лето'!as1552-'[2]$ лето'!ar1552-'[2]$ лето'!aq1552-'[2]$ лето'!ap1552-'[2]$ лето'!an1552-'[2]$ лето'!am1552-'[2]$ лето'!al1552-'[2]$ лето'!ak1552-'[2]$ лето'!aj1552-'[2]$ лето'!ah1552-'[2]$ лето'!ag1552-'[2]$ лето'!af1552-'[2]$ лето'!ae1552-'[2]$ лето'!ad1552-'[2]$ лето'!ab1552-'[2]$ лето'!aa1552-'[2]$ лето'!z1552-'[2]$ лето'!y1552-'[2]$ лето'!x1552-'[2]$ лето'!v1552-'[2]$ лето'!u1552-'[2]$ лето'!t1552-'[2]$ лето'!s1552-'[2]$ лето'!r1552-'[2]$ лето'!p1552-'[2]$ лето'!o1552-'[2]$ лето'!n1552-'[2]$ лето'!m1552-'[2]$ лето'!l1552+'[2]$ лето'!k1552+'[2]$ лето'!q1552+'[2]$ лето'!w1552+'[2]$ лето'!ac1552+'[2]$ лето'!ai1552+'[2]$ лето'!ao1552</f>
        <v>0</v>
      </c>
      <c r="I1552" s="109" t="n">
        <f aca="false">'[2]$ лето'!ay1552*1.1</f>
        <v>7238</v>
      </c>
      <c r="J1552" s="113" t="n">
        <v>2016</v>
      </c>
    </row>
    <row r="1553" customFormat="false" ht="15" hidden="true" customHeight="false" outlineLevel="0" collapsed="false">
      <c r="A1553" s="115" t="s">
        <v>2142</v>
      </c>
      <c r="B1553" s="115" t="s">
        <v>593</v>
      </c>
      <c r="C1553" s="107" t="s">
        <v>2143</v>
      </c>
      <c r="D1553" s="107"/>
      <c r="E1553" s="107"/>
      <c r="F1553" s="107"/>
      <c r="G1553" s="108"/>
      <c r="H1553" s="105" t="n">
        <f aca="false">'[2]$ лето'!j1553-'[2]$ лето'!au1553-'[2]$ лето'!at1553-'[2]$ лето'!as1553-'[2]$ лето'!ar1553-'[2]$ лето'!aq1553-'[2]$ лето'!ap1553-'[2]$ лето'!an1553-'[2]$ лето'!am1553-'[2]$ лето'!al1553-'[2]$ лето'!ak1553-'[2]$ лето'!aj1553-'[2]$ лето'!ah1553-'[2]$ лето'!ag1553-'[2]$ лето'!af1553-'[2]$ лето'!ae1553-'[2]$ лето'!ad1553-'[2]$ лето'!ab1553-'[2]$ лето'!aa1553-'[2]$ лето'!z1553-'[2]$ лето'!y1553-'[2]$ лето'!x1553-'[2]$ лето'!v1553-'[2]$ лето'!u1553-'[2]$ лето'!t1553-'[2]$ лето'!s1553-'[2]$ лето'!r1553-'[2]$ лето'!p1553-'[2]$ лето'!o1553-'[2]$ лето'!n1553-'[2]$ лето'!m1553-'[2]$ лето'!l1553+'[2]$ лето'!k1553+'[2]$ лето'!q1553+'[2]$ лето'!w1553+'[2]$ лето'!ac1553+'[2]$ лето'!ai1553+'[2]$ лето'!ao1553</f>
        <v>0</v>
      </c>
      <c r="I1553" s="109" t="n">
        <f aca="false">'[2]$ лето'!ay1553*1.1</f>
        <v>5636.4</v>
      </c>
    </row>
    <row r="1554" customFormat="false" ht="15" hidden="true" customHeight="false" outlineLevel="0" collapsed="false">
      <c r="A1554" s="115" t="s">
        <v>2142</v>
      </c>
      <c r="B1554" s="115" t="s">
        <v>615</v>
      </c>
      <c r="C1554" s="116" t="s">
        <v>2144</v>
      </c>
      <c r="D1554" s="116"/>
      <c r="E1554" s="116"/>
      <c r="F1554" s="116"/>
      <c r="G1554" s="108"/>
      <c r="H1554" s="105" t="n">
        <f aca="false">'[2]$ лето'!j1554-'[2]$ лето'!au1554-'[2]$ лето'!at1554-'[2]$ лето'!as1554-'[2]$ лето'!ar1554-'[2]$ лето'!aq1554-'[2]$ лето'!ap1554-'[2]$ лето'!an1554-'[2]$ лето'!am1554-'[2]$ лето'!al1554-'[2]$ лето'!ak1554-'[2]$ лето'!aj1554-'[2]$ лето'!ah1554-'[2]$ лето'!ag1554-'[2]$ лето'!af1554-'[2]$ лето'!ae1554-'[2]$ лето'!ad1554-'[2]$ лето'!ab1554-'[2]$ лето'!aa1554-'[2]$ лето'!z1554-'[2]$ лето'!y1554-'[2]$ лето'!x1554-'[2]$ лето'!v1554-'[2]$ лето'!u1554-'[2]$ лето'!t1554-'[2]$ лето'!s1554-'[2]$ лето'!r1554-'[2]$ лето'!p1554-'[2]$ лето'!o1554-'[2]$ лето'!n1554-'[2]$ лето'!m1554-'[2]$ лето'!l1554+'[2]$ лето'!k1554+'[2]$ лето'!q1554+'[2]$ лето'!w1554+'[2]$ лето'!ac1554+'[2]$ лето'!ai1554+'[2]$ лето'!ao1554</f>
        <v>0</v>
      </c>
      <c r="I1554" s="109" t="n">
        <f aca="false">'[2]$ лето'!ay1554*1.1</f>
        <v>2772</v>
      </c>
    </row>
    <row r="1555" customFormat="false" ht="15" hidden="true" customHeight="false" outlineLevel="0" collapsed="false">
      <c r="A1555" s="115" t="s">
        <v>2142</v>
      </c>
      <c r="B1555" s="115" t="s">
        <v>589</v>
      </c>
      <c r="C1555" s="116" t="s">
        <v>1409</v>
      </c>
      <c r="D1555" s="116"/>
      <c r="E1555" s="116"/>
      <c r="F1555" s="116"/>
      <c r="G1555" s="108"/>
      <c r="H1555" s="105" t="n">
        <f aca="false">'[2]$ лето'!j1555-'[2]$ лето'!au1555-'[2]$ лето'!at1555-'[2]$ лето'!as1555-'[2]$ лето'!ar1555-'[2]$ лето'!aq1555-'[2]$ лето'!ap1555-'[2]$ лето'!an1555-'[2]$ лето'!am1555-'[2]$ лето'!al1555-'[2]$ лето'!ak1555-'[2]$ лето'!aj1555-'[2]$ лето'!ah1555-'[2]$ лето'!ag1555-'[2]$ лето'!af1555-'[2]$ лето'!ae1555-'[2]$ лето'!ad1555-'[2]$ лето'!ab1555-'[2]$ лето'!aa1555-'[2]$ лето'!z1555-'[2]$ лето'!y1555-'[2]$ лето'!x1555-'[2]$ лето'!v1555-'[2]$ лето'!u1555-'[2]$ лето'!t1555-'[2]$ лето'!s1555-'[2]$ лето'!r1555-'[2]$ лето'!p1555-'[2]$ лето'!o1555-'[2]$ лето'!n1555-'[2]$ лето'!m1555-'[2]$ лето'!l1555+'[2]$ лето'!k1555+'[2]$ лето'!q1555+'[2]$ лето'!w1555+'[2]$ лето'!ac1555+'[2]$ лето'!ai1555+'[2]$ лето'!ao1555</f>
        <v>0</v>
      </c>
      <c r="I1555" s="109" t="n">
        <f aca="false">'[2]$ лето'!ay1555*1.1</f>
        <v>4004</v>
      </c>
    </row>
    <row r="1556" customFormat="false" ht="15" hidden="false" customHeight="false" outlineLevel="0" collapsed="false">
      <c r="A1556" s="148" t="s">
        <v>2145</v>
      </c>
      <c r="B1556" s="148" t="s">
        <v>707</v>
      </c>
      <c r="C1556" s="149" t="s">
        <v>2146</v>
      </c>
      <c r="D1556" s="149"/>
      <c r="E1556" s="149"/>
      <c r="F1556" s="149"/>
      <c r="G1556" s="108"/>
      <c r="H1556" s="150" t="n">
        <f aca="false">'[2]$ лето'!j1556-'[2]$ лето'!au1556-'[2]$ лето'!at1556-'[2]$ лето'!as1556-'[2]$ лето'!ar1556-'[2]$ лето'!aq1556-'[2]$ лето'!ap1556-'[2]$ лето'!an1556-'[2]$ лето'!am1556-'[2]$ лето'!al1556-'[2]$ лето'!ak1556-'[2]$ лето'!aj1556-'[2]$ лето'!ah1556-'[2]$ лето'!ag1556-'[2]$ лето'!af1556-'[2]$ лето'!ae1556-'[2]$ лето'!ad1556-'[2]$ лето'!ab1556-'[2]$ лето'!aa1556-'[2]$ лето'!z1556-'[2]$ лето'!y1556-'[2]$ лето'!x1556-'[2]$ лето'!v1556-'[2]$ лето'!u1556-'[2]$ лето'!t1556-'[2]$ лето'!s1556-'[2]$ лето'!r1556-'[2]$ лето'!p1556-'[2]$ лето'!o1556-'[2]$ лето'!n1556-'[2]$ лето'!m1556-'[2]$ лето'!l1556+'[2]$ лето'!k1556+'[2]$ лето'!q1556+'[2]$ лето'!w1556+'[2]$ лето'!ac1556+'[2]$ лето'!ai1556+'[2]$ лето'!ao1556</f>
        <v>8</v>
      </c>
      <c r="I1556" s="109" t="n">
        <f aca="false">'[2]$ лето'!ay1556*1.1</f>
        <v>2464</v>
      </c>
      <c r="J1556" s="85" t="s">
        <v>2147</v>
      </c>
    </row>
    <row r="1557" customFormat="false" ht="15" hidden="false" customHeight="false" outlineLevel="0" collapsed="false">
      <c r="A1557" s="115" t="s">
        <v>2148</v>
      </c>
      <c r="B1557" s="115" t="s">
        <v>601</v>
      </c>
      <c r="C1557" s="107" t="s">
        <v>2149</v>
      </c>
      <c r="D1557" s="107"/>
      <c r="E1557" s="116"/>
      <c r="F1557" s="116"/>
      <c r="G1557" s="108"/>
      <c r="H1557" s="105" t="n">
        <f aca="false">'[2]$ лето'!j1557-'[2]$ лето'!au1557-'[2]$ лето'!at1557-'[2]$ лето'!as1557-'[2]$ лето'!ar1557-'[2]$ лето'!aq1557-'[2]$ лето'!ap1557-'[2]$ лето'!an1557-'[2]$ лето'!am1557-'[2]$ лето'!al1557-'[2]$ лето'!ak1557-'[2]$ лето'!aj1557-'[2]$ лето'!ah1557-'[2]$ лето'!ag1557-'[2]$ лето'!af1557-'[2]$ лето'!ae1557-'[2]$ лето'!ad1557-'[2]$ лето'!ab1557-'[2]$ лето'!aa1557-'[2]$ лето'!z1557-'[2]$ лето'!y1557-'[2]$ лето'!x1557-'[2]$ лето'!v1557-'[2]$ лето'!u1557-'[2]$ лето'!t1557-'[2]$ лето'!s1557-'[2]$ лето'!r1557-'[2]$ лето'!p1557-'[2]$ лето'!o1557-'[2]$ лето'!n1557-'[2]$ лето'!m1557-'[2]$ лето'!l1557+'[2]$ лето'!k1557+'[2]$ лето'!q1557+'[2]$ лето'!w1557+'[2]$ лето'!ac1557+'[2]$ лето'!ai1557+'[2]$ лето'!ao1557</f>
        <v>4</v>
      </c>
      <c r="I1557" s="109" t="n">
        <f aca="false">'[2]$ лето'!ay1557*1.1</f>
        <v>5060</v>
      </c>
    </row>
    <row r="1558" customFormat="false" ht="15" hidden="true" customHeight="false" outlineLevel="0" collapsed="false">
      <c r="A1558" s="115" t="s">
        <v>2148</v>
      </c>
      <c r="B1558" s="115" t="s">
        <v>601</v>
      </c>
      <c r="C1558" s="107" t="s">
        <v>2150</v>
      </c>
      <c r="D1558" s="107"/>
      <c r="E1558" s="107"/>
      <c r="F1558" s="107"/>
      <c r="G1558" s="108" t="s">
        <v>626</v>
      </c>
      <c r="H1558" s="105" t="n">
        <f aca="false">'[2]$ лето'!j1558-'[2]$ лето'!au1558-'[2]$ лето'!at1558-'[2]$ лето'!as1558-'[2]$ лето'!ar1558-'[2]$ лето'!aq1558-'[2]$ лето'!ap1558-'[2]$ лето'!an1558-'[2]$ лето'!am1558-'[2]$ лето'!al1558-'[2]$ лето'!ak1558-'[2]$ лето'!aj1558-'[2]$ лето'!ah1558-'[2]$ лето'!ag1558-'[2]$ лето'!af1558-'[2]$ лето'!ae1558-'[2]$ лето'!ad1558-'[2]$ лето'!ab1558-'[2]$ лето'!aa1558-'[2]$ лето'!z1558-'[2]$ лето'!y1558-'[2]$ лето'!x1558-'[2]$ лето'!v1558-'[2]$ лето'!u1558-'[2]$ лето'!t1558-'[2]$ лето'!s1558-'[2]$ лето'!r1558-'[2]$ лето'!p1558-'[2]$ лето'!o1558-'[2]$ лето'!n1558-'[2]$ лето'!m1558-'[2]$ лето'!l1558+'[2]$ лето'!k1558+'[2]$ лето'!q1558+'[2]$ лето'!w1558+'[2]$ лето'!ac1558+'[2]$ лето'!ai1558+'[2]$ лето'!ao1558</f>
        <v>0</v>
      </c>
      <c r="I1558" s="109" t="n">
        <f aca="false">'[2]$ лето'!ay1558*1.1</f>
        <v>4928</v>
      </c>
    </row>
    <row r="1559" customFormat="false" ht="15" hidden="true" customHeight="false" outlineLevel="0" collapsed="false">
      <c r="A1559" s="115" t="s">
        <v>2148</v>
      </c>
      <c r="B1559" s="115" t="s">
        <v>601</v>
      </c>
      <c r="C1559" s="107" t="s">
        <v>2151</v>
      </c>
      <c r="D1559" s="107"/>
      <c r="E1559" s="107"/>
      <c r="F1559" s="107"/>
      <c r="G1559" s="108"/>
      <c r="H1559" s="105" t="n">
        <f aca="false">'[2]$ лето'!j1559-'[2]$ лето'!au1559-'[2]$ лето'!at1559-'[2]$ лето'!as1559-'[2]$ лето'!ar1559-'[2]$ лето'!aq1559-'[2]$ лето'!ap1559-'[2]$ лето'!an1559-'[2]$ лето'!am1559-'[2]$ лето'!al1559-'[2]$ лето'!ak1559-'[2]$ лето'!aj1559-'[2]$ лето'!ah1559-'[2]$ лето'!ag1559-'[2]$ лето'!af1559-'[2]$ лето'!ae1559-'[2]$ лето'!ad1559-'[2]$ лето'!ab1559-'[2]$ лето'!aa1559-'[2]$ лето'!z1559-'[2]$ лето'!y1559-'[2]$ лето'!x1559-'[2]$ лето'!v1559-'[2]$ лето'!u1559-'[2]$ лето'!t1559-'[2]$ лето'!s1559-'[2]$ лето'!r1559-'[2]$ лето'!p1559-'[2]$ лето'!o1559-'[2]$ лето'!n1559-'[2]$ лето'!m1559-'[2]$ лето'!l1559+'[2]$ лето'!k1559+'[2]$ лето'!q1559+'[2]$ лето'!w1559+'[2]$ лето'!ac1559+'[2]$ лето'!ai1559+'[2]$ лето'!ao1559</f>
        <v>0</v>
      </c>
      <c r="I1559" s="109" t="n">
        <f aca="false">'[2]$ лето'!ay1559*1.1</f>
        <v>4840</v>
      </c>
    </row>
    <row r="1560" customFormat="false" ht="15" hidden="true" customHeight="false" outlineLevel="0" collapsed="false">
      <c r="A1560" s="115" t="s">
        <v>2148</v>
      </c>
      <c r="B1560" s="115" t="s">
        <v>601</v>
      </c>
      <c r="C1560" s="107" t="s">
        <v>2152</v>
      </c>
      <c r="D1560" s="107"/>
      <c r="E1560" s="107"/>
      <c r="F1560" s="107"/>
      <c r="G1560" s="108" t="s">
        <v>876</v>
      </c>
      <c r="H1560" s="105" t="n">
        <f aca="false">'[2]$ лето'!j1560-'[2]$ лето'!au1560-'[2]$ лето'!at1560-'[2]$ лето'!as1560-'[2]$ лето'!ar1560-'[2]$ лето'!aq1560-'[2]$ лето'!ap1560-'[2]$ лето'!an1560-'[2]$ лето'!am1560-'[2]$ лето'!al1560-'[2]$ лето'!ak1560-'[2]$ лето'!aj1560-'[2]$ лето'!ah1560-'[2]$ лето'!ag1560-'[2]$ лето'!af1560-'[2]$ лето'!ae1560-'[2]$ лето'!ad1560-'[2]$ лето'!ab1560-'[2]$ лето'!aa1560-'[2]$ лето'!z1560-'[2]$ лето'!y1560-'[2]$ лето'!x1560-'[2]$ лето'!v1560-'[2]$ лето'!u1560-'[2]$ лето'!t1560-'[2]$ лето'!s1560-'[2]$ лето'!r1560-'[2]$ лето'!p1560-'[2]$ лето'!o1560-'[2]$ лето'!n1560-'[2]$ лето'!m1560-'[2]$ лето'!l1560+'[2]$ лето'!k1560+'[2]$ лето'!q1560+'[2]$ лето'!w1560+'[2]$ лето'!ac1560+'[2]$ лето'!ai1560+'[2]$ лето'!ao1560</f>
        <v>0</v>
      </c>
      <c r="I1560" s="109" t="n">
        <f aca="false">'[2]$ лето'!ay1560*1.1</f>
        <v>5112.8</v>
      </c>
    </row>
    <row r="1561" customFormat="false" ht="15" hidden="true" customHeight="false" outlineLevel="0" collapsed="false">
      <c r="A1561" s="115" t="s">
        <v>2148</v>
      </c>
      <c r="B1561" s="115" t="s">
        <v>658</v>
      </c>
      <c r="C1561" s="107" t="s">
        <v>1736</v>
      </c>
      <c r="D1561" s="107"/>
      <c r="E1561" s="107"/>
      <c r="F1561" s="107"/>
      <c r="G1561" s="108" t="s">
        <v>2153</v>
      </c>
      <c r="H1561" s="105" t="n">
        <f aca="false">'[2]$ лето'!j1561-'[2]$ лето'!au1561-'[2]$ лето'!at1561-'[2]$ лето'!as1561-'[2]$ лето'!ar1561-'[2]$ лето'!aq1561-'[2]$ лето'!ap1561-'[2]$ лето'!an1561-'[2]$ лето'!am1561-'[2]$ лето'!al1561-'[2]$ лето'!ak1561-'[2]$ лето'!aj1561-'[2]$ лето'!ah1561-'[2]$ лето'!ag1561-'[2]$ лето'!af1561-'[2]$ лето'!ae1561-'[2]$ лето'!ad1561-'[2]$ лето'!ab1561-'[2]$ лето'!aa1561-'[2]$ лето'!z1561-'[2]$ лето'!y1561-'[2]$ лето'!x1561-'[2]$ лето'!v1561-'[2]$ лето'!u1561-'[2]$ лето'!t1561-'[2]$ лето'!s1561-'[2]$ лето'!r1561-'[2]$ лето'!p1561-'[2]$ лето'!o1561-'[2]$ лето'!n1561-'[2]$ лето'!m1561-'[2]$ лето'!l1561+'[2]$ лето'!k1561+'[2]$ лето'!q1561+'[2]$ лето'!w1561+'[2]$ лето'!ac1561+'[2]$ лето'!ai1561+'[2]$ лето'!ao1561</f>
        <v>0</v>
      </c>
      <c r="I1561" s="109" t="n">
        <f aca="false">'[2]$ лето'!ay1561*1.1</f>
        <v>5913.6</v>
      </c>
      <c r="J1561" s="85" t="n">
        <v>2018</v>
      </c>
    </row>
    <row r="1562" customFormat="false" ht="15" hidden="true" customHeight="false" outlineLevel="0" collapsed="false">
      <c r="A1562" s="115" t="s">
        <v>2148</v>
      </c>
      <c r="B1562" s="115" t="s">
        <v>707</v>
      </c>
      <c r="C1562" s="107" t="s">
        <v>2154</v>
      </c>
      <c r="D1562" s="107"/>
      <c r="E1562" s="107"/>
      <c r="F1562" s="107"/>
      <c r="G1562" s="108" t="s">
        <v>876</v>
      </c>
      <c r="H1562" s="105" t="n">
        <f aca="false">'[2]$ лето'!j1562-'[2]$ лето'!au1562-'[2]$ лето'!at1562-'[2]$ лето'!as1562-'[2]$ лето'!ar1562-'[2]$ лето'!aq1562-'[2]$ лето'!ap1562-'[2]$ лето'!an1562-'[2]$ лето'!am1562-'[2]$ лето'!al1562-'[2]$ лето'!ak1562-'[2]$ лето'!aj1562-'[2]$ лето'!ah1562-'[2]$ лето'!ag1562-'[2]$ лето'!af1562-'[2]$ лето'!ae1562-'[2]$ лето'!ad1562-'[2]$ лето'!ab1562-'[2]$ лето'!aa1562-'[2]$ лето'!z1562-'[2]$ лето'!y1562-'[2]$ лето'!x1562-'[2]$ лето'!v1562-'[2]$ лето'!u1562-'[2]$ лето'!t1562-'[2]$ лето'!s1562-'[2]$ лето'!r1562-'[2]$ лето'!p1562-'[2]$ лето'!o1562-'[2]$ лето'!n1562-'[2]$ лето'!m1562-'[2]$ лето'!l1562+'[2]$ лето'!k1562+'[2]$ лето'!q1562+'[2]$ лето'!w1562+'[2]$ лето'!ac1562+'[2]$ лето'!ai1562+'[2]$ лето'!ao1562</f>
        <v>0</v>
      </c>
      <c r="I1562" s="109" t="n">
        <f aca="false">'[2]$ лето'!ay1562*1.1</f>
        <v>5420.8</v>
      </c>
    </row>
    <row r="1563" customFormat="false" ht="15" hidden="false" customHeight="false" outlineLevel="0" collapsed="false">
      <c r="A1563" s="129" t="s">
        <v>2148</v>
      </c>
      <c r="B1563" s="129" t="s">
        <v>707</v>
      </c>
      <c r="C1563" s="130" t="s">
        <v>2155</v>
      </c>
      <c r="D1563" s="130"/>
      <c r="E1563" s="131"/>
      <c r="F1563" s="131"/>
      <c r="G1563" s="132"/>
      <c r="H1563" s="105" t="n">
        <f aca="false">'[2]$ лето'!j1563-'[2]$ лето'!au1563-'[2]$ лето'!at1563-'[2]$ лето'!as1563-'[2]$ лето'!ar1563-'[2]$ лето'!aq1563-'[2]$ лето'!ap1563-'[2]$ лето'!an1563-'[2]$ лето'!am1563-'[2]$ лето'!al1563-'[2]$ лето'!ak1563-'[2]$ лето'!aj1563-'[2]$ лето'!ah1563-'[2]$ лето'!ag1563-'[2]$ лето'!af1563-'[2]$ лето'!ae1563-'[2]$ лето'!ad1563-'[2]$ лето'!ab1563-'[2]$ лето'!aa1563-'[2]$ лето'!z1563-'[2]$ лето'!y1563-'[2]$ лето'!x1563-'[2]$ лето'!v1563-'[2]$ лето'!u1563-'[2]$ лето'!t1563-'[2]$ лето'!s1563-'[2]$ лето'!r1563-'[2]$ лето'!p1563-'[2]$ лето'!o1563-'[2]$ лето'!n1563-'[2]$ лето'!m1563-'[2]$ лето'!l1563+'[2]$ лето'!k1563+'[2]$ лето'!q1563+'[2]$ лето'!w1563+'[2]$ лето'!ac1563+'[2]$ лето'!ai1563+'[2]$ лето'!ao1563</f>
        <v>2</v>
      </c>
      <c r="I1563" s="133"/>
      <c r="J1563" s="85" t="s">
        <v>2156</v>
      </c>
    </row>
    <row r="1564" customFormat="false" ht="15" hidden="false" customHeight="false" outlineLevel="0" collapsed="false">
      <c r="A1564" s="115" t="s">
        <v>2148</v>
      </c>
      <c r="B1564" s="115" t="s">
        <v>606</v>
      </c>
      <c r="C1564" s="134" t="s">
        <v>2157</v>
      </c>
      <c r="D1564" s="134"/>
      <c r="E1564" s="134"/>
      <c r="F1564" s="134"/>
      <c r="G1564" s="108"/>
      <c r="H1564" s="105" t="n">
        <f aca="false">'[2]$ лето'!j1564-'[2]$ лето'!au1564-'[2]$ лето'!at1564-'[2]$ лето'!as1564-'[2]$ лето'!ar1564-'[2]$ лето'!aq1564-'[2]$ лето'!ap1564-'[2]$ лето'!an1564-'[2]$ лето'!am1564-'[2]$ лето'!al1564-'[2]$ лето'!ak1564-'[2]$ лето'!aj1564-'[2]$ лето'!ah1564-'[2]$ лето'!ag1564-'[2]$ лето'!af1564-'[2]$ лето'!ae1564-'[2]$ лето'!ad1564-'[2]$ лето'!ab1564-'[2]$ лето'!aa1564-'[2]$ лето'!z1564-'[2]$ лето'!y1564-'[2]$ лето'!x1564-'[2]$ лето'!v1564-'[2]$ лето'!u1564-'[2]$ лето'!t1564-'[2]$ лето'!s1564-'[2]$ лето'!r1564-'[2]$ лето'!p1564-'[2]$ лето'!o1564-'[2]$ лето'!n1564-'[2]$ лето'!m1564-'[2]$ лето'!l1564+'[2]$ лето'!k1564+'[2]$ лето'!q1564+'[2]$ лето'!w1564+'[2]$ лето'!ac1564+'[2]$ лето'!ai1564+'[2]$ лето'!ao1564</f>
        <v>8</v>
      </c>
      <c r="I1564" s="109" t="n">
        <f aca="false">'[2]$ лето'!ay1564*1.1</f>
        <v>3850</v>
      </c>
      <c r="J1564" s="85" t="n">
        <v>2017</v>
      </c>
    </row>
    <row r="1565" customFormat="false" ht="15" hidden="false" customHeight="false" outlineLevel="0" collapsed="false">
      <c r="A1565" s="115" t="str">
        <f aca="false">$A$1564</f>
        <v>285.60/R18</v>
      </c>
      <c r="B1565" s="115" t="s">
        <v>668</v>
      </c>
      <c r="C1565" s="134" t="s">
        <v>2158</v>
      </c>
      <c r="D1565" s="134"/>
      <c r="E1565" s="134"/>
      <c r="F1565" s="134"/>
      <c r="G1565" s="108" t="s">
        <v>609</v>
      </c>
      <c r="H1565" s="105" t="n">
        <f aca="false">'[2]$ лето'!j1565-'[2]$ лето'!au1565-'[2]$ лето'!at1565-'[2]$ лето'!as1565-'[2]$ лето'!ar1565-'[2]$ лето'!aq1565-'[2]$ лето'!ap1565-'[2]$ лето'!an1565-'[2]$ лето'!am1565-'[2]$ лето'!al1565-'[2]$ лето'!ak1565-'[2]$ лето'!aj1565-'[2]$ лето'!ah1565-'[2]$ лето'!ag1565-'[2]$ лето'!af1565-'[2]$ лето'!ae1565-'[2]$ лето'!ad1565-'[2]$ лето'!ab1565-'[2]$ лето'!aa1565-'[2]$ лето'!z1565-'[2]$ лето'!y1565-'[2]$ лето'!x1565-'[2]$ лето'!v1565-'[2]$ лето'!u1565-'[2]$ лето'!t1565-'[2]$ лето'!s1565-'[2]$ лето'!r1565-'[2]$ лето'!p1565-'[2]$ лето'!o1565-'[2]$ лето'!n1565-'[2]$ лето'!m1565-'[2]$ лето'!l1565+'[2]$ лето'!k1565+'[2]$ лето'!q1565+'[2]$ лето'!w1565+'[2]$ лето'!ac1565+'[2]$ лето'!ai1565+'[2]$ лето'!ao1565</f>
        <v>8</v>
      </c>
      <c r="I1565" s="109" t="n">
        <f aca="false">'[2]$ лето'!ay1565*1.1</f>
        <v>3190</v>
      </c>
      <c r="J1565" s="85" t="n">
        <v>2018</v>
      </c>
    </row>
    <row r="1566" customFormat="false" ht="15" hidden="true" customHeight="false" outlineLevel="0" collapsed="false">
      <c r="A1566" s="115" t="s">
        <v>2148</v>
      </c>
      <c r="B1566" s="115" t="s">
        <v>593</v>
      </c>
      <c r="C1566" s="134" t="s">
        <v>2159</v>
      </c>
      <c r="D1566" s="134"/>
      <c r="E1566" s="134"/>
      <c r="F1566" s="134"/>
      <c r="G1566" s="108" t="s">
        <v>2160</v>
      </c>
      <c r="H1566" s="105" t="n">
        <f aca="false">'[2]$ лето'!j1566-'[2]$ лето'!au1566-'[2]$ лето'!at1566-'[2]$ лето'!as1566-'[2]$ лето'!ar1566-'[2]$ лето'!aq1566-'[2]$ лето'!ap1566-'[2]$ лето'!an1566-'[2]$ лето'!am1566-'[2]$ лето'!al1566-'[2]$ лето'!ak1566-'[2]$ лето'!aj1566-'[2]$ лето'!ah1566-'[2]$ лето'!ag1566-'[2]$ лето'!af1566-'[2]$ лето'!ae1566-'[2]$ лето'!ad1566-'[2]$ лето'!ab1566-'[2]$ лето'!aa1566-'[2]$ лето'!z1566-'[2]$ лето'!y1566-'[2]$ лето'!x1566-'[2]$ лето'!v1566-'[2]$ лето'!u1566-'[2]$ лето'!t1566-'[2]$ лето'!s1566-'[2]$ лето'!r1566-'[2]$ лето'!p1566-'[2]$ лето'!o1566-'[2]$ лето'!n1566-'[2]$ лето'!m1566-'[2]$ лето'!l1566+'[2]$ лето'!k1566+'[2]$ лето'!q1566+'[2]$ лето'!w1566+'[2]$ лето'!ac1566+'[2]$ лето'!ai1566+'[2]$ лето'!ao1566</f>
        <v>0</v>
      </c>
      <c r="I1566" s="109" t="n">
        <f aca="false">'[2]$ лето'!ay1566*1.1</f>
        <v>5574.8</v>
      </c>
      <c r="J1566" s="85" t="n">
        <v>2016</v>
      </c>
    </row>
    <row r="1567" customFormat="false" ht="15" hidden="true" customHeight="false" outlineLevel="0" collapsed="false">
      <c r="A1567" s="115" t="s">
        <v>2148</v>
      </c>
      <c r="B1567" s="115" t="s">
        <v>593</v>
      </c>
      <c r="C1567" s="134" t="s">
        <v>1044</v>
      </c>
      <c r="D1567" s="134"/>
      <c r="E1567" s="134"/>
      <c r="F1567" s="134"/>
      <c r="G1567" s="108"/>
      <c r="H1567" s="105" t="n">
        <f aca="false">'[2]$ лето'!j1567-'[2]$ лето'!au1567-'[2]$ лето'!at1567-'[2]$ лето'!as1567-'[2]$ лето'!ar1567-'[2]$ лето'!aq1567-'[2]$ лето'!ap1567-'[2]$ лето'!an1567-'[2]$ лето'!am1567-'[2]$ лето'!al1567-'[2]$ лето'!ak1567-'[2]$ лето'!aj1567-'[2]$ лето'!ah1567-'[2]$ лето'!ag1567-'[2]$ лето'!af1567-'[2]$ лето'!ae1567-'[2]$ лето'!ad1567-'[2]$ лето'!ab1567-'[2]$ лето'!aa1567-'[2]$ лето'!z1567-'[2]$ лето'!y1567-'[2]$ лето'!x1567-'[2]$ лето'!v1567-'[2]$ лето'!u1567-'[2]$ лето'!t1567-'[2]$ лето'!s1567-'[2]$ лето'!r1567-'[2]$ лето'!p1567-'[2]$ лето'!o1567-'[2]$ лето'!n1567-'[2]$ лето'!m1567-'[2]$ лето'!l1567+'[2]$ лето'!k1567+'[2]$ лето'!q1567+'[2]$ лето'!w1567+'[2]$ лето'!ac1567+'[2]$ лето'!ai1567+'[2]$ лето'!ao1567</f>
        <v>0</v>
      </c>
      <c r="I1567" s="109" t="n">
        <f aca="false">'[2]$ лето'!ay1567*1.1</f>
        <v>5544</v>
      </c>
    </row>
    <row r="1568" customFormat="false" ht="15" hidden="false" customHeight="false" outlineLevel="0" collapsed="false">
      <c r="A1568" s="129" t="s">
        <v>2148</v>
      </c>
      <c r="B1568" s="129" t="s">
        <v>1149</v>
      </c>
      <c r="C1568" s="131" t="s">
        <v>2161</v>
      </c>
      <c r="D1568" s="131"/>
      <c r="E1568" s="131"/>
      <c r="F1568" s="131"/>
      <c r="G1568" s="132"/>
      <c r="H1568" s="105" t="n">
        <f aca="false">'[2]$ лето'!j1568-'[2]$ лето'!au1568-'[2]$ лето'!at1568-'[2]$ лето'!as1568-'[2]$ лето'!ar1568-'[2]$ лето'!aq1568-'[2]$ лето'!ap1568-'[2]$ лето'!an1568-'[2]$ лето'!am1568-'[2]$ лето'!al1568-'[2]$ лето'!ak1568-'[2]$ лето'!aj1568-'[2]$ лето'!ah1568-'[2]$ лето'!ag1568-'[2]$ лето'!af1568-'[2]$ лето'!ae1568-'[2]$ лето'!ad1568-'[2]$ лето'!ab1568-'[2]$ лето'!aa1568-'[2]$ лето'!z1568-'[2]$ лето'!y1568-'[2]$ лето'!x1568-'[2]$ лето'!v1568-'[2]$ лето'!u1568-'[2]$ лето'!t1568-'[2]$ лето'!s1568-'[2]$ лето'!r1568-'[2]$ лето'!p1568-'[2]$ лето'!o1568-'[2]$ лето'!n1568-'[2]$ лето'!m1568-'[2]$ лето'!l1568+'[2]$ лето'!k1568+'[2]$ лето'!q1568+'[2]$ лето'!w1568+'[2]$ лето'!ac1568+'[2]$ лето'!ai1568+'[2]$ лето'!ao1568</f>
        <v>3</v>
      </c>
      <c r="I1568" s="133" t="n">
        <f aca="false">'[2]$ лето'!ay1568*1.1</f>
        <v>0</v>
      </c>
      <c r="J1568" s="85" t="s">
        <v>2162</v>
      </c>
    </row>
    <row r="1569" customFormat="false" ht="15" hidden="false" customHeight="false" outlineLevel="0" collapsed="false">
      <c r="A1569" s="115" t="s">
        <v>2148</v>
      </c>
      <c r="B1569" s="115" t="s">
        <v>615</v>
      </c>
      <c r="C1569" s="116" t="s">
        <v>2163</v>
      </c>
      <c r="D1569" s="116"/>
      <c r="E1569" s="116" t="n">
        <v>116</v>
      </c>
      <c r="F1569" s="116" t="s">
        <v>814</v>
      </c>
      <c r="G1569" s="108"/>
      <c r="H1569" s="105" t="n">
        <f aca="false">'[2]$ лето'!j1569-'[2]$ лето'!au1569-'[2]$ лето'!at1569-'[2]$ лето'!as1569-'[2]$ лето'!ar1569-'[2]$ лето'!aq1569-'[2]$ лето'!ap1569-'[2]$ лето'!an1569-'[2]$ лето'!am1569-'[2]$ лето'!al1569-'[2]$ лето'!ak1569-'[2]$ лето'!aj1569-'[2]$ лето'!ah1569-'[2]$ лето'!ag1569-'[2]$ лето'!af1569-'[2]$ лето'!ae1569-'[2]$ лето'!ad1569-'[2]$ лето'!ab1569-'[2]$ лето'!aa1569-'[2]$ лето'!z1569-'[2]$ лето'!y1569-'[2]$ лето'!x1569-'[2]$ лето'!v1569-'[2]$ лето'!u1569-'[2]$ лето'!t1569-'[2]$ лето'!s1569-'[2]$ лето'!r1569-'[2]$ лето'!p1569-'[2]$ лето'!o1569-'[2]$ лето'!n1569-'[2]$ лето'!m1569-'[2]$ лето'!l1569+'[2]$ лето'!k1569+'[2]$ лето'!q1569+'[2]$ лето'!w1569+'[2]$ лето'!ac1569+'[2]$ лето'!ai1569+'[2]$ лето'!ao1569</f>
        <v>4</v>
      </c>
      <c r="I1569" s="109" t="n">
        <f aca="false">'[2]$ лето'!ay1569*1.1</f>
        <v>3234</v>
      </c>
    </row>
    <row r="1570" customFormat="false" ht="15" hidden="false" customHeight="false" outlineLevel="0" collapsed="false">
      <c r="A1570" s="115" t="s">
        <v>2148</v>
      </c>
      <c r="B1570" s="115" t="s">
        <v>589</v>
      </c>
      <c r="C1570" s="107" t="s">
        <v>2164</v>
      </c>
      <c r="D1570" s="107"/>
      <c r="E1570" s="116"/>
      <c r="F1570" s="116"/>
      <c r="G1570" s="108" t="s">
        <v>1432</v>
      </c>
      <c r="H1570" s="105" t="n">
        <f aca="false">'[2]$ лето'!j1570-'[2]$ лето'!au1570-'[2]$ лето'!at1570-'[2]$ лето'!as1570-'[2]$ лето'!ar1570-'[2]$ лето'!aq1570-'[2]$ лето'!ap1570-'[2]$ лето'!an1570-'[2]$ лето'!am1570-'[2]$ лето'!al1570-'[2]$ лето'!ak1570-'[2]$ лето'!aj1570-'[2]$ лето'!ah1570-'[2]$ лето'!ag1570-'[2]$ лето'!af1570-'[2]$ лето'!ae1570-'[2]$ лето'!ad1570-'[2]$ лето'!ab1570-'[2]$ лето'!aa1570-'[2]$ лето'!z1570-'[2]$ лето'!y1570-'[2]$ лето'!x1570-'[2]$ лето'!v1570-'[2]$ лето'!u1570-'[2]$ лето'!t1570-'[2]$ лето'!s1570-'[2]$ лето'!r1570-'[2]$ лето'!p1570-'[2]$ лето'!o1570-'[2]$ лето'!n1570-'[2]$ лето'!m1570-'[2]$ лето'!l1570+'[2]$ лето'!k1570+'[2]$ лето'!q1570+'[2]$ лето'!w1570+'[2]$ лето'!ac1570+'[2]$ лето'!ai1570+'[2]$ лето'!ao1570</f>
        <v>4</v>
      </c>
      <c r="I1570" s="109" t="n">
        <f aca="false">'[2]$ лето'!ay1570*1.1</f>
        <v>5248.32</v>
      </c>
      <c r="J1570" s="85" t="n">
        <v>2017</v>
      </c>
    </row>
    <row r="1571" customFormat="false" ht="15" hidden="false" customHeight="false" outlineLevel="0" collapsed="false">
      <c r="A1571" s="115" t="s">
        <v>2148</v>
      </c>
      <c r="B1571" s="115" t="s">
        <v>589</v>
      </c>
      <c r="C1571" s="107" t="s">
        <v>2165</v>
      </c>
      <c r="D1571" s="107"/>
      <c r="E1571" s="116"/>
      <c r="F1571" s="116"/>
      <c r="G1571" s="108" t="s">
        <v>927</v>
      </c>
      <c r="H1571" s="105" t="n">
        <f aca="false">'[2]$ лето'!j1571-'[2]$ лето'!au1571-'[2]$ лето'!at1571-'[2]$ лето'!as1571-'[2]$ лето'!ar1571-'[2]$ лето'!aq1571-'[2]$ лето'!ap1571-'[2]$ лето'!an1571-'[2]$ лето'!am1571-'[2]$ лето'!al1571-'[2]$ лето'!ak1571-'[2]$ лето'!aj1571-'[2]$ лето'!ah1571-'[2]$ лето'!ag1571-'[2]$ лето'!af1571-'[2]$ лето'!ae1571-'[2]$ лето'!ad1571-'[2]$ лето'!ab1571-'[2]$ лето'!aa1571-'[2]$ лето'!z1571-'[2]$ лето'!y1571-'[2]$ лето'!x1571-'[2]$ лето'!v1571-'[2]$ лето'!u1571-'[2]$ лето'!t1571-'[2]$ лето'!s1571-'[2]$ лето'!r1571-'[2]$ лето'!p1571-'[2]$ лето'!o1571-'[2]$ лето'!n1571-'[2]$ лето'!m1571-'[2]$ лето'!l1571+'[2]$ лето'!k1571+'[2]$ лето'!q1571+'[2]$ лето'!w1571+'[2]$ лето'!ac1571+'[2]$ лето'!ai1571+'[2]$ лето'!ao1571</f>
        <v>4</v>
      </c>
      <c r="I1571" s="109" t="n">
        <f aca="false">'[2]$ лето'!ay1571*1.1</f>
        <v>4686</v>
      </c>
      <c r="J1571" s="85" t="n">
        <v>2017</v>
      </c>
    </row>
    <row r="1572" customFormat="false" ht="15" hidden="false" customHeight="false" outlineLevel="0" collapsed="false">
      <c r="A1572" s="115" t="s">
        <v>2148</v>
      </c>
      <c r="B1572" s="115" t="s">
        <v>564</v>
      </c>
      <c r="C1572" s="107" t="s">
        <v>2166</v>
      </c>
      <c r="D1572" s="107"/>
      <c r="E1572" s="116"/>
      <c r="F1572" s="116"/>
      <c r="G1572" s="108" t="s">
        <v>520</v>
      </c>
      <c r="H1572" s="105" t="n">
        <f aca="false">'[2]$ лето'!j1572-'[2]$ лето'!au1572-'[2]$ лето'!at1572-'[2]$ лето'!as1572-'[2]$ лето'!ar1572-'[2]$ лето'!aq1572-'[2]$ лето'!ap1572-'[2]$ лето'!an1572-'[2]$ лето'!am1572-'[2]$ лето'!al1572-'[2]$ лето'!ak1572-'[2]$ лето'!aj1572-'[2]$ лето'!ah1572-'[2]$ лето'!ag1572-'[2]$ лето'!af1572-'[2]$ лето'!ae1572-'[2]$ лето'!ad1572-'[2]$ лето'!ab1572-'[2]$ лето'!aa1572-'[2]$ лето'!z1572-'[2]$ лето'!y1572-'[2]$ лето'!x1572-'[2]$ лето'!v1572-'[2]$ лето'!u1572-'[2]$ лето'!t1572-'[2]$ лето'!s1572-'[2]$ лето'!r1572-'[2]$ лето'!p1572-'[2]$ лето'!o1572-'[2]$ лето'!n1572-'[2]$ лето'!m1572-'[2]$ лето'!l1572+'[2]$ лето'!k1572+'[2]$ лето'!q1572+'[2]$ лето'!w1572+'[2]$ лето'!ac1572+'[2]$ лето'!ai1572+'[2]$ лето'!ao1572</f>
        <v>4</v>
      </c>
      <c r="I1572" s="109" t="n">
        <f aca="false">'[2]$ лето'!ay1572*1.1</f>
        <v>2864.4</v>
      </c>
      <c r="J1572" s="85" t="n">
        <v>2017</v>
      </c>
    </row>
    <row r="1573" customFormat="false" ht="15" hidden="false" customHeight="false" outlineLevel="0" collapsed="false">
      <c r="A1573" s="115" t="s">
        <v>2148</v>
      </c>
      <c r="B1573" s="115" t="s">
        <v>1028</v>
      </c>
      <c r="C1573" s="107" t="s">
        <v>2167</v>
      </c>
      <c r="D1573" s="107"/>
      <c r="E1573" s="116"/>
      <c r="F1573" s="116"/>
      <c r="G1573" s="108"/>
      <c r="H1573" s="105" t="n">
        <f aca="false">'[2]$ лето'!j1573-'[2]$ лето'!au1573-'[2]$ лето'!at1573-'[2]$ лето'!as1573-'[2]$ лето'!ar1573-'[2]$ лето'!aq1573-'[2]$ лето'!ap1573-'[2]$ лето'!an1573-'[2]$ лето'!am1573-'[2]$ лето'!al1573-'[2]$ лето'!ak1573-'[2]$ лето'!aj1573-'[2]$ лето'!ah1573-'[2]$ лето'!ag1573-'[2]$ лето'!af1573-'[2]$ лето'!ae1573-'[2]$ лето'!ad1573-'[2]$ лето'!ab1573-'[2]$ лето'!aa1573-'[2]$ лето'!z1573-'[2]$ лето'!y1573-'[2]$ лето'!x1573-'[2]$ лето'!v1573-'[2]$ лето'!u1573-'[2]$ лето'!t1573-'[2]$ лето'!s1573-'[2]$ лето'!r1573-'[2]$ лето'!p1573-'[2]$ лето'!o1573-'[2]$ лето'!n1573-'[2]$ лето'!m1573-'[2]$ лето'!l1573+'[2]$ лето'!k1573+'[2]$ лето'!q1573+'[2]$ лето'!w1573+'[2]$ лето'!ac1573+'[2]$ лето'!ai1573+'[2]$ лето'!ao1573</f>
        <v>4</v>
      </c>
      <c r="I1573" s="109" t="n">
        <f aca="false">'[2]$ лето'!ay1573*1.1</f>
        <v>4158</v>
      </c>
      <c r="J1573" s="85" t="n">
        <v>2016</v>
      </c>
    </row>
    <row r="1574" customFormat="false" ht="15" hidden="true" customHeight="false" outlineLevel="0" collapsed="false">
      <c r="A1574" s="115" t="s">
        <v>2168</v>
      </c>
      <c r="B1574" s="115" t="s">
        <v>844</v>
      </c>
      <c r="C1574" s="116" t="s">
        <v>1072</v>
      </c>
      <c r="D1574" s="116"/>
      <c r="E1574" s="116"/>
      <c r="F1574" s="116"/>
      <c r="G1574" s="108"/>
      <c r="H1574" s="105" t="n">
        <f aca="false">'[2]$ лето'!j1574-'[2]$ лето'!au1574-'[2]$ лето'!at1574-'[2]$ лето'!as1574-'[2]$ лето'!ar1574-'[2]$ лето'!aq1574-'[2]$ лето'!ap1574-'[2]$ лето'!an1574-'[2]$ лето'!am1574-'[2]$ лето'!al1574-'[2]$ лето'!ak1574-'[2]$ лето'!aj1574-'[2]$ лето'!ah1574-'[2]$ лето'!ag1574-'[2]$ лето'!af1574-'[2]$ лето'!ae1574-'[2]$ лето'!ad1574-'[2]$ лето'!ab1574-'[2]$ лето'!aa1574-'[2]$ лето'!z1574-'[2]$ лето'!y1574-'[2]$ лето'!x1574-'[2]$ лето'!v1574-'[2]$ лето'!u1574-'[2]$ лето'!t1574-'[2]$ лето'!s1574-'[2]$ лето'!r1574-'[2]$ лето'!p1574-'[2]$ лето'!o1574-'[2]$ лето'!n1574-'[2]$ лето'!m1574-'[2]$ лето'!l1574+'[2]$ лето'!k1574+'[2]$ лето'!q1574+'[2]$ лето'!w1574+'[2]$ лето'!ac1574+'[2]$ лето'!ai1574+'[2]$ лето'!ao1574</f>
        <v>0</v>
      </c>
      <c r="I1574" s="109" t="n">
        <f aca="false">'[2]$ лето'!ay1574*1.1</f>
        <v>6344.8</v>
      </c>
    </row>
    <row r="1575" customFormat="false" ht="15" hidden="false" customHeight="false" outlineLevel="0" collapsed="false">
      <c r="A1575" s="110" t="s">
        <v>2169</v>
      </c>
      <c r="B1575" s="111"/>
      <c r="C1575" s="112"/>
      <c r="D1575" s="112"/>
      <c r="E1575" s="112"/>
      <c r="F1575" s="112"/>
      <c r="G1575" s="104"/>
      <c r="H1575" s="105"/>
      <c r="I1575" s="105" t="n">
        <f aca="false">'[2]$ лето'!ay1575*1.1</f>
        <v>0</v>
      </c>
    </row>
    <row r="1576" customFormat="false" ht="15" hidden="false" customHeight="false" outlineLevel="0" collapsed="false">
      <c r="A1576" s="127" t="s">
        <v>2170</v>
      </c>
      <c r="B1576" s="107" t="s">
        <v>593</v>
      </c>
      <c r="C1576" s="116" t="s">
        <v>2171</v>
      </c>
      <c r="D1576" s="116"/>
      <c r="E1576" s="116"/>
      <c r="F1576" s="116"/>
      <c r="G1576" s="108" t="s">
        <v>1432</v>
      </c>
      <c r="H1576" s="105" t="n">
        <f aca="false">'[2]$ лето'!j1576-'[2]$ лето'!au1576-'[2]$ лето'!at1576-'[2]$ лето'!as1576-'[2]$ лето'!ar1576-'[2]$ лето'!aq1576-'[2]$ лето'!ap1576-'[2]$ лето'!an1576-'[2]$ лето'!am1576-'[2]$ лето'!al1576-'[2]$ лето'!ak1576-'[2]$ лето'!aj1576-'[2]$ лето'!ah1576-'[2]$ лето'!ag1576-'[2]$ лето'!af1576-'[2]$ лето'!ae1576-'[2]$ лето'!ad1576-'[2]$ лето'!ab1576-'[2]$ лето'!aa1576-'[2]$ лето'!z1576-'[2]$ лето'!y1576-'[2]$ лето'!x1576-'[2]$ лето'!v1576-'[2]$ лето'!u1576-'[2]$ лето'!t1576-'[2]$ лето'!s1576-'[2]$ лето'!r1576-'[2]$ лето'!p1576-'[2]$ лето'!o1576-'[2]$ лето'!n1576-'[2]$ лето'!m1576-'[2]$ лето'!l1576+'[2]$ лето'!k1576+'[2]$ лето'!q1576+'[2]$ лето'!w1576+'[2]$ лето'!ac1576+'[2]$ лето'!ai1576+'[2]$ лето'!ao1576</f>
        <v>12</v>
      </c>
      <c r="I1576" s="109" t="n">
        <f aca="false">'[2]$ лето'!ay1576*1.1</f>
        <v>4004</v>
      </c>
      <c r="J1576" s="85" t="n">
        <v>2017</v>
      </c>
    </row>
    <row r="1577" customFormat="false" ht="15" hidden="false" customHeight="false" outlineLevel="0" collapsed="false">
      <c r="A1577" s="127" t="s">
        <v>2172</v>
      </c>
      <c r="B1577" s="123" t="s">
        <v>615</v>
      </c>
      <c r="C1577" s="116" t="s">
        <v>2173</v>
      </c>
      <c r="D1577" s="116"/>
      <c r="E1577" s="116"/>
      <c r="F1577" s="116"/>
      <c r="G1577" s="108"/>
      <c r="H1577" s="105" t="n">
        <f aca="false">'[2]$ лето'!j1577-'[2]$ лето'!au1577-'[2]$ лето'!at1577-'[2]$ лето'!as1577-'[2]$ лето'!ar1577-'[2]$ лето'!aq1577-'[2]$ лето'!ap1577-'[2]$ лето'!an1577-'[2]$ лето'!am1577-'[2]$ лето'!al1577-'[2]$ лето'!ak1577-'[2]$ лето'!aj1577-'[2]$ лето'!ah1577-'[2]$ лето'!ag1577-'[2]$ лето'!af1577-'[2]$ лето'!ae1577-'[2]$ лето'!ad1577-'[2]$ лето'!ab1577-'[2]$ лето'!aa1577-'[2]$ лето'!z1577-'[2]$ лето'!y1577-'[2]$ лето'!x1577-'[2]$ лето'!v1577-'[2]$ лето'!u1577-'[2]$ лето'!t1577-'[2]$ лето'!s1577-'[2]$ лето'!r1577-'[2]$ лето'!p1577-'[2]$ лето'!o1577-'[2]$ лето'!n1577-'[2]$ лето'!m1577-'[2]$ лето'!l1577+'[2]$ лето'!k1577+'[2]$ лето'!q1577+'[2]$ лето'!w1577+'[2]$ лето'!ac1577+'[2]$ лето'!ai1577+'[2]$ лето'!ao1577</f>
        <v>2</v>
      </c>
      <c r="I1577" s="109" t="n">
        <f aca="false">'[2]$ лето'!ay1577*1.1</f>
        <v>2772</v>
      </c>
    </row>
    <row r="1578" customFormat="false" ht="15" hidden="false" customHeight="false" outlineLevel="0" collapsed="false">
      <c r="A1578" s="141" t="s">
        <v>2172</v>
      </c>
      <c r="B1578" s="129" t="s">
        <v>589</v>
      </c>
      <c r="C1578" s="131" t="s">
        <v>2174</v>
      </c>
      <c r="D1578" s="131"/>
      <c r="E1578" s="131"/>
      <c r="F1578" s="131"/>
      <c r="G1578" s="132"/>
      <c r="H1578" s="105" t="n">
        <f aca="false">'[2]$ лето'!j1578-'[2]$ лето'!au1578-'[2]$ лето'!at1578-'[2]$ лето'!as1578-'[2]$ лето'!ar1578-'[2]$ лето'!aq1578-'[2]$ лето'!ap1578-'[2]$ лето'!an1578-'[2]$ лето'!am1578-'[2]$ лето'!al1578-'[2]$ лето'!ak1578-'[2]$ лето'!aj1578-'[2]$ лето'!ah1578-'[2]$ лето'!ag1578-'[2]$ лето'!af1578-'[2]$ лето'!ae1578-'[2]$ лето'!ad1578-'[2]$ лето'!ab1578-'[2]$ лето'!aa1578-'[2]$ лето'!z1578-'[2]$ лето'!y1578-'[2]$ лето'!x1578-'[2]$ лето'!v1578-'[2]$ лето'!u1578-'[2]$ лето'!t1578-'[2]$ лето'!s1578-'[2]$ лето'!r1578-'[2]$ лето'!p1578-'[2]$ лето'!o1578-'[2]$ лето'!n1578-'[2]$ лето'!m1578-'[2]$ лето'!l1578+'[2]$ лето'!k1578+'[2]$ лето'!q1578+'[2]$ лето'!w1578+'[2]$ лето'!ac1578+'[2]$ лето'!ai1578+'[2]$ лето'!ao1578</f>
        <v>1</v>
      </c>
      <c r="I1578" s="133" t="n">
        <f aca="false">'[2]$ лето'!ay1578*1.1</f>
        <v>440</v>
      </c>
    </row>
    <row r="1579" customFormat="false" ht="15" hidden="true" customHeight="false" outlineLevel="0" collapsed="false">
      <c r="A1579" s="127" t="s">
        <v>2175</v>
      </c>
      <c r="B1579" s="107" t="s">
        <v>593</v>
      </c>
      <c r="C1579" s="116" t="s">
        <v>2176</v>
      </c>
      <c r="D1579" s="116"/>
      <c r="E1579" s="116"/>
      <c r="F1579" s="116"/>
      <c r="G1579" s="108"/>
      <c r="H1579" s="105" t="n">
        <f aca="false">'[2]$ лето'!j1579-'[2]$ лето'!au1579-'[2]$ лето'!at1579-'[2]$ лето'!as1579-'[2]$ лето'!ar1579-'[2]$ лето'!aq1579-'[2]$ лето'!ap1579-'[2]$ лето'!an1579-'[2]$ лето'!am1579-'[2]$ лето'!al1579-'[2]$ лето'!ak1579-'[2]$ лето'!aj1579-'[2]$ лето'!ah1579-'[2]$ лето'!ag1579-'[2]$ лето'!af1579-'[2]$ лето'!ae1579-'[2]$ лето'!ad1579-'[2]$ лето'!ab1579-'[2]$ лето'!aa1579-'[2]$ лето'!z1579-'[2]$ лето'!y1579-'[2]$ лето'!x1579-'[2]$ лето'!v1579-'[2]$ лето'!u1579-'[2]$ лето'!t1579-'[2]$ лето'!s1579-'[2]$ лето'!r1579-'[2]$ лето'!p1579-'[2]$ лето'!o1579-'[2]$ лето'!n1579-'[2]$ лето'!m1579-'[2]$ лето'!l1579+'[2]$ лето'!k1579+'[2]$ лето'!q1579+'[2]$ лето'!w1579+'[2]$ лето'!ac1579+'[2]$ лето'!ai1579+'[2]$ лето'!ao1579</f>
        <v>0</v>
      </c>
      <c r="I1579" s="109" t="n">
        <f aca="false">'[2]$ лето'!ay1579*1.1</f>
        <v>0</v>
      </c>
    </row>
    <row r="1580" customFormat="false" ht="15" hidden="false" customHeight="false" outlineLevel="0" collapsed="false">
      <c r="A1580" s="127" t="s">
        <v>2175</v>
      </c>
      <c r="B1580" s="107" t="s">
        <v>601</v>
      </c>
      <c r="C1580" s="116" t="s">
        <v>2177</v>
      </c>
      <c r="D1580" s="116"/>
      <c r="E1580" s="116"/>
      <c r="F1580" s="116"/>
      <c r="G1580" s="108"/>
      <c r="H1580" s="105" t="n">
        <f aca="false">'[2]$ лето'!j1580-'[2]$ лето'!au1580-'[2]$ лето'!at1580-'[2]$ лето'!as1580-'[2]$ лето'!ar1580-'[2]$ лето'!aq1580-'[2]$ лето'!ap1580-'[2]$ лето'!an1580-'[2]$ лето'!am1580-'[2]$ лето'!al1580-'[2]$ лето'!ak1580-'[2]$ лето'!aj1580-'[2]$ лето'!ah1580-'[2]$ лето'!ag1580-'[2]$ лето'!af1580-'[2]$ лето'!ae1580-'[2]$ лето'!ad1580-'[2]$ лето'!ab1580-'[2]$ лето'!aa1580-'[2]$ лето'!z1580-'[2]$ лето'!y1580-'[2]$ лето'!x1580-'[2]$ лето'!v1580-'[2]$ лето'!u1580-'[2]$ лето'!t1580-'[2]$ лето'!s1580-'[2]$ лето'!r1580-'[2]$ лето'!p1580-'[2]$ лето'!o1580-'[2]$ лето'!n1580-'[2]$ лето'!m1580-'[2]$ лето'!l1580+'[2]$ лето'!k1580+'[2]$ лето'!q1580+'[2]$ лето'!w1580+'[2]$ лето'!ac1580+'[2]$ лето'!ai1580+'[2]$ лето'!ao1580</f>
        <v>4</v>
      </c>
      <c r="I1580" s="109" t="n">
        <f aca="false">'[2]$ лето'!ay1580*1.1</f>
        <v>4373.6</v>
      </c>
      <c r="J1580" s="85" t="n">
        <v>2018</v>
      </c>
    </row>
    <row r="1581" customFormat="false" ht="15" hidden="false" customHeight="false" outlineLevel="0" collapsed="false">
      <c r="A1581" s="141" t="s">
        <v>2175</v>
      </c>
      <c r="B1581" s="130" t="s">
        <v>601</v>
      </c>
      <c r="C1581" s="131" t="s">
        <v>2178</v>
      </c>
      <c r="D1581" s="131"/>
      <c r="E1581" s="131"/>
      <c r="F1581" s="131"/>
      <c r="G1581" s="132"/>
      <c r="H1581" s="105" t="n">
        <f aca="false">'[2]$ лето'!j1581-'[2]$ лето'!au1581-'[2]$ лето'!at1581-'[2]$ лето'!as1581-'[2]$ лето'!ar1581-'[2]$ лето'!aq1581-'[2]$ лето'!ap1581-'[2]$ лето'!an1581-'[2]$ лето'!am1581-'[2]$ лето'!al1581-'[2]$ лето'!ak1581-'[2]$ лето'!aj1581-'[2]$ лето'!ah1581-'[2]$ лето'!ag1581-'[2]$ лето'!af1581-'[2]$ лето'!ae1581-'[2]$ лето'!ad1581-'[2]$ лето'!ab1581-'[2]$ лето'!aa1581-'[2]$ лето'!z1581-'[2]$ лето'!y1581-'[2]$ лето'!x1581-'[2]$ лето'!v1581-'[2]$ лето'!u1581-'[2]$ лето'!t1581-'[2]$ лето'!s1581-'[2]$ лето'!r1581-'[2]$ лето'!p1581-'[2]$ лето'!o1581-'[2]$ лето'!n1581-'[2]$ лето'!m1581-'[2]$ лето'!l1581+'[2]$ лето'!k1581+'[2]$ лето'!q1581+'[2]$ лето'!w1581+'[2]$ лето'!ac1581+'[2]$ лето'!ai1581+'[2]$ лето'!ao1581</f>
        <v>2</v>
      </c>
      <c r="I1581" s="133" t="n">
        <f aca="false">'[2]$ лето'!ay1581*1.1</f>
        <v>1540</v>
      </c>
      <c r="J1581" s="142"/>
    </row>
    <row r="1582" customFormat="false" ht="15" hidden="false" customHeight="false" outlineLevel="0" collapsed="false">
      <c r="A1582" s="127" t="s">
        <v>2175</v>
      </c>
      <c r="B1582" s="107" t="s">
        <v>658</v>
      </c>
      <c r="C1582" s="116" t="s">
        <v>2179</v>
      </c>
      <c r="D1582" s="116"/>
      <c r="E1582" s="116"/>
      <c r="F1582" s="116"/>
      <c r="G1582" s="108" t="s">
        <v>585</v>
      </c>
      <c r="H1582" s="105" t="n">
        <f aca="false">'[2]$ лето'!j1582-'[2]$ лето'!au1582-'[2]$ лето'!at1582-'[2]$ лето'!as1582-'[2]$ лето'!ar1582-'[2]$ лето'!aq1582-'[2]$ лето'!ap1582-'[2]$ лето'!an1582-'[2]$ лето'!am1582-'[2]$ лето'!al1582-'[2]$ лето'!ak1582-'[2]$ лето'!aj1582-'[2]$ лето'!ah1582-'[2]$ лето'!ag1582-'[2]$ лето'!af1582-'[2]$ лето'!ae1582-'[2]$ лето'!ad1582-'[2]$ лето'!ab1582-'[2]$ лето'!aa1582-'[2]$ лето'!z1582-'[2]$ лето'!y1582-'[2]$ лето'!x1582-'[2]$ лето'!v1582-'[2]$ лето'!u1582-'[2]$ лето'!t1582-'[2]$ лето'!s1582-'[2]$ лето'!r1582-'[2]$ лето'!p1582-'[2]$ лето'!o1582-'[2]$ лето'!n1582-'[2]$ лето'!m1582-'[2]$ лето'!l1582+'[2]$ лето'!k1582+'[2]$ лето'!q1582+'[2]$ лето'!w1582+'[2]$ лето'!ac1582+'[2]$ лето'!ai1582+'[2]$ лето'!ao1582</f>
        <v>2</v>
      </c>
      <c r="I1582" s="109" t="n">
        <f aca="false">'[2]$ лето'!ay1582*1.1</f>
        <v>4250.4</v>
      </c>
      <c r="J1582" s="85" t="n">
        <v>2018</v>
      </c>
    </row>
    <row r="1583" customFormat="false" ht="15" hidden="true" customHeight="false" outlineLevel="0" collapsed="false">
      <c r="A1583" s="127" t="s">
        <v>2175</v>
      </c>
      <c r="B1583" s="123" t="s">
        <v>707</v>
      </c>
      <c r="C1583" s="116" t="s">
        <v>2180</v>
      </c>
      <c r="D1583" s="116"/>
      <c r="E1583" s="116"/>
      <c r="F1583" s="116"/>
      <c r="G1583" s="108"/>
      <c r="H1583" s="105" t="n">
        <f aca="false">'[2]$ лето'!j1583-'[2]$ лето'!au1583-'[2]$ лето'!at1583-'[2]$ лето'!as1583-'[2]$ лето'!ar1583-'[2]$ лето'!aq1583-'[2]$ лето'!ap1583-'[2]$ лето'!an1583-'[2]$ лето'!am1583-'[2]$ лето'!al1583-'[2]$ лето'!ak1583-'[2]$ лето'!aj1583-'[2]$ лето'!ah1583-'[2]$ лето'!ag1583-'[2]$ лето'!af1583-'[2]$ лето'!ae1583-'[2]$ лето'!ad1583-'[2]$ лето'!ab1583-'[2]$ лето'!aa1583-'[2]$ лето'!z1583-'[2]$ лето'!y1583-'[2]$ лето'!x1583-'[2]$ лето'!v1583-'[2]$ лето'!u1583-'[2]$ лето'!t1583-'[2]$ лето'!s1583-'[2]$ лето'!r1583-'[2]$ лето'!p1583-'[2]$ лето'!o1583-'[2]$ лето'!n1583-'[2]$ лето'!m1583-'[2]$ лето'!l1583+'[2]$ лето'!k1583+'[2]$ лето'!q1583+'[2]$ лето'!w1583+'[2]$ лето'!ac1583+'[2]$ лето'!ai1583+'[2]$ лето'!ao1583</f>
        <v>0</v>
      </c>
      <c r="I1583" s="109" t="n">
        <f aca="false">'[2]$ лето'!ay1583*1.1</f>
        <v>2772</v>
      </c>
      <c r="J1583" s="85" t="n">
        <v>2011</v>
      </c>
    </row>
    <row r="1584" customFormat="false" ht="15" hidden="true" customHeight="false" outlineLevel="0" collapsed="false">
      <c r="A1584" s="127" t="s">
        <v>2175</v>
      </c>
      <c r="B1584" s="123" t="s">
        <v>606</v>
      </c>
      <c r="C1584" s="116" t="s">
        <v>2181</v>
      </c>
      <c r="D1584" s="116"/>
      <c r="E1584" s="116"/>
      <c r="F1584" s="116"/>
      <c r="G1584" s="108"/>
      <c r="H1584" s="105" t="n">
        <f aca="false">'[2]$ лето'!j1584-'[2]$ лето'!au1584-'[2]$ лето'!at1584-'[2]$ лето'!as1584-'[2]$ лето'!ar1584-'[2]$ лето'!aq1584-'[2]$ лето'!ap1584-'[2]$ лето'!an1584-'[2]$ лето'!am1584-'[2]$ лето'!al1584-'[2]$ лето'!ak1584-'[2]$ лето'!aj1584-'[2]$ лето'!ah1584-'[2]$ лето'!ag1584-'[2]$ лето'!af1584-'[2]$ лето'!ae1584-'[2]$ лето'!ad1584-'[2]$ лето'!ab1584-'[2]$ лето'!aa1584-'[2]$ лето'!z1584-'[2]$ лето'!y1584-'[2]$ лето'!x1584-'[2]$ лето'!v1584-'[2]$ лето'!u1584-'[2]$ лето'!t1584-'[2]$ лето'!s1584-'[2]$ лето'!r1584-'[2]$ лето'!p1584-'[2]$ лето'!o1584-'[2]$ лето'!n1584-'[2]$ лето'!m1584-'[2]$ лето'!l1584+'[2]$ лето'!k1584+'[2]$ лето'!q1584+'[2]$ лето'!w1584+'[2]$ лето'!ac1584+'[2]$ лето'!ai1584+'[2]$ лето'!ao1584</f>
        <v>0</v>
      </c>
      <c r="I1584" s="109" t="n">
        <f aca="false">'[2]$ лето'!ay1584*1.1</f>
        <v>3788.4</v>
      </c>
    </row>
    <row r="1585" customFormat="false" ht="15" hidden="true" customHeight="false" outlineLevel="0" collapsed="false">
      <c r="A1585" s="127" t="s">
        <v>2175</v>
      </c>
      <c r="B1585" s="123" t="s">
        <v>606</v>
      </c>
      <c r="C1585" s="116" t="s">
        <v>2182</v>
      </c>
      <c r="D1585" s="116"/>
      <c r="E1585" s="116"/>
      <c r="F1585" s="116"/>
      <c r="G1585" s="108"/>
      <c r="H1585" s="105" t="n">
        <f aca="false">'[2]$ лето'!j1585-'[2]$ лето'!au1585-'[2]$ лето'!at1585-'[2]$ лето'!as1585-'[2]$ лето'!ar1585-'[2]$ лето'!aq1585-'[2]$ лето'!ap1585-'[2]$ лето'!an1585-'[2]$ лето'!am1585-'[2]$ лето'!al1585-'[2]$ лето'!ak1585-'[2]$ лето'!aj1585-'[2]$ лето'!ah1585-'[2]$ лето'!ag1585-'[2]$ лето'!af1585-'[2]$ лето'!ae1585-'[2]$ лето'!ad1585-'[2]$ лето'!ab1585-'[2]$ лето'!aa1585-'[2]$ лето'!z1585-'[2]$ лето'!y1585-'[2]$ лето'!x1585-'[2]$ лето'!v1585-'[2]$ лето'!u1585-'[2]$ лето'!t1585-'[2]$ лето'!s1585-'[2]$ лето'!r1585-'[2]$ лето'!p1585-'[2]$ лето'!o1585-'[2]$ лето'!n1585-'[2]$ лето'!m1585-'[2]$ лето'!l1585+'[2]$ лето'!k1585+'[2]$ лето'!q1585+'[2]$ лето'!w1585+'[2]$ лето'!ac1585+'[2]$ лето'!ai1585+'[2]$ лето'!ao1585</f>
        <v>0</v>
      </c>
      <c r="I1585" s="109" t="n">
        <f aca="false">'[2]$ лето'!ay1585*1.1</f>
        <v>3788.4</v>
      </c>
      <c r="J1585" s="85" t="n">
        <v>2017</v>
      </c>
    </row>
    <row r="1586" customFormat="false" ht="15" hidden="false" customHeight="false" outlineLevel="0" collapsed="false">
      <c r="A1586" s="127" t="s">
        <v>2175</v>
      </c>
      <c r="B1586" s="123" t="s">
        <v>606</v>
      </c>
      <c r="C1586" s="116" t="s">
        <v>2183</v>
      </c>
      <c r="D1586" s="116"/>
      <c r="E1586" s="116"/>
      <c r="F1586" s="116"/>
      <c r="G1586" s="108"/>
      <c r="H1586" s="105" t="n">
        <f aca="false">'[2]$ лето'!j1586-'[2]$ лето'!au1586-'[2]$ лето'!at1586-'[2]$ лето'!as1586-'[2]$ лето'!ar1586-'[2]$ лето'!aq1586-'[2]$ лето'!ap1586-'[2]$ лето'!an1586-'[2]$ лето'!am1586-'[2]$ лето'!al1586-'[2]$ лето'!ak1586-'[2]$ лето'!aj1586-'[2]$ лето'!ah1586-'[2]$ лето'!ag1586-'[2]$ лето'!af1586-'[2]$ лето'!ae1586-'[2]$ лето'!ad1586-'[2]$ лето'!ab1586-'[2]$ лето'!aa1586-'[2]$ лето'!z1586-'[2]$ лето'!y1586-'[2]$ лето'!x1586-'[2]$ лето'!v1586-'[2]$ лето'!u1586-'[2]$ лето'!t1586-'[2]$ лето'!s1586-'[2]$ лето'!r1586-'[2]$ лето'!p1586-'[2]$ лето'!o1586-'[2]$ лето'!n1586-'[2]$ лето'!m1586-'[2]$ лето'!l1586+'[2]$ лето'!k1586+'[2]$ лето'!q1586+'[2]$ лето'!w1586+'[2]$ лето'!ac1586+'[2]$ лето'!ai1586+'[2]$ лето'!ao1586</f>
        <v>4</v>
      </c>
      <c r="I1586" s="109" t="n">
        <f aca="false">'[2]$ лето'!ay1586*1.1</f>
        <v>3634.4</v>
      </c>
      <c r="J1586" s="85" t="n">
        <v>2018</v>
      </c>
    </row>
    <row r="1587" customFormat="false" ht="15" hidden="false" customHeight="false" outlineLevel="0" collapsed="false">
      <c r="A1587" s="127" t="s">
        <v>2175</v>
      </c>
      <c r="B1587" s="123" t="s">
        <v>583</v>
      </c>
      <c r="C1587" s="116" t="s">
        <v>2184</v>
      </c>
      <c r="D1587" s="116"/>
      <c r="E1587" s="116"/>
      <c r="F1587" s="116"/>
      <c r="G1587" s="108" t="s">
        <v>585</v>
      </c>
      <c r="H1587" s="105" t="n">
        <f aca="false">'[2]$ лето'!j1587-'[2]$ лето'!au1587-'[2]$ лето'!at1587-'[2]$ лето'!as1587-'[2]$ лето'!ar1587-'[2]$ лето'!aq1587-'[2]$ лето'!ap1587-'[2]$ лето'!an1587-'[2]$ лето'!am1587-'[2]$ лето'!al1587-'[2]$ лето'!ak1587-'[2]$ лето'!aj1587-'[2]$ лето'!ah1587-'[2]$ лето'!ag1587-'[2]$ лето'!af1587-'[2]$ лето'!ae1587-'[2]$ лето'!ad1587-'[2]$ лето'!ab1587-'[2]$ лето'!aa1587-'[2]$ лето'!z1587-'[2]$ лето'!y1587-'[2]$ лето'!x1587-'[2]$ лето'!v1587-'[2]$ лето'!u1587-'[2]$ лето'!t1587-'[2]$ лето'!s1587-'[2]$ лето'!r1587-'[2]$ лето'!p1587-'[2]$ лето'!o1587-'[2]$ лето'!n1587-'[2]$ лето'!m1587-'[2]$ лето'!l1587+'[2]$ лето'!k1587+'[2]$ лето'!q1587+'[2]$ лето'!w1587+'[2]$ лето'!ac1587+'[2]$ лето'!ai1587+'[2]$ лето'!ao1587</f>
        <v>6</v>
      </c>
      <c r="I1587" s="109" t="n">
        <f aca="false">'[2]$ лето'!ay1587*1.1</f>
        <v>2618</v>
      </c>
      <c r="J1587" s="85" t="n">
        <v>2017</v>
      </c>
    </row>
    <row r="1588" customFormat="false" ht="15" hidden="true" customHeight="false" outlineLevel="0" collapsed="false">
      <c r="A1588" s="127" t="s">
        <v>2175</v>
      </c>
      <c r="B1588" s="123" t="s">
        <v>593</v>
      </c>
      <c r="C1588" s="116" t="s">
        <v>2185</v>
      </c>
      <c r="D1588" s="116"/>
      <c r="E1588" s="116"/>
      <c r="F1588" s="116"/>
      <c r="G1588" s="108" t="s">
        <v>1127</v>
      </c>
      <c r="H1588" s="105" t="n">
        <f aca="false">'[2]$ лето'!j1588-'[2]$ лето'!au1588-'[2]$ лето'!at1588-'[2]$ лето'!as1588-'[2]$ лето'!ar1588-'[2]$ лето'!aq1588-'[2]$ лето'!ap1588-'[2]$ лето'!an1588-'[2]$ лето'!am1588-'[2]$ лето'!al1588-'[2]$ лето'!ak1588-'[2]$ лето'!aj1588-'[2]$ лето'!ah1588-'[2]$ лето'!ag1588-'[2]$ лето'!af1588-'[2]$ лето'!ae1588-'[2]$ лето'!ad1588-'[2]$ лето'!ab1588-'[2]$ лето'!aa1588-'[2]$ лето'!z1588-'[2]$ лето'!y1588-'[2]$ лето'!x1588-'[2]$ лето'!v1588-'[2]$ лето'!u1588-'[2]$ лето'!t1588-'[2]$ лето'!s1588-'[2]$ лето'!r1588-'[2]$ лето'!p1588-'[2]$ лето'!o1588-'[2]$ лето'!n1588-'[2]$ лето'!m1588-'[2]$ лето'!l1588+'[2]$ лето'!k1588+'[2]$ лето'!q1588+'[2]$ лето'!w1588+'[2]$ лето'!ac1588+'[2]$ лето'!ai1588+'[2]$ лето'!ao1588</f>
        <v>0</v>
      </c>
      <c r="I1588" s="109" t="n">
        <f aca="false">'[2]$ лето'!ay1588*1.1</f>
        <v>5082</v>
      </c>
      <c r="J1588" s="85" t="n">
        <v>2018</v>
      </c>
    </row>
    <row r="1589" customFormat="false" ht="15" hidden="true" customHeight="false" outlineLevel="0" collapsed="false">
      <c r="A1589" s="127" t="s">
        <v>2175</v>
      </c>
      <c r="B1589" s="123" t="s">
        <v>593</v>
      </c>
      <c r="C1589" s="116" t="s">
        <v>2186</v>
      </c>
      <c r="D1589" s="116"/>
      <c r="E1589" s="116"/>
      <c r="F1589" s="116"/>
      <c r="G1589" s="108" t="s">
        <v>1240</v>
      </c>
      <c r="H1589" s="105" t="n">
        <f aca="false">'[2]$ лето'!j1589-'[2]$ лето'!au1589-'[2]$ лето'!at1589-'[2]$ лето'!as1589-'[2]$ лето'!ar1589-'[2]$ лето'!aq1589-'[2]$ лето'!ap1589-'[2]$ лето'!an1589-'[2]$ лето'!am1589-'[2]$ лето'!al1589-'[2]$ лето'!ak1589-'[2]$ лето'!aj1589-'[2]$ лето'!ah1589-'[2]$ лето'!ag1589-'[2]$ лето'!af1589-'[2]$ лето'!ae1589-'[2]$ лето'!ad1589-'[2]$ лето'!ab1589-'[2]$ лето'!aa1589-'[2]$ лето'!z1589-'[2]$ лето'!y1589-'[2]$ лето'!x1589-'[2]$ лето'!v1589-'[2]$ лето'!u1589-'[2]$ лето'!t1589-'[2]$ лето'!s1589-'[2]$ лето'!r1589-'[2]$ лето'!p1589-'[2]$ лето'!o1589-'[2]$ лето'!n1589-'[2]$ лето'!m1589-'[2]$ лето'!l1589+'[2]$ лето'!k1589+'[2]$ лето'!q1589+'[2]$ лето'!w1589+'[2]$ лето'!ac1589+'[2]$ лето'!ai1589+'[2]$ лето'!ao1589</f>
        <v>0</v>
      </c>
      <c r="I1589" s="109" t="n">
        <f aca="false">'[2]$ лето'!ay1589*1.1</f>
        <v>5236</v>
      </c>
      <c r="J1589" s="85" t="n">
        <v>2017</v>
      </c>
    </row>
    <row r="1590" customFormat="false" ht="15" hidden="true" customHeight="false" outlineLevel="0" collapsed="false">
      <c r="A1590" s="127" t="s">
        <v>2175</v>
      </c>
      <c r="B1590" s="123" t="s">
        <v>615</v>
      </c>
      <c r="C1590" s="116" t="s">
        <v>2187</v>
      </c>
      <c r="D1590" s="116"/>
      <c r="E1590" s="116"/>
      <c r="F1590" s="116"/>
      <c r="G1590" s="108"/>
      <c r="H1590" s="105" t="n">
        <f aca="false">'[2]$ лето'!j1590-'[2]$ лето'!au1590-'[2]$ лето'!at1590-'[2]$ лето'!as1590-'[2]$ лето'!ar1590-'[2]$ лето'!aq1590-'[2]$ лето'!ap1590-'[2]$ лето'!an1590-'[2]$ лето'!am1590-'[2]$ лето'!al1590-'[2]$ лето'!ak1590-'[2]$ лето'!aj1590-'[2]$ лето'!ah1590-'[2]$ лето'!ag1590-'[2]$ лето'!af1590-'[2]$ лето'!ae1590-'[2]$ лето'!ad1590-'[2]$ лето'!ab1590-'[2]$ лето'!aa1590-'[2]$ лето'!z1590-'[2]$ лето'!y1590-'[2]$ лето'!x1590-'[2]$ лето'!v1590-'[2]$ лето'!u1590-'[2]$ лето'!t1590-'[2]$ лето'!s1590-'[2]$ лето'!r1590-'[2]$ лето'!p1590-'[2]$ лето'!o1590-'[2]$ лето'!n1590-'[2]$ лето'!m1590-'[2]$ лето'!l1590+'[2]$ лето'!k1590+'[2]$ лето'!q1590+'[2]$ лето'!w1590+'[2]$ лето'!ac1590+'[2]$ лето'!ai1590+'[2]$ лето'!ao1590</f>
        <v>0</v>
      </c>
      <c r="I1590" s="109" t="n">
        <f aca="false">'[2]$ лето'!ay1590*1.1</f>
        <v>2926</v>
      </c>
    </row>
    <row r="1591" customFormat="false" ht="15" hidden="false" customHeight="false" outlineLevel="0" collapsed="false">
      <c r="A1591" s="127" t="s">
        <v>2175</v>
      </c>
      <c r="B1591" s="123" t="s">
        <v>725</v>
      </c>
      <c r="C1591" s="116" t="s">
        <v>2188</v>
      </c>
      <c r="D1591" s="116"/>
      <c r="E1591" s="116"/>
      <c r="F1591" s="116"/>
      <c r="G1591" s="108" t="s">
        <v>609</v>
      </c>
      <c r="H1591" s="105" t="n">
        <f aca="false">'[2]$ лето'!j1591-'[2]$ лето'!au1591-'[2]$ лето'!at1591-'[2]$ лето'!as1591-'[2]$ лето'!ar1591-'[2]$ лето'!aq1591-'[2]$ лето'!ap1591-'[2]$ лето'!an1591-'[2]$ лето'!am1591-'[2]$ лето'!al1591-'[2]$ лето'!ak1591-'[2]$ лето'!aj1591-'[2]$ лето'!ah1591-'[2]$ лето'!ag1591-'[2]$ лето'!af1591-'[2]$ лето'!ae1591-'[2]$ лето'!ad1591-'[2]$ лето'!ab1591-'[2]$ лето'!aa1591-'[2]$ лето'!z1591-'[2]$ лето'!y1591-'[2]$ лето'!x1591-'[2]$ лето'!v1591-'[2]$ лето'!u1591-'[2]$ лето'!t1591-'[2]$ лето'!s1591-'[2]$ лето'!r1591-'[2]$ лето'!p1591-'[2]$ лето'!o1591-'[2]$ лето'!n1591-'[2]$ лето'!m1591-'[2]$ лето'!l1591+'[2]$ лето'!k1591+'[2]$ лето'!q1591+'[2]$ лето'!w1591+'[2]$ лето'!ac1591+'[2]$ лето'!ai1591+'[2]$ лето'!ao1591</f>
        <v>2</v>
      </c>
      <c r="I1591" s="109" t="n">
        <f aca="false">'[2]$ лето'!ay1591*1.1</f>
        <v>2772</v>
      </c>
      <c r="J1591" s="85" t="n">
        <v>2017</v>
      </c>
    </row>
    <row r="1592" customFormat="false" ht="15" hidden="true" customHeight="false" outlineLevel="0" collapsed="false">
      <c r="A1592" s="127" t="s">
        <v>2175</v>
      </c>
      <c r="B1592" s="123" t="s">
        <v>1161</v>
      </c>
      <c r="C1592" s="116" t="s">
        <v>2189</v>
      </c>
      <c r="D1592" s="116"/>
      <c r="E1592" s="116"/>
      <c r="F1592" s="116"/>
      <c r="G1592" s="108"/>
      <c r="H1592" s="105" t="n">
        <f aca="false">'[2]$ лето'!j1592-'[2]$ лето'!au1592-'[2]$ лето'!at1592-'[2]$ лето'!as1592-'[2]$ лето'!ar1592-'[2]$ лето'!aq1592-'[2]$ лето'!ap1592-'[2]$ лето'!an1592-'[2]$ лето'!am1592-'[2]$ лето'!al1592-'[2]$ лето'!ak1592-'[2]$ лето'!aj1592-'[2]$ лето'!ah1592-'[2]$ лето'!ag1592-'[2]$ лето'!af1592-'[2]$ лето'!ae1592-'[2]$ лето'!ad1592-'[2]$ лето'!ab1592-'[2]$ лето'!aa1592-'[2]$ лето'!z1592-'[2]$ лето'!y1592-'[2]$ лето'!x1592-'[2]$ лето'!v1592-'[2]$ лето'!u1592-'[2]$ лето'!t1592-'[2]$ лето'!s1592-'[2]$ лето'!r1592-'[2]$ лето'!p1592-'[2]$ лето'!o1592-'[2]$ лето'!n1592-'[2]$ лето'!m1592-'[2]$ лето'!l1592+'[2]$ лето'!k1592+'[2]$ лето'!q1592+'[2]$ лето'!w1592+'[2]$ лето'!ac1592+'[2]$ лето'!ai1592+'[2]$ лето'!ao1592</f>
        <v>0</v>
      </c>
      <c r="I1592" s="109" t="n">
        <f aca="false">'[2]$ лето'!ay1592*1.1</f>
        <v>2494.8</v>
      </c>
      <c r="J1592" s="85" t="n">
        <v>2017</v>
      </c>
    </row>
    <row r="1593" customFormat="false" ht="15" hidden="false" customHeight="false" outlineLevel="0" collapsed="false">
      <c r="A1593" s="127" t="s">
        <v>2175</v>
      </c>
      <c r="B1593" s="123" t="s">
        <v>981</v>
      </c>
      <c r="C1593" s="116" t="s">
        <v>2190</v>
      </c>
      <c r="D1593" s="116"/>
      <c r="E1593" s="116"/>
      <c r="F1593" s="116"/>
      <c r="G1593" s="108" t="s">
        <v>585</v>
      </c>
      <c r="H1593" s="105" t="n">
        <f aca="false">'[2]$ лето'!j1593-'[2]$ лето'!au1593-'[2]$ лето'!at1593-'[2]$ лето'!as1593-'[2]$ лето'!ar1593-'[2]$ лето'!aq1593-'[2]$ лето'!ap1593-'[2]$ лето'!an1593-'[2]$ лето'!am1593-'[2]$ лето'!al1593-'[2]$ лето'!ak1593-'[2]$ лето'!aj1593-'[2]$ лето'!ah1593-'[2]$ лето'!ag1593-'[2]$ лето'!af1593-'[2]$ лето'!ae1593-'[2]$ лето'!ad1593-'[2]$ лето'!ab1593-'[2]$ лето'!aa1593-'[2]$ лето'!z1593-'[2]$ лето'!y1593-'[2]$ лето'!x1593-'[2]$ лето'!v1593-'[2]$ лето'!u1593-'[2]$ лето'!t1593-'[2]$ лето'!s1593-'[2]$ лето'!r1593-'[2]$ лето'!p1593-'[2]$ лето'!o1593-'[2]$ лето'!n1593-'[2]$ лето'!m1593-'[2]$ лето'!l1593+'[2]$ лето'!k1593+'[2]$ лето'!q1593+'[2]$ лето'!w1593+'[2]$ лето'!ac1593+'[2]$ лето'!ai1593+'[2]$ лето'!ao1593</f>
        <v>4</v>
      </c>
      <c r="I1593" s="109" t="n">
        <f aca="false">'[2]$ лето'!ay1593*1.1</f>
        <v>4065.6</v>
      </c>
      <c r="J1593" s="85" t="n">
        <v>2016</v>
      </c>
    </row>
    <row r="1594" customFormat="false" ht="15" hidden="false" customHeight="false" outlineLevel="0" collapsed="false">
      <c r="A1594" s="127" t="s">
        <v>2191</v>
      </c>
      <c r="B1594" s="123" t="s">
        <v>658</v>
      </c>
      <c r="C1594" s="116" t="s">
        <v>2192</v>
      </c>
      <c r="D1594" s="116"/>
      <c r="E1594" s="116"/>
      <c r="F1594" s="116"/>
      <c r="G1594" s="108"/>
      <c r="H1594" s="105" t="n">
        <f aca="false">'[2]$ лето'!j1594-'[2]$ лето'!au1594-'[2]$ лето'!at1594-'[2]$ лето'!as1594-'[2]$ лето'!ar1594-'[2]$ лето'!aq1594-'[2]$ лето'!ap1594-'[2]$ лето'!an1594-'[2]$ лето'!am1594-'[2]$ лето'!al1594-'[2]$ лето'!ak1594-'[2]$ лето'!aj1594-'[2]$ лето'!ah1594-'[2]$ лето'!ag1594-'[2]$ лето'!af1594-'[2]$ лето'!ae1594-'[2]$ лето'!ad1594-'[2]$ лето'!ab1594-'[2]$ лето'!aa1594-'[2]$ лето'!z1594-'[2]$ лето'!y1594-'[2]$ лето'!x1594-'[2]$ лето'!v1594-'[2]$ лето'!u1594-'[2]$ лето'!t1594-'[2]$ лето'!s1594-'[2]$ лето'!r1594-'[2]$ лето'!p1594-'[2]$ лето'!o1594-'[2]$ лето'!n1594-'[2]$ лето'!m1594-'[2]$ лето'!l1594+'[2]$ лето'!k1594+'[2]$ лето'!q1594+'[2]$ лето'!w1594+'[2]$ лето'!ac1594+'[2]$ лето'!ai1594+'[2]$ лето'!ao1594</f>
        <v>2</v>
      </c>
      <c r="I1594" s="109" t="n">
        <f aca="false">'[2]$ лето'!ay1594*1.1</f>
        <v>4312</v>
      </c>
      <c r="J1594" s="85" t="n">
        <v>2018</v>
      </c>
    </row>
    <row r="1595" customFormat="false" ht="15" hidden="false" customHeight="false" outlineLevel="0" collapsed="false">
      <c r="A1595" s="127" t="s">
        <v>2191</v>
      </c>
      <c r="B1595" s="123" t="s">
        <v>658</v>
      </c>
      <c r="C1595" s="116" t="s">
        <v>2192</v>
      </c>
      <c r="D1595" s="116"/>
      <c r="E1595" s="116"/>
      <c r="F1595" s="116"/>
      <c r="G1595" s="108" t="s">
        <v>585</v>
      </c>
      <c r="H1595" s="105" t="n">
        <f aca="false">'[2]$ лето'!j1595-'[2]$ лето'!au1595-'[2]$ лето'!at1595-'[2]$ лето'!as1595-'[2]$ лето'!ar1595-'[2]$ лето'!aq1595-'[2]$ лето'!ap1595-'[2]$ лето'!an1595-'[2]$ лето'!am1595-'[2]$ лето'!al1595-'[2]$ лето'!ak1595-'[2]$ лето'!aj1595-'[2]$ лето'!ah1595-'[2]$ лето'!ag1595-'[2]$ лето'!af1595-'[2]$ лето'!ae1595-'[2]$ лето'!ad1595-'[2]$ лето'!ab1595-'[2]$ лето'!aa1595-'[2]$ лето'!z1595-'[2]$ лето'!y1595-'[2]$ лето'!x1595-'[2]$ лето'!v1595-'[2]$ лето'!u1595-'[2]$ лето'!t1595-'[2]$ лето'!s1595-'[2]$ лето'!r1595-'[2]$ лето'!p1595-'[2]$ лето'!o1595-'[2]$ лето'!n1595-'[2]$ лето'!m1595-'[2]$ лето'!l1595+'[2]$ лето'!k1595+'[2]$ лето'!q1595+'[2]$ лето'!w1595+'[2]$ лето'!ac1595+'[2]$ лето'!ai1595+'[2]$ лето'!ao1595</f>
        <v>2</v>
      </c>
      <c r="I1595" s="109" t="n">
        <f aca="false">'[2]$ лето'!ay1595*1.1</f>
        <v>4127.2</v>
      </c>
      <c r="J1595" s="85" t="n">
        <v>2016</v>
      </c>
    </row>
    <row r="1596" customFormat="false" ht="15" hidden="true" customHeight="false" outlineLevel="0" collapsed="false">
      <c r="A1596" s="127" t="s">
        <v>2191</v>
      </c>
      <c r="B1596" s="123" t="s">
        <v>583</v>
      </c>
      <c r="C1596" s="116" t="s">
        <v>2193</v>
      </c>
      <c r="D1596" s="116"/>
      <c r="E1596" s="116"/>
      <c r="F1596" s="116"/>
      <c r="G1596" s="108" t="s">
        <v>888</v>
      </c>
      <c r="H1596" s="105" t="n">
        <f aca="false">'[2]$ лето'!j1596-'[2]$ лето'!au1596-'[2]$ лето'!at1596-'[2]$ лето'!as1596-'[2]$ лето'!ar1596-'[2]$ лето'!aq1596-'[2]$ лето'!ap1596-'[2]$ лето'!an1596-'[2]$ лето'!am1596-'[2]$ лето'!al1596-'[2]$ лето'!ak1596-'[2]$ лето'!aj1596-'[2]$ лето'!ah1596-'[2]$ лето'!ag1596-'[2]$ лето'!af1596-'[2]$ лето'!ae1596-'[2]$ лето'!ad1596-'[2]$ лето'!ab1596-'[2]$ лето'!aa1596-'[2]$ лето'!z1596-'[2]$ лето'!y1596-'[2]$ лето'!x1596-'[2]$ лето'!v1596-'[2]$ лето'!u1596-'[2]$ лето'!t1596-'[2]$ лето'!s1596-'[2]$ лето'!r1596-'[2]$ лето'!p1596-'[2]$ лето'!o1596-'[2]$ лето'!n1596-'[2]$ лето'!m1596-'[2]$ лето'!l1596+'[2]$ лето'!k1596+'[2]$ лето'!q1596+'[2]$ лето'!w1596+'[2]$ лето'!ac1596+'[2]$ лето'!ai1596+'[2]$ лето'!ao1596</f>
        <v>0</v>
      </c>
      <c r="I1596" s="109" t="n">
        <f aca="false">'[2]$ лето'!ay1596*1.1</f>
        <v>3080</v>
      </c>
      <c r="J1596" s="85" t="n">
        <v>2017</v>
      </c>
    </row>
    <row r="1597" customFormat="false" ht="15" hidden="true" customHeight="false" outlineLevel="0" collapsed="false">
      <c r="A1597" s="127" t="s">
        <v>2191</v>
      </c>
      <c r="B1597" s="123" t="s">
        <v>593</v>
      </c>
      <c r="C1597" s="116" t="s">
        <v>2194</v>
      </c>
      <c r="D1597" s="116"/>
      <c r="E1597" s="116"/>
      <c r="F1597" s="116"/>
      <c r="G1597" s="108"/>
      <c r="H1597" s="105" t="n">
        <f aca="false">'[2]$ лето'!j1597-'[2]$ лето'!au1597-'[2]$ лето'!at1597-'[2]$ лето'!as1597-'[2]$ лето'!ar1597-'[2]$ лето'!aq1597-'[2]$ лето'!ap1597-'[2]$ лето'!an1597-'[2]$ лето'!am1597-'[2]$ лето'!al1597-'[2]$ лето'!ak1597-'[2]$ лето'!aj1597-'[2]$ лето'!ah1597-'[2]$ лето'!ag1597-'[2]$ лето'!af1597-'[2]$ лето'!ae1597-'[2]$ лето'!ad1597-'[2]$ лето'!ab1597-'[2]$ лето'!aa1597-'[2]$ лето'!z1597-'[2]$ лето'!y1597-'[2]$ лето'!x1597-'[2]$ лето'!v1597-'[2]$ лето'!u1597-'[2]$ лето'!t1597-'[2]$ лето'!s1597-'[2]$ лето'!r1597-'[2]$ лето'!p1597-'[2]$ лето'!o1597-'[2]$ лето'!n1597-'[2]$ лето'!m1597-'[2]$ лето'!l1597+'[2]$ лето'!k1597+'[2]$ лето'!q1597+'[2]$ лето'!w1597+'[2]$ лето'!ac1597+'[2]$ лето'!ai1597+'[2]$ лето'!ao1597</f>
        <v>0</v>
      </c>
      <c r="I1597" s="109" t="n">
        <f aca="false">'[2]$ лето'!ay1597*1.1</f>
        <v>6006</v>
      </c>
      <c r="J1597" s="85" t="s">
        <v>1037</v>
      </c>
    </row>
    <row r="1598" customFormat="false" ht="15" hidden="true" customHeight="false" outlineLevel="0" collapsed="false">
      <c r="A1598" s="127" t="s">
        <v>2191</v>
      </c>
      <c r="B1598" s="123" t="s">
        <v>615</v>
      </c>
      <c r="C1598" s="116" t="s">
        <v>2195</v>
      </c>
      <c r="D1598" s="116"/>
      <c r="E1598" s="116"/>
      <c r="F1598" s="116"/>
      <c r="G1598" s="108"/>
      <c r="H1598" s="105" t="n">
        <f aca="false">'[2]$ лето'!j1598-'[2]$ лето'!au1598-'[2]$ лето'!at1598-'[2]$ лето'!as1598-'[2]$ лето'!ar1598-'[2]$ лето'!aq1598-'[2]$ лето'!ap1598-'[2]$ лето'!an1598-'[2]$ лето'!am1598-'[2]$ лето'!al1598-'[2]$ лето'!ak1598-'[2]$ лето'!aj1598-'[2]$ лето'!ah1598-'[2]$ лето'!ag1598-'[2]$ лето'!af1598-'[2]$ лето'!ae1598-'[2]$ лето'!ad1598-'[2]$ лето'!ab1598-'[2]$ лето'!aa1598-'[2]$ лето'!z1598-'[2]$ лето'!y1598-'[2]$ лето'!x1598-'[2]$ лето'!v1598-'[2]$ лето'!u1598-'[2]$ лето'!t1598-'[2]$ лето'!s1598-'[2]$ лето'!r1598-'[2]$ лето'!p1598-'[2]$ лето'!o1598-'[2]$ лето'!n1598-'[2]$ лето'!m1598-'[2]$ лето'!l1598+'[2]$ лето'!k1598+'[2]$ лето'!q1598+'[2]$ лето'!w1598+'[2]$ лето'!ac1598+'[2]$ лето'!ai1598+'[2]$ лето'!ao1598</f>
        <v>0</v>
      </c>
      <c r="I1598" s="109" t="n">
        <f aca="false">'[2]$ лето'!ay1598*1.1</f>
        <v>3326.4</v>
      </c>
    </row>
    <row r="1599" customFormat="false" ht="15" hidden="true" customHeight="false" outlineLevel="0" collapsed="false">
      <c r="A1599" s="127" t="s">
        <v>2191</v>
      </c>
      <c r="B1599" s="123" t="s">
        <v>2114</v>
      </c>
      <c r="C1599" s="116" t="s">
        <v>2195</v>
      </c>
      <c r="D1599" s="116"/>
      <c r="E1599" s="116"/>
      <c r="F1599" s="116"/>
      <c r="G1599" s="108"/>
      <c r="H1599" s="105" t="n">
        <f aca="false">'[2]$ лето'!j1599-'[2]$ лето'!au1599-'[2]$ лето'!at1599-'[2]$ лето'!as1599-'[2]$ лето'!ar1599-'[2]$ лето'!aq1599-'[2]$ лето'!ap1599-'[2]$ лето'!an1599-'[2]$ лето'!am1599-'[2]$ лето'!al1599-'[2]$ лето'!ak1599-'[2]$ лето'!aj1599-'[2]$ лето'!ah1599-'[2]$ лето'!ag1599-'[2]$ лето'!af1599-'[2]$ лето'!ae1599-'[2]$ лето'!ad1599-'[2]$ лето'!ab1599-'[2]$ лето'!aa1599-'[2]$ лето'!z1599-'[2]$ лето'!y1599-'[2]$ лето'!x1599-'[2]$ лето'!v1599-'[2]$ лето'!u1599-'[2]$ лето'!t1599-'[2]$ лето'!s1599-'[2]$ лето'!r1599-'[2]$ лето'!p1599-'[2]$ лето'!o1599-'[2]$ лето'!n1599-'[2]$ лето'!m1599-'[2]$ лето'!l1599+'[2]$ лето'!k1599+'[2]$ лето'!q1599+'[2]$ лето'!w1599+'[2]$ лето'!ac1599+'[2]$ лето'!ai1599+'[2]$ лето'!ao1599</f>
        <v>0</v>
      </c>
      <c r="I1599" s="109" t="n">
        <f aca="false">'[2]$ лето'!ay1599*1.1</f>
        <v>3172.4</v>
      </c>
    </row>
    <row r="1600" customFormat="false" ht="15" hidden="true" customHeight="false" outlineLevel="0" collapsed="false">
      <c r="A1600" s="127" t="s">
        <v>2191</v>
      </c>
      <c r="B1600" s="123" t="s">
        <v>589</v>
      </c>
      <c r="C1600" s="107" t="s">
        <v>2196</v>
      </c>
      <c r="D1600" s="107"/>
      <c r="E1600" s="107"/>
      <c r="F1600" s="107"/>
      <c r="G1600" s="108"/>
      <c r="H1600" s="105" t="n">
        <f aca="false">'[2]$ лето'!j1600-'[2]$ лето'!au1600-'[2]$ лето'!at1600-'[2]$ лето'!as1600-'[2]$ лето'!ar1600-'[2]$ лето'!aq1600-'[2]$ лето'!ap1600-'[2]$ лето'!an1600-'[2]$ лето'!am1600-'[2]$ лето'!al1600-'[2]$ лето'!ak1600-'[2]$ лето'!aj1600-'[2]$ лето'!ah1600-'[2]$ лето'!ag1600-'[2]$ лето'!af1600-'[2]$ лето'!ae1600-'[2]$ лето'!ad1600-'[2]$ лето'!ab1600-'[2]$ лето'!aa1600-'[2]$ лето'!z1600-'[2]$ лето'!y1600-'[2]$ лето'!x1600-'[2]$ лето'!v1600-'[2]$ лето'!u1600-'[2]$ лето'!t1600-'[2]$ лето'!s1600-'[2]$ лето'!r1600-'[2]$ лето'!p1600-'[2]$ лето'!o1600-'[2]$ лето'!n1600-'[2]$ лето'!m1600-'[2]$ лето'!l1600+'[2]$ лето'!k1600+'[2]$ лето'!q1600+'[2]$ лето'!w1600+'[2]$ лето'!ac1600+'[2]$ лето'!ai1600+'[2]$ лето'!ao1600</f>
        <v>0</v>
      </c>
      <c r="I1600" s="109" t="n">
        <f aca="false">'[2]$ лето'!ay1600*1.1</f>
        <v>4312</v>
      </c>
    </row>
    <row r="1601" customFormat="false" ht="15" hidden="false" customHeight="false" outlineLevel="0" collapsed="false">
      <c r="A1601" s="127" t="s">
        <v>2191</v>
      </c>
      <c r="B1601" s="123" t="s">
        <v>564</v>
      </c>
      <c r="C1601" s="107" t="s">
        <v>2197</v>
      </c>
      <c r="D1601" s="107"/>
      <c r="E1601" s="116"/>
      <c r="F1601" s="116"/>
      <c r="G1601" s="108" t="s">
        <v>520</v>
      </c>
      <c r="H1601" s="105" t="n">
        <f aca="false">'[2]$ лето'!j1601-'[2]$ лето'!au1601-'[2]$ лето'!at1601-'[2]$ лето'!as1601-'[2]$ лето'!ar1601-'[2]$ лето'!aq1601-'[2]$ лето'!ap1601-'[2]$ лето'!an1601-'[2]$ лето'!am1601-'[2]$ лето'!al1601-'[2]$ лето'!ak1601-'[2]$ лето'!aj1601-'[2]$ лето'!ah1601-'[2]$ лето'!ag1601-'[2]$ лето'!af1601-'[2]$ лето'!ae1601-'[2]$ лето'!ad1601-'[2]$ лето'!ab1601-'[2]$ лето'!aa1601-'[2]$ лето'!z1601-'[2]$ лето'!y1601-'[2]$ лето'!x1601-'[2]$ лето'!v1601-'[2]$ лето'!u1601-'[2]$ лето'!t1601-'[2]$ лето'!s1601-'[2]$ лето'!r1601-'[2]$ лето'!p1601-'[2]$ лето'!o1601-'[2]$ лето'!n1601-'[2]$ лето'!m1601-'[2]$ лето'!l1601+'[2]$ лето'!k1601+'[2]$ лето'!q1601+'[2]$ лето'!w1601+'[2]$ лето'!ac1601+'[2]$ лето'!ai1601+'[2]$ лето'!ao1601</f>
        <v>4</v>
      </c>
      <c r="I1601" s="109" t="n">
        <f aca="false">'[2]$ лето'!ay1601*1.1</f>
        <v>2002</v>
      </c>
      <c r="J1601" s="85" t="n">
        <v>2017</v>
      </c>
    </row>
    <row r="1602" customFormat="false" ht="15" hidden="false" customHeight="false" outlineLevel="0" collapsed="false">
      <c r="A1602" s="127" t="s">
        <v>2191</v>
      </c>
      <c r="B1602" s="123" t="s">
        <v>981</v>
      </c>
      <c r="C1602" s="107" t="s">
        <v>2198</v>
      </c>
      <c r="D1602" s="107"/>
      <c r="E1602" s="116"/>
      <c r="F1602" s="116"/>
      <c r="G1602" s="108" t="s">
        <v>640</v>
      </c>
      <c r="H1602" s="105" t="n">
        <f aca="false">'[2]$ лето'!j1602-'[2]$ лето'!au1602-'[2]$ лето'!at1602-'[2]$ лето'!as1602-'[2]$ лето'!ar1602-'[2]$ лето'!aq1602-'[2]$ лето'!ap1602-'[2]$ лето'!an1602-'[2]$ лето'!am1602-'[2]$ лето'!al1602-'[2]$ лето'!ak1602-'[2]$ лето'!aj1602-'[2]$ лето'!ah1602-'[2]$ лето'!ag1602-'[2]$ лето'!af1602-'[2]$ лето'!ae1602-'[2]$ лето'!ad1602-'[2]$ лето'!ab1602-'[2]$ лето'!aa1602-'[2]$ лето'!z1602-'[2]$ лето'!y1602-'[2]$ лето'!x1602-'[2]$ лето'!v1602-'[2]$ лето'!u1602-'[2]$ лето'!t1602-'[2]$ лето'!s1602-'[2]$ лето'!r1602-'[2]$ лето'!p1602-'[2]$ лето'!o1602-'[2]$ лето'!n1602-'[2]$ лето'!m1602-'[2]$ лето'!l1602+'[2]$ лето'!k1602+'[2]$ лето'!q1602+'[2]$ лето'!w1602+'[2]$ лето'!ac1602+'[2]$ лето'!ai1602+'[2]$ лето'!ao1602</f>
        <v>8</v>
      </c>
      <c r="I1602" s="109" t="n">
        <f aca="false">'[2]$ лето'!ay1602*1.1</f>
        <v>4158</v>
      </c>
      <c r="J1602" s="85" t="n">
        <v>2018</v>
      </c>
    </row>
    <row r="1603" customFormat="false" ht="15" hidden="true" customHeight="false" outlineLevel="0" collapsed="false">
      <c r="A1603" s="127" t="s">
        <v>2199</v>
      </c>
      <c r="B1603" s="123" t="s">
        <v>566</v>
      </c>
      <c r="C1603" s="107" t="s">
        <v>2200</v>
      </c>
      <c r="D1603" s="107"/>
      <c r="E1603" s="107"/>
      <c r="F1603" s="107"/>
      <c r="G1603" s="108" t="s">
        <v>563</v>
      </c>
      <c r="H1603" s="105" t="n">
        <f aca="false">'[2]$ лето'!j1603-'[2]$ лето'!au1603-'[2]$ лето'!at1603-'[2]$ лето'!as1603-'[2]$ лето'!ar1603-'[2]$ лето'!aq1603-'[2]$ лето'!ap1603-'[2]$ лето'!an1603-'[2]$ лето'!am1603-'[2]$ лето'!al1603-'[2]$ лето'!ak1603-'[2]$ лето'!aj1603-'[2]$ лето'!ah1603-'[2]$ лето'!ag1603-'[2]$ лето'!af1603-'[2]$ лето'!ae1603-'[2]$ лето'!ad1603-'[2]$ лето'!ab1603-'[2]$ лето'!aa1603-'[2]$ лето'!z1603-'[2]$ лето'!y1603-'[2]$ лето'!x1603-'[2]$ лето'!v1603-'[2]$ лето'!u1603-'[2]$ лето'!t1603-'[2]$ лето'!s1603-'[2]$ лето'!r1603-'[2]$ лето'!p1603-'[2]$ лето'!o1603-'[2]$ лето'!n1603-'[2]$ лето'!m1603-'[2]$ лето'!l1603+'[2]$ лето'!k1603+'[2]$ лето'!q1603+'[2]$ лето'!w1603+'[2]$ лето'!ac1603+'[2]$ лето'!ai1603+'[2]$ лето'!ao1603</f>
        <v>0</v>
      </c>
      <c r="I1603" s="109" t="n">
        <f aca="false">'[2]$ лето'!ay1603*1.1</f>
        <v>2648.8</v>
      </c>
      <c r="J1603" s="85" t="n">
        <v>2016</v>
      </c>
    </row>
    <row r="1604" customFormat="false" ht="15" hidden="true" customHeight="false" outlineLevel="0" collapsed="false">
      <c r="A1604" s="127" t="s">
        <v>2199</v>
      </c>
      <c r="B1604" s="123" t="s">
        <v>601</v>
      </c>
      <c r="C1604" s="107" t="s">
        <v>2201</v>
      </c>
      <c r="D1604" s="107"/>
      <c r="E1604" s="107"/>
      <c r="F1604" s="107"/>
      <c r="G1604" s="108" t="s">
        <v>876</v>
      </c>
      <c r="H1604" s="105" t="n">
        <f aca="false">'[2]$ лето'!j1604-'[2]$ лето'!au1604-'[2]$ лето'!at1604-'[2]$ лето'!as1604-'[2]$ лето'!ar1604-'[2]$ лето'!aq1604-'[2]$ лето'!ap1604-'[2]$ лето'!an1604-'[2]$ лето'!am1604-'[2]$ лето'!al1604-'[2]$ лето'!ak1604-'[2]$ лето'!aj1604-'[2]$ лето'!ah1604-'[2]$ лето'!ag1604-'[2]$ лето'!af1604-'[2]$ лето'!ae1604-'[2]$ лето'!ad1604-'[2]$ лето'!ab1604-'[2]$ лето'!aa1604-'[2]$ лето'!z1604-'[2]$ лето'!y1604-'[2]$ лето'!x1604-'[2]$ лето'!v1604-'[2]$ лето'!u1604-'[2]$ лето'!t1604-'[2]$ лето'!s1604-'[2]$ лето'!r1604-'[2]$ лето'!p1604-'[2]$ лето'!o1604-'[2]$ лето'!n1604-'[2]$ лето'!m1604-'[2]$ лето'!l1604+'[2]$ лето'!k1604+'[2]$ лето'!q1604+'[2]$ лето'!w1604+'[2]$ лето'!ac1604+'[2]$ лето'!ai1604+'[2]$ лето'!ao1604</f>
        <v>0</v>
      </c>
      <c r="I1604" s="109" t="n">
        <f aca="false">'[2]$ лето'!ay1604*1.1</f>
        <v>5082</v>
      </c>
    </row>
    <row r="1605" customFormat="false" ht="15" hidden="false" customHeight="false" outlineLevel="0" collapsed="false">
      <c r="A1605" s="127" t="s">
        <v>2199</v>
      </c>
      <c r="B1605" s="123" t="s">
        <v>658</v>
      </c>
      <c r="C1605" s="107" t="s">
        <v>1499</v>
      </c>
      <c r="D1605" s="107"/>
      <c r="E1605" s="116"/>
      <c r="F1605" s="116"/>
      <c r="G1605" s="108"/>
      <c r="H1605" s="105" t="n">
        <f aca="false">'[2]$ лето'!j1605-'[2]$ лето'!au1605-'[2]$ лето'!at1605-'[2]$ лето'!as1605-'[2]$ лето'!ar1605-'[2]$ лето'!aq1605-'[2]$ лето'!ap1605-'[2]$ лето'!an1605-'[2]$ лето'!am1605-'[2]$ лето'!al1605-'[2]$ лето'!ak1605-'[2]$ лето'!aj1605-'[2]$ лето'!ah1605-'[2]$ лето'!ag1605-'[2]$ лето'!af1605-'[2]$ лето'!ae1605-'[2]$ лето'!ad1605-'[2]$ лето'!ab1605-'[2]$ лето'!aa1605-'[2]$ лето'!z1605-'[2]$ лето'!y1605-'[2]$ лето'!x1605-'[2]$ лето'!v1605-'[2]$ лето'!u1605-'[2]$ лето'!t1605-'[2]$ лето'!s1605-'[2]$ лето'!r1605-'[2]$ лето'!p1605-'[2]$ лето'!o1605-'[2]$ лето'!n1605-'[2]$ лето'!m1605-'[2]$ лето'!l1605+'[2]$ лето'!k1605+'[2]$ лето'!q1605+'[2]$ лето'!w1605+'[2]$ лето'!ac1605+'[2]$ лето'!ai1605+'[2]$ лето'!ao1605</f>
        <v>4</v>
      </c>
      <c r="I1605" s="109" t="n">
        <f aca="false">'[2]$ лето'!ay1605*1.1</f>
        <v>4835.6</v>
      </c>
      <c r="J1605" s="85" t="s">
        <v>2202</v>
      </c>
    </row>
    <row r="1606" customFormat="false" ht="15" hidden="false" customHeight="false" outlineLevel="0" collapsed="false">
      <c r="A1606" s="127" t="s">
        <v>2199</v>
      </c>
      <c r="B1606" s="123" t="s">
        <v>658</v>
      </c>
      <c r="C1606" s="107" t="s">
        <v>2203</v>
      </c>
      <c r="D1606" s="107"/>
      <c r="E1606" s="116"/>
      <c r="F1606" s="116"/>
      <c r="G1606" s="108" t="s">
        <v>1432</v>
      </c>
      <c r="H1606" s="105" t="n">
        <f aca="false">'[2]$ лето'!j1606-'[2]$ лето'!au1606-'[2]$ лето'!at1606-'[2]$ лето'!as1606-'[2]$ лето'!ar1606-'[2]$ лето'!aq1606-'[2]$ лето'!ap1606-'[2]$ лето'!an1606-'[2]$ лето'!am1606-'[2]$ лето'!al1606-'[2]$ лето'!ak1606-'[2]$ лето'!aj1606-'[2]$ лето'!ah1606-'[2]$ лето'!ag1606-'[2]$ лето'!af1606-'[2]$ лето'!ae1606-'[2]$ лето'!ad1606-'[2]$ лето'!ab1606-'[2]$ лето'!aa1606-'[2]$ лето'!z1606-'[2]$ лето'!y1606-'[2]$ лето'!x1606-'[2]$ лето'!v1606-'[2]$ лето'!u1606-'[2]$ лето'!t1606-'[2]$ лето'!s1606-'[2]$ лето'!r1606-'[2]$ лето'!p1606-'[2]$ лето'!o1606-'[2]$ лето'!n1606-'[2]$ лето'!m1606-'[2]$ лето'!l1606+'[2]$ лето'!k1606+'[2]$ лето'!q1606+'[2]$ лето'!w1606+'[2]$ лето'!ac1606+'[2]$ лето'!ai1606+'[2]$ лето'!ao1606</f>
        <v>2</v>
      </c>
      <c r="I1606" s="109" t="n">
        <f aca="false">'[2]$ лето'!ay1606*1.1</f>
        <v>4928</v>
      </c>
      <c r="J1606" s="85" t="n">
        <v>2018</v>
      </c>
    </row>
    <row r="1607" customFormat="false" ht="15" hidden="true" customHeight="false" outlineLevel="0" collapsed="false">
      <c r="A1607" s="127" t="s">
        <v>2199</v>
      </c>
      <c r="B1607" s="123" t="s">
        <v>557</v>
      </c>
      <c r="C1607" s="107" t="s">
        <v>2204</v>
      </c>
      <c r="D1607" s="107"/>
      <c r="E1607" s="107"/>
      <c r="F1607" s="107"/>
      <c r="G1607" s="108"/>
      <c r="H1607" s="105" t="n">
        <f aca="false">'[2]$ лето'!j1607-'[2]$ лето'!au1607-'[2]$ лето'!at1607-'[2]$ лето'!as1607-'[2]$ лето'!ar1607-'[2]$ лето'!aq1607-'[2]$ лето'!ap1607-'[2]$ лето'!an1607-'[2]$ лето'!am1607-'[2]$ лето'!al1607-'[2]$ лето'!ak1607-'[2]$ лето'!aj1607-'[2]$ лето'!ah1607-'[2]$ лето'!ag1607-'[2]$ лето'!af1607-'[2]$ лето'!ae1607-'[2]$ лето'!ad1607-'[2]$ лето'!ab1607-'[2]$ лето'!aa1607-'[2]$ лето'!z1607-'[2]$ лето'!y1607-'[2]$ лето'!x1607-'[2]$ лето'!v1607-'[2]$ лето'!u1607-'[2]$ лето'!t1607-'[2]$ лето'!s1607-'[2]$ лето'!r1607-'[2]$ лето'!p1607-'[2]$ лето'!o1607-'[2]$ лето'!n1607-'[2]$ лето'!m1607-'[2]$ лето'!l1607+'[2]$ лето'!k1607+'[2]$ лето'!q1607+'[2]$ лето'!w1607+'[2]$ лето'!ac1607+'[2]$ лето'!ai1607+'[2]$ лето'!ao1607</f>
        <v>0</v>
      </c>
      <c r="I1607" s="109" t="n">
        <f aca="false">'[2]$ лето'!ay1607*1.1</f>
        <v>3418.8</v>
      </c>
      <c r="J1607" s="85" t="n">
        <v>2017</v>
      </c>
    </row>
    <row r="1608" customFormat="false" ht="15" hidden="false" customHeight="false" outlineLevel="0" collapsed="false">
      <c r="A1608" s="141" t="s">
        <v>2199</v>
      </c>
      <c r="B1608" s="129" t="s">
        <v>557</v>
      </c>
      <c r="C1608" s="130"/>
      <c r="D1608" s="130"/>
      <c r="E1608" s="131"/>
      <c r="F1608" s="131"/>
      <c r="G1608" s="132"/>
      <c r="H1608" s="105" t="n">
        <f aca="false">'[2]$ лето'!j1608-'[2]$ лето'!au1608-'[2]$ лето'!at1608-'[2]$ лето'!as1608-'[2]$ лето'!ar1608-'[2]$ лето'!aq1608-'[2]$ лето'!ap1608-'[2]$ лето'!an1608-'[2]$ лето'!am1608-'[2]$ лето'!al1608-'[2]$ лето'!ak1608-'[2]$ лето'!aj1608-'[2]$ лето'!ah1608-'[2]$ лето'!ag1608-'[2]$ лето'!af1608-'[2]$ лето'!ae1608-'[2]$ лето'!ad1608-'[2]$ лето'!ab1608-'[2]$ лето'!aa1608-'[2]$ лето'!z1608-'[2]$ лето'!y1608-'[2]$ лето'!x1608-'[2]$ лето'!v1608-'[2]$ лето'!u1608-'[2]$ лето'!t1608-'[2]$ лето'!s1608-'[2]$ лето'!r1608-'[2]$ лето'!p1608-'[2]$ лето'!o1608-'[2]$ лето'!n1608-'[2]$ лето'!m1608-'[2]$ лето'!l1608+'[2]$ лето'!k1608+'[2]$ лето'!q1608+'[2]$ лето'!w1608+'[2]$ лето'!ac1608+'[2]$ лето'!ai1608+'[2]$ лето'!ao1608</f>
        <v>2</v>
      </c>
      <c r="I1608" s="133" t="n">
        <f aca="false">'[2]$ лето'!ay1608*1.1</f>
        <v>440</v>
      </c>
    </row>
    <row r="1609" customFormat="false" ht="15" hidden="true" customHeight="false" outlineLevel="0" collapsed="false">
      <c r="A1609" s="127" t="s">
        <v>2199</v>
      </c>
      <c r="B1609" s="123" t="s">
        <v>606</v>
      </c>
      <c r="C1609" s="107" t="s">
        <v>1389</v>
      </c>
      <c r="D1609" s="107"/>
      <c r="E1609" s="107"/>
      <c r="F1609" s="107"/>
      <c r="G1609" s="108"/>
      <c r="H1609" s="105" t="n">
        <f aca="false">'[2]$ лето'!j1609-'[2]$ лето'!au1609-'[2]$ лето'!at1609-'[2]$ лето'!as1609-'[2]$ лето'!ar1609-'[2]$ лето'!aq1609-'[2]$ лето'!ap1609-'[2]$ лето'!an1609-'[2]$ лето'!am1609-'[2]$ лето'!al1609-'[2]$ лето'!ak1609-'[2]$ лето'!aj1609-'[2]$ лето'!ah1609-'[2]$ лето'!ag1609-'[2]$ лето'!af1609-'[2]$ лето'!ae1609-'[2]$ лето'!ad1609-'[2]$ лето'!ab1609-'[2]$ лето'!aa1609-'[2]$ лето'!z1609-'[2]$ лето'!y1609-'[2]$ лето'!x1609-'[2]$ лето'!v1609-'[2]$ лето'!u1609-'[2]$ лето'!t1609-'[2]$ лето'!s1609-'[2]$ лето'!r1609-'[2]$ лето'!p1609-'[2]$ лето'!o1609-'[2]$ лето'!n1609-'[2]$ лето'!m1609-'[2]$ лето'!l1609+'[2]$ лето'!k1609+'[2]$ лето'!q1609+'[2]$ лето'!w1609+'[2]$ лето'!ac1609+'[2]$ лето'!ai1609+'[2]$ лето'!ao1609</f>
        <v>0</v>
      </c>
      <c r="I1609" s="109" t="n">
        <f aca="false">'[2]$ лето'!ay1609*1.1</f>
        <v>4620</v>
      </c>
      <c r="J1609" s="85" t="n">
        <v>2017</v>
      </c>
    </row>
    <row r="1610" customFormat="false" ht="15" hidden="false" customHeight="false" outlineLevel="0" collapsed="false">
      <c r="A1610" s="127" t="s">
        <v>2199</v>
      </c>
      <c r="B1610" s="123" t="s">
        <v>668</v>
      </c>
      <c r="C1610" s="107" t="s">
        <v>1312</v>
      </c>
      <c r="D1610" s="107"/>
      <c r="E1610" s="116"/>
      <c r="F1610" s="116"/>
      <c r="G1610" s="108" t="s">
        <v>609</v>
      </c>
      <c r="H1610" s="105" t="n">
        <f aca="false">'[2]$ лето'!j1610-'[2]$ лето'!au1610-'[2]$ лето'!at1610-'[2]$ лето'!as1610-'[2]$ лето'!ar1610-'[2]$ лето'!aq1610-'[2]$ лето'!ap1610-'[2]$ лето'!an1610-'[2]$ лето'!am1610-'[2]$ лето'!al1610-'[2]$ лето'!ak1610-'[2]$ лето'!aj1610-'[2]$ лето'!ah1610-'[2]$ лето'!ag1610-'[2]$ лето'!af1610-'[2]$ лето'!ae1610-'[2]$ лето'!ad1610-'[2]$ лето'!ab1610-'[2]$ лето'!aa1610-'[2]$ лето'!z1610-'[2]$ лето'!y1610-'[2]$ лето'!x1610-'[2]$ лето'!v1610-'[2]$ лето'!u1610-'[2]$ лето'!t1610-'[2]$ лето'!s1610-'[2]$ лето'!r1610-'[2]$ лето'!p1610-'[2]$ лето'!o1610-'[2]$ лето'!n1610-'[2]$ лето'!m1610-'[2]$ лето'!l1610+'[2]$ лето'!k1610+'[2]$ лето'!q1610+'[2]$ лето'!w1610+'[2]$ лето'!ac1610+'[2]$ лето'!ai1610+'[2]$ лето'!ao1610</f>
        <v>2</v>
      </c>
      <c r="I1610" s="109" t="n">
        <f aca="false">'[2]$ лето'!ay1610*1.1</f>
        <v>3938</v>
      </c>
      <c r="J1610" s="85" t="n">
        <v>2017</v>
      </c>
    </row>
    <row r="1611" customFormat="false" ht="15" hidden="true" customHeight="false" outlineLevel="0" collapsed="false">
      <c r="A1611" s="127" t="s">
        <v>2199</v>
      </c>
      <c r="B1611" s="123" t="s">
        <v>593</v>
      </c>
      <c r="C1611" s="116" t="s">
        <v>2205</v>
      </c>
      <c r="D1611" s="116"/>
      <c r="E1611" s="116"/>
      <c r="F1611" s="116"/>
      <c r="G1611" s="108" t="s">
        <v>2160</v>
      </c>
      <c r="H1611" s="105" t="n">
        <f aca="false">'[2]$ лето'!j1611-'[2]$ лето'!au1611-'[2]$ лето'!at1611-'[2]$ лето'!as1611-'[2]$ лето'!ar1611-'[2]$ лето'!aq1611-'[2]$ лето'!ap1611-'[2]$ лето'!an1611-'[2]$ лето'!am1611-'[2]$ лето'!al1611-'[2]$ лето'!ak1611-'[2]$ лето'!aj1611-'[2]$ лето'!ah1611-'[2]$ лето'!ag1611-'[2]$ лето'!af1611-'[2]$ лето'!ae1611-'[2]$ лето'!ad1611-'[2]$ лето'!ab1611-'[2]$ лето'!aa1611-'[2]$ лето'!z1611-'[2]$ лето'!y1611-'[2]$ лето'!x1611-'[2]$ лето'!v1611-'[2]$ лето'!u1611-'[2]$ лето'!t1611-'[2]$ лето'!s1611-'[2]$ лето'!r1611-'[2]$ лето'!p1611-'[2]$ лето'!o1611-'[2]$ лето'!n1611-'[2]$ лето'!m1611-'[2]$ лето'!l1611+'[2]$ лето'!k1611+'[2]$ лето'!q1611+'[2]$ лето'!w1611+'[2]$ лето'!ac1611+'[2]$ лето'!ai1611+'[2]$ лето'!ao1611</f>
        <v>0</v>
      </c>
      <c r="I1611" s="109" t="n">
        <f aca="false">'[2]$ лето'!ay1611*1.1</f>
        <v>5544</v>
      </c>
    </row>
    <row r="1612" customFormat="false" ht="15" hidden="true" customHeight="false" outlineLevel="0" collapsed="false">
      <c r="A1612" s="127" t="s">
        <v>2199</v>
      </c>
      <c r="B1612" s="123" t="s">
        <v>615</v>
      </c>
      <c r="C1612" s="116" t="s">
        <v>2206</v>
      </c>
      <c r="D1612" s="116"/>
      <c r="E1612" s="116"/>
      <c r="F1612" s="116"/>
      <c r="G1612" s="108"/>
      <c r="H1612" s="105" t="n">
        <f aca="false">'[2]$ лето'!j1612-'[2]$ лето'!au1612-'[2]$ лето'!at1612-'[2]$ лето'!as1612-'[2]$ лето'!ar1612-'[2]$ лето'!aq1612-'[2]$ лето'!ap1612-'[2]$ лето'!an1612-'[2]$ лето'!am1612-'[2]$ лето'!al1612-'[2]$ лето'!ak1612-'[2]$ лето'!aj1612-'[2]$ лето'!ah1612-'[2]$ лето'!ag1612-'[2]$ лето'!af1612-'[2]$ лето'!ae1612-'[2]$ лето'!ad1612-'[2]$ лето'!ab1612-'[2]$ лето'!aa1612-'[2]$ лето'!z1612-'[2]$ лето'!y1612-'[2]$ лето'!x1612-'[2]$ лето'!v1612-'[2]$ лето'!u1612-'[2]$ лето'!t1612-'[2]$ лето'!s1612-'[2]$ лето'!r1612-'[2]$ лето'!p1612-'[2]$ лето'!o1612-'[2]$ лето'!n1612-'[2]$ лето'!m1612-'[2]$ лето'!l1612+'[2]$ лето'!k1612+'[2]$ лето'!q1612+'[2]$ лето'!w1612+'[2]$ лето'!ac1612+'[2]$ лето'!ai1612+'[2]$ лето'!ao1612</f>
        <v>0</v>
      </c>
      <c r="I1612" s="109" t="n">
        <f aca="false">'[2]$ лето'!ay1612*1.1</f>
        <v>3234</v>
      </c>
    </row>
    <row r="1613" customFormat="false" ht="15" hidden="true" customHeight="false" outlineLevel="0" collapsed="false">
      <c r="A1613" s="127" t="s">
        <v>2199</v>
      </c>
      <c r="B1613" s="123" t="s">
        <v>589</v>
      </c>
      <c r="C1613" s="107" t="s">
        <v>2207</v>
      </c>
      <c r="D1613" s="107"/>
      <c r="E1613" s="107"/>
      <c r="F1613" s="107"/>
      <c r="G1613" s="108"/>
      <c r="H1613" s="105" t="n">
        <f aca="false">'[2]$ лето'!j1613-'[2]$ лето'!au1613-'[2]$ лето'!at1613-'[2]$ лето'!as1613-'[2]$ лето'!ar1613-'[2]$ лето'!aq1613-'[2]$ лето'!ap1613-'[2]$ лето'!an1613-'[2]$ лето'!am1613-'[2]$ лето'!al1613-'[2]$ лето'!ak1613-'[2]$ лето'!aj1613-'[2]$ лето'!ah1613-'[2]$ лето'!ag1613-'[2]$ лето'!af1613-'[2]$ лето'!ae1613-'[2]$ лето'!ad1613-'[2]$ лето'!ab1613-'[2]$ лето'!aa1613-'[2]$ лето'!z1613-'[2]$ лето'!y1613-'[2]$ лето'!x1613-'[2]$ лето'!v1613-'[2]$ лето'!u1613-'[2]$ лето'!t1613-'[2]$ лето'!s1613-'[2]$ лето'!r1613-'[2]$ лето'!p1613-'[2]$ лето'!o1613-'[2]$ лето'!n1613-'[2]$ лето'!m1613-'[2]$ лето'!l1613+'[2]$ лето'!k1613+'[2]$ лето'!q1613+'[2]$ лето'!w1613+'[2]$ лето'!ac1613+'[2]$ лето'!ai1613+'[2]$ лето'!ao1613</f>
        <v>0</v>
      </c>
      <c r="I1613" s="109" t="n">
        <f aca="false">'[2]$ лето'!ay1613*1.1</f>
        <v>6160</v>
      </c>
    </row>
    <row r="1614" customFormat="false" ht="15" hidden="false" customHeight="false" outlineLevel="0" collapsed="false">
      <c r="A1614" s="127" t="s">
        <v>2199</v>
      </c>
      <c r="B1614" s="123" t="s">
        <v>564</v>
      </c>
      <c r="C1614" s="107" t="s">
        <v>2014</v>
      </c>
      <c r="D1614" s="107"/>
      <c r="E1614" s="116"/>
      <c r="F1614" s="116"/>
      <c r="G1614" s="108" t="s">
        <v>520</v>
      </c>
      <c r="H1614" s="105" t="n">
        <f aca="false">'[2]$ лето'!j1614-'[2]$ лето'!au1614-'[2]$ лето'!at1614-'[2]$ лето'!as1614-'[2]$ лето'!ar1614-'[2]$ лето'!aq1614-'[2]$ лето'!ap1614-'[2]$ лето'!an1614-'[2]$ лето'!am1614-'[2]$ лето'!al1614-'[2]$ лето'!ak1614-'[2]$ лето'!aj1614-'[2]$ лето'!ah1614-'[2]$ лето'!ag1614-'[2]$ лето'!af1614-'[2]$ лето'!ae1614-'[2]$ лето'!ad1614-'[2]$ лето'!ab1614-'[2]$ лето'!aa1614-'[2]$ лето'!z1614-'[2]$ лето'!y1614-'[2]$ лето'!x1614-'[2]$ лето'!v1614-'[2]$ лето'!u1614-'[2]$ лето'!t1614-'[2]$ лето'!s1614-'[2]$ лето'!r1614-'[2]$ лето'!p1614-'[2]$ лето'!o1614-'[2]$ лето'!n1614-'[2]$ лето'!m1614-'[2]$ лето'!l1614+'[2]$ лето'!k1614+'[2]$ лето'!q1614+'[2]$ лето'!w1614+'[2]$ лето'!ac1614+'[2]$ лето'!ai1614+'[2]$ лето'!ao1614</f>
        <v>8</v>
      </c>
      <c r="I1614" s="109" t="n">
        <f aca="false">'[2]$ лето'!ay1614*1.1</f>
        <v>2186.8</v>
      </c>
      <c r="J1614" s="85" t="n">
        <v>2017</v>
      </c>
    </row>
    <row r="1615" customFormat="false" ht="15" hidden="true" customHeight="false" outlineLevel="0" collapsed="false">
      <c r="A1615" s="127" t="s">
        <v>2199</v>
      </c>
      <c r="B1615" s="123" t="s">
        <v>1028</v>
      </c>
      <c r="C1615" s="107" t="s">
        <v>2208</v>
      </c>
      <c r="D1615" s="107"/>
      <c r="E1615" s="107"/>
      <c r="F1615" s="107"/>
      <c r="G1615" s="108"/>
      <c r="H1615" s="105" t="n">
        <f aca="false">'[2]$ лето'!j1615-'[2]$ лето'!au1615-'[2]$ лето'!at1615-'[2]$ лето'!as1615-'[2]$ лето'!ar1615-'[2]$ лето'!aq1615-'[2]$ лето'!ap1615-'[2]$ лето'!an1615-'[2]$ лето'!am1615-'[2]$ лето'!al1615-'[2]$ лето'!ak1615-'[2]$ лето'!aj1615-'[2]$ лето'!ah1615-'[2]$ лето'!ag1615-'[2]$ лето'!af1615-'[2]$ лето'!ae1615-'[2]$ лето'!ad1615-'[2]$ лето'!ab1615-'[2]$ лето'!aa1615-'[2]$ лето'!z1615-'[2]$ лето'!y1615-'[2]$ лето'!x1615-'[2]$ лето'!v1615-'[2]$ лето'!u1615-'[2]$ лето'!t1615-'[2]$ лето'!s1615-'[2]$ лето'!r1615-'[2]$ лето'!p1615-'[2]$ лето'!o1615-'[2]$ лето'!n1615-'[2]$ лето'!m1615-'[2]$ лето'!l1615+'[2]$ лето'!k1615+'[2]$ лето'!q1615+'[2]$ лето'!w1615+'[2]$ лето'!ac1615+'[2]$ лето'!ai1615+'[2]$ лето'!ao1615</f>
        <v>0</v>
      </c>
      <c r="I1615" s="109" t="n">
        <f aca="false">'[2]$ лето'!ay1615*1.1</f>
        <v>3850</v>
      </c>
    </row>
    <row r="1616" customFormat="false" ht="15" hidden="true" customHeight="false" outlineLevel="0" collapsed="false">
      <c r="A1616" s="127" t="s">
        <v>2209</v>
      </c>
      <c r="B1616" s="123" t="s">
        <v>801</v>
      </c>
      <c r="C1616" s="116" t="s">
        <v>2210</v>
      </c>
      <c r="D1616" s="116"/>
      <c r="E1616" s="116"/>
      <c r="F1616" s="116"/>
      <c r="G1616" s="108"/>
      <c r="H1616" s="105" t="n">
        <f aca="false">'[2]$ лето'!j1616-'[2]$ лето'!au1616-'[2]$ лето'!at1616-'[2]$ лето'!as1616-'[2]$ лето'!ar1616-'[2]$ лето'!aq1616-'[2]$ лето'!ap1616-'[2]$ лето'!an1616-'[2]$ лето'!am1616-'[2]$ лето'!al1616-'[2]$ лето'!ak1616-'[2]$ лето'!aj1616-'[2]$ лето'!ah1616-'[2]$ лето'!ag1616-'[2]$ лето'!af1616-'[2]$ лето'!ae1616-'[2]$ лето'!ad1616-'[2]$ лето'!ab1616-'[2]$ лето'!aa1616-'[2]$ лето'!z1616-'[2]$ лето'!y1616-'[2]$ лето'!x1616-'[2]$ лето'!v1616-'[2]$ лето'!u1616-'[2]$ лето'!t1616-'[2]$ лето'!s1616-'[2]$ лето'!r1616-'[2]$ лето'!p1616-'[2]$ лето'!o1616-'[2]$ лето'!n1616-'[2]$ лето'!m1616-'[2]$ лето'!l1616+'[2]$ лето'!k1616+'[2]$ лето'!q1616+'[2]$ лето'!w1616+'[2]$ лето'!ac1616+'[2]$ лето'!ai1616+'[2]$ лето'!ao1616</f>
        <v>0</v>
      </c>
      <c r="I1616" s="109" t="n">
        <f aca="false">'[2]$ лето'!ay1616*1.1</f>
        <v>5544</v>
      </c>
    </row>
    <row r="1617" customFormat="false" ht="15" hidden="false" customHeight="false" outlineLevel="0" collapsed="false">
      <c r="A1617" s="127" t="s">
        <v>2211</v>
      </c>
      <c r="B1617" s="123" t="s">
        <v>658</v>
      </c>
      <c r="C1617" s="116" t="s">
        <v>2212</v>
      </c>
      <c r="D1617" s="116"/>
      <c r="E1617" s="116"/>
      <c r="F1617" s="116"/>
      <c r="G1617" s="108" t="s">
        <v>640</v>
      </c>
      <c r="H1617" s="105" t="n">
        <f aca="false">'[2]$ лето'!j1617-'[2]$ лето'!au1617-'[2]$ лето'!at1617-'[2]$ лето'!as1617-'[2]$ лето'!ar1617-'[2]$ лето'!aq1617-'[2]$ лето'!ap1617-'[2]$ лето'!an1617-'[2]$ лето'!am1617-'[2]$ лето'!al1617-'[2]$ лето'!ak1617-'[2]$ лето'!aj1617-'[2]$ лето'!ah1617-'[2]$ лето'!ag1617-'[2]$ лето'!af1617-'[2]$ лето'!ae1617-'[2]$ лето'!ad1617-'[2]$ лето'!ab1617-'[2]$ лето'!aa1617-'[2]$ лето'!z1617-'[2]$ лето'!y1617-'[2]$ лето'!x1617-'[2]$ лето'!v1617-'[2]$ лето'!u1617-'[2]$ лето'!t1617-'[2]$ лето'!s1617-'[2]$ лето'!r1617-'[2]$ лето'!p1617-'[2]$ лето'!o1617-'[2]$ лето'!n1617-'[2]$ лето'!m1617-'[2]$ лето'!l1617+'[2]$ лето'!k1617+'[2]$ лето'!q1617+'[2]$ лето'!w1617+'[2]$ лето'!ac1617+'[2]$ лето'!ai1617+'[2]$ лето'!ao1617</f>
        <v>2</v>
      </c>
      <c r="I1617" s="109" t="n">
        <f aca="false">'[2]$ лето'!ay1617*1.1</f>
        <v>5082</v>
      </c>
      <c r="J1617" s="85" t="n">
        <v>2017</v>
      </c>
    </row>
    <row r="1618" customFormat="false" ht="15" hidden="false" customHeight="false" outlineLevel="0" collapsed="false">
      <c r="A1618" s="127" t="s">
        <v>2211</v>
      </c>
      <c r="B1618" s="123" t="s">
        <v>606</v>
      </c>
      <c r="C1618" s="116" t="s">
        <v>2213</v>
      </c>
      <c r="D1618" s="116"/>
      <c r="E1618" s="116"/>
      <c r="F1618" s="116"/>
      <c r="G1618" s="108"/>
      <c r="H1618" s="105" t="n">
        <f aca="false">'[2]$ лето'!j1618-'[2]$ лето'!au1618-'[2]$ лето'!at1618-'[2]$ лето'!as1618-'[2]$ лето'!ar1618-'[2]$ лето'!aq1618-'[2]$ лето'!ap1618-'[2]$ лето'!an1618-'[2]$ лето'!am1618-'[2]$ лето'!al1618-'[2]$ лето'!ak1618-'[2]$ лето'!aj1618-'[2]$ лето'!ah1618-'[2]$ лето'!ag1618-'[2]$ лето'!af1618-'[2]$ лето'!ae1618-'[2]$ лето'!ad1618-'[2]$ лето'!ab1618-'[2]$ лето'!aa1618-'[2]$ лето'!z1618-'[2]$ лето'!y1618-'[2]$ лето'!x1618-'[2]$ лето'!v1618-'[2]$ лето'!u1618-'[2]$ лето'!t1618-'[2]$ лето'!s1618-'[2]$ лето'!r1618-'[2]$ лето'!p1618-'[2]$ лето'!o1618-'[2]$ лето'!n1618-'[2]$ лето'!m1618-'[2]$ лето'!l1618+'[2]$ лето'!k1618+'[2]$ лето'!q1618+'[2]$ лето'!w1618+'[2]$ лето'!ac1618+'[2]$ лето'!ai1618+'[2]$ лето'!ao1618</f>
        <v>4</v>
      </c>
      <c r="I1618" s="109" t="n">
        <f aca="false">'[2]$ лето'!ay1618*1.1</f>
        <v>4620</v>
      </c>
      <c r="J1618" s="85" t="n">
        <v>2018</v>
      </c>
    </row>
    <row r="1619" customFormat="false" ht="15" hidden="false" customHeight="false" outlineLevel="0" collapsed="false">
      <c r="A1619" s="127" t="s">
        <v>2211</v>
      </c>
      <c r="B1619" s="115" t="s">
        <v>583</v>
      </c>
      <c r="C1619" s="116" t="s">
        <v>2048</v>
      </c>
      <c r="D1619" s="116"/>
      <c r="E1619" s="116"/>
      <c r="F1619" s="116"/>
      <c r="G1619" s="108" t="s">
        <v>585</v>
      </c>
      <c r="H1619" s="105" t="n">
        <f aca="false">'[2]$ лето'!j1619-'[2]$ лето'!au1619-'[2]$ лето'!at1619-'[2]$ лето'!as1619-'[2]$ лето'!ar1619-'[2]$ лето'!aq1619-'[2]$ лето'!ap1619-'[2]$ лето'!an1619-'[2]$ лето'!am1619-'[2]$ лето'!al1619-'[2]$ лето'!ak1619-'[2]$ лето'!aj1619-'[2]$ лето'!ah1619-'[2]$ лето'!ag1619-'[2]$ лето'!af1619-'[2]$ лето'!ae1619-'[2]$ лето'!ad1619-'[2]$ лето'!ab1619-'[2]$ лето'!aa1619-'[2]$ лето'!z1619-'[2]$ лето'!y1619-'[2]$ лето'!x1619-'[2]$ лето'!v1619-'[2]$ лето'!u1619-'[2]$ лето'!t1619-'[2]$ лето'!s1619-'[2]$ лето'!r1619-'[2]$ лето'!p1619-'[2]$ лето'!o1619-'[2]$ лето'!n1619-'[2]$ лето'!m1619-'[2]$ лето'!l1619+'[2]$ лето'!k1619+'[2]$ лето'!q1619+'[2]$ лето'!w1619+'[2]$ лето'!ac1619+'[2]$ лето'!ai1619+'[2]$ лето'!ao1619</f>
        <v>4</v>
      </c>
      <c r="I1619" s="109" t="n">
        <f aca="false">'[2]$ лето'!ay1619*1.1</f>
        <v>3080</v>
      </c>
      <c r="J1619" s="85" t="n">
        <v>2017</v>
      </c>
    </row>
    <row r="1620" customFormat="false" ht="15" hidden="true" customHeight="false" outlineLevel="0" collapsed="false">
      <c r="A1620" s="127" t="s">
        <v>2211</v>
      </c>
      <c r="B1620" s="123" t="s">
        <v>593</v>
      </c>
      <c r="C1620" s="116" t="s">
        <v>2214</v>
      </c>
      <c r="D1620" s="116"/>
      <c r="E1620" s="116"/>
      <c r="F1620" s="116"/>
      <c r="G1620" s="108" t="s">
        <v>1954</v>
      </c>
      <c r="H1620" s="105" t="n">
        <f aca="false">'[2]$ лето'!j1620-'[2]$ лето'!au1620-'[2]$ лето'!at1620-'[2]$ лето'!as1620-'[2]$ лето'!ar1620-'[2]$ лето'!aq1620-'[2]$ лето'!ap1620-'[2]$ лето'!an1620-'[2]$ лето'!am1620-'[2]$ лето'!al1620-'[2]$ лето'!ak1620-'[2]$ лето'!aj1620-'[2]$ лето'!ah1620-'[2]$ лето'!ag1620-'[2]$ лето'!af1620-'[2]$ лето'!ae1620-'[2]$ лето'!ad1620-'[2]$ лето'!ab1620-'[2]$ лето'!aa1620-'[2]$ лето'!z1620-'[2]$ лето'!y1620-'[2]$ лето'!x1620-'[2]$ лето'!v1620-'[2]$ лето'!u1620-'[2]$ лето'!t1620-'[2]$ лето'!s1620-'[2]$ лето'!r1620-'[2]$ лето'!p1620-'[2]$ лето'!o1620-'[2]$ лето'!n1620-'[2]$ лето'!m1620-'[2]$ лето'!l1620+'[2]$ лето'!k1620+'[2]$ лето'!q1620+'[2]$ лето'!w1620+'[2]$ лето'!ac1620+'[2]$ лето'!ai1620+'[2]$ лето'!ao1620</f>
        <v>0</v>
      </c>
      <c r="I1620" s="109" t="n">
        <f aca="false">'[2]$ лето'!ay1620*1.1</f>
        <v>6215</v>
      </c>
    </row>
    <row r="1621" customFormat="false" ht="15" hidden="true" customHeight="false" outlineLevel="0" collapsed="false">
      <c r="A1621" s="127" t="s">
        <v>2211</v>
      </c>
      <c r="B1621" s="123" t="s">
        <v>981</v>
      </c>
      <c r="C1621" s="116" t="s">
        <v>2215</v>
      </c>
      <c r="D1621" s="116"/>
      <c r="E1621" s="116"/>
      <c r="F1621" s="116"/>
      <c r="G1621" s="108" t="s">
        <v>864</v>
      </c>
      <c r="H1621" s="105" t="n">
        <f aca="false">'[2]$ лето'!j1621-'[2]$ лето'!au1621-'[2]$ лето'!at1621-'[2]$ лето'!as1621-'[2]$ лето'!ar1621-'[2]$ лето'!aq1621-'[2]$ лето'!ap1621-'[2]$ лето'!an1621-'[2]$ лето'!am1621-'[2]$ лето'!al1621-'[2]$ лето'!ak1621-'[2]$ лето'!aj1621-'[2]$ лето'!ah1621-'[2]$ лето'!ag1621-'[2]$ лето'!af1621-'[2]$ лето'!ae1621-'[2]$ лето'!ad1621-'[2]$ лето'!ab1621-'[2]$ лето'!aa1621-'[2]$ лето'!z1621-'[2]$ лето'!y1621-'[2]$ лето'!x1621-'[2]$ лето'!v1621-'[2]$ лето'!u1621-'[2]$ лето'!t1621-'[2]$ лето'!s1621-'[2]$ лето'!r1621-'[2]$ лето'!p1621-'[2]$ лето'!o1621-'[2]$ лето'!n1621-'[2]$ лето'!m1621-'[2]$ лето'!l1621+'[2]$ лето'!k1621+'[2]$ лето'!q1621+'[2]$ лето'!w1621+'[2]$ лето'!ac1621+'[2]$ лето'!ai1621+'[2]$ лето'!ao1621</f>
        <v>0</v>
      </c>
      <c r="I1621" s="109" t="n">
        <f aca="false">'[2]$ лето'!ay1621*1.1</f>
        <v>4681.6</v>
      </c>
      <c r="J1621" s="85" t="n">
        <v>2018</v>
      </c>
    </row>
    <row r="1622" customFormat="false" ht="15" hidden="false" customHeight="false" outlineLevel="0" collapsed="false">
      <c r="A1622" s="141" t="s">
        <v>2216</v>
      </c>
      <c r="B1622" s="129" t="s">
        <v>658</v>
      </c>
      <c r="C1622" s="131" t="s">
        <v>2217</v>
      </c>
      <c r="D1622" s="131"/>
      <c r="E1622" s="131"/>
      <c r="F1622" s="131"/>
      <c r="G1622" s="132"/>
      <c r="H1622" s="105" t="n">
        <f aca="false">'[2]$ лето'!j1622-'[2]$ лето'!au1622-'[2]$ лето'!at1622-'[2]$ лето'!as1622-'[2]$ лето'!ar1622-'[2]$ лето'!aq1622-'[2]$ лето'!ap1622-'[2]$ лето'!an1622-'[2]$ лето'!am1622-'[2]$ лето'!al1622-'[2]$ лето'!ak1622-'[2]$ лето'!aj1622-'[2]$ лето'!ah1622-'[2]$ лето'!ag1622-'[2]$ лето'!af1622-'[2]$ лето'!ae1622-'[2]$ лето'!ad1622-'[2]$ лето'!ab1622-'[2]$ лето'!aa1622-'[2]$ лето'!z1622-'[2]$ лето'!y1622-'[2]$ лето'!x1622-'[2]$ лето'!v1622-'[2]$ лето'!u1622-'[2]$ лето'!t1622-'[2]$ лето'!s1622-'[2]$ лето'!r1622-'[2]$ лето'!p1622-'[2]$ лето'!o1622-'[2]$ лето'!n1622-'[2]$ лето'!m1622-'[2]$ лето'!l1622+'[2]$ лето'!k1622+'[2]$ лето'!q1622+'[2]$ лето'!w1622+'[2]$ лето'!ac1622+'[2]$ лето'!ai1622+'[2]$ лето'!ao1622</f>
        <v>1</v>
      </c>
      <c r="I1622" s="133" t="n">
        <f aca="false">'[2]$ лето'!ay1622*1.1</f>
        <v>550</v>
      </c>
      <c r="J1622" s="85" t="s">
        <v>2218</v>
      </c>
    </row>
    <row r="1623" customFormat="false" ht="15" hidden="true" customHeight="false" outlineLevel="0" collapsed="false">
      <c r="A1623" s="127" t="s">
        <v>2216</v>
      </c>
      <c r="B1623" s="123" t="s">
        <v>707</v>
      </c>
      <c r="C1623" s="116" t="s">
        <v>2219</v>
      </c>
      <c r="D1623" s="116"/>
      <c r="E1623" s="116"/>
      <c r="F1623" s="116"/>
      <c r="G1623" s="108" t="s">
        <v>868</v>
      </c>
      <c r="H1623" s="105" t="n">
        <f aca="false">'[2]$ лето'!j1623-'[2]$ лето'!au1623-'[2]$ лето'!at1623-'[2]$ лето'!as1623-'[2]$ лето'!ar1623-'[2]$ лето'!aq1623-'[2]$ лето'!ap1623-'[2]$ лето'!an1623-'[2]$ лето'!am1623-'[2]$ лето'!al1623-'[2]$ лето'!ak1623-'[2]$ лето'!aj1623-'[2]$ лето'!ah1623-'[2]$ лето'!ag1623-'[2]$ лето'!af1623-'[2]$ лето'!ae1623-'[2]$ лето'!ad1623-'[2]$ лето'!ab1623-'[2]$ лето'!aa1623-'[2]$ лето'!z1623-'[2]$ лето'!y1623-'[2]$ лето'!x1623-'[2]$ лето'!v1623-'[2]$ лето'!u1623-'[2]$ лето'!t1623-'[2]$ лето'!s1623-'[2]$ лето'!r1623-'[2]$ лето'!p1623-'[2]$ лето'!o1623-'[2]$ лето'!n1623-'[2]$ лето'!m1623-'[2]$ лето'!l1623+'[2]$ лето'!k1623+'[2]$ лето'!q1623+'[2]$ лето'!w1623+'[2]$ лето'!ac1623+'[2]$ лето'!ai1623+'[2]$ лето'!ao1623</f>
        <v>0</v>
      </c>
      <c r="I1623" s="109" t="n">
        <f aca="false">'[2]$ лето'!ay1623*1.1</f>
        <v>6837.6</v>
      </c>
      <c r="J1623" s="85" t="s">
        <v>1827</v>
      </c>
    </row>
    <row r="1624" customFormat="false" ht="15" hidden="false" customHeight="false" outlineLevel="0" collapsed="false">
      <c r="A1624" s="127" t="s">
        <v>2216</v>
      </c>
      <c r="B1624" s="123" t="s">
        <v>593</v>
      </c>
      <c r="C1624" s="116" t="s">
        <v>1928</v>
      </c>
      <c r="D1624" s="116"/>
      <c r="E1624" s="116"/>
      <c r="F1624" s="116"/>
      <c r="G1624" s="108" t="s">
        <v>849</v>
      </c>
      <c r="H1624" s="105" t="n">
        <f aca="false">'[2]$ лето'!j1624-'[2]$ лето'!au1624-'[2]$ лето'!at1624-'[2]$ лето'!as1624-'[2]$ лето'!ar1624-'[2]$ лето'!aq1624-'[2]$ лето'!ap1624-'[2]$ лето'!an1624-'[2]$ лето'!am1624-'[2]$ лето'!al1624-'[2]$ лето'!ak1624-'[2]$ лето'!aj1624-'[2]$ лето'!ah1624-'[2]$ лето'!ag1624-'[2]$ лето'!af1624-'[2]$ лето'!ae1624-'[2]$ лето'!ad1624-'[2]$ лето'!ab1624-'[2]$ лето'!aa1624-'[2]$ лето'!z1624-'[2]$ лето'!y1624-'[2]$ лето'!x1624-'[2]$ лето'!v1624-'[2]$ лето'!u1624-'[2]$ лето'!t1624-'[2]$ лето'!s1624-'[2]$ лето'!r1624-'[2]$ лето'!p1624-'[2]$ лето'!o1624-'[2]$ лето'!n1624-'[2]$ лето'!m1624-'[2]$ лето'!l1624+'[2]$ лето'!k1624+'[2]$ лето'!q1624+'[2]$ лето'!w1624+'[2]$ лето'!ac1624+'[2]$ лето'!ai1624+'[2]$ лето'!ao1624</f>
        <v>4</v>
      </c>
      <c r="I1624" s="109" t="n">
        <f aca="false">'[2]$ лето'!ay1624*1.1</f>
        <v>5790.4</v>
      </c>
      <c r="J1624" s="85" t="n">
        <v>2018</v>
      </c>
    </row>
    <row r="1625" customFormat="false" ht="15" hidden="false" customHeight="false" outlineLevel="0" collapsed="false">
      <c r="A1625" s="141" t="s">
        <v>2216</v>
      </c>
      <c r="B1625" s="129" t="s">
        <v>593</v>
      </c>
      <c r="C1625" s="131" t="s">
        <v>2220</v>
      </c>
      <c r="D1625" s="131"/>
      <c r="E1625" s="131"/>
      <c r="F1625" s="131"/>
      <c r="G1625" s="132"/>
      <c r="H1625" s="105" t="n">
        <f aca="false">'[2]$ лето'!j1625-'[2]$ лето'!au1625-'[2]$ лето'!at1625-'[2]$ лето'!as1625-'[2]$ лето'!ar1625-'[2]$ лето'!aq1625-'[2]$ лето'!ap1625-'[2]$ лето'!an1625-'[2]$ лето'!am1625-'[2]$ лето'!al1625-'[2]$ лето'!ak1625-'[2]$ лето'!aj1625-'[2]$ лето'!ah1625-'[2]$ лето'!ag1625-'[2]$ лето'!af1625-'[2]$ лето'!ae1625-'[2]$ лето'!ad1625-'[2]$ лето'!ab1625-'[2]$ лето'!aa1625-'[2]$ лето'!z1625-'[2]$ лето'!y1625-'[2]$ лето'!x1625-'[2]$ лето'!v1625-'[2]$ лето'!u1625-'[2]$ лето'!t1625-'[2]$ лето'!s1625-'[2]$ лето'!r1625-'[2]$ лето'!p1625-'[2]$ лето'!o1625-'[2]$ лето'!n1625-'[2]$ лето'!m1625-'[2]$ лето'!l1625+'[2]$ лето'!k1625+'[2]$ лето'!q1625+'[2]$ лето'!w1625+'[2]$ лето'!ac1625+'[2]$ лето'!ai1625+'[2]$ лето'!ao1625</f>
        <v>2</v>
      </c>
      <c r="I1625" s="133" t="n">
        <f aca="false">'[2]$ лето'!ay1625*1.1</f>
        <v>550</v>
      </c>
    </row>
    <row r="1626" customFormat="false" ht="15" hidden="false" customHeight="false" outlineLevel="0" collapsed="false">
      <c r="A1626" s="127" t="s">
        <v>2216</v>
      </c>
      <c r="B1626" s="123" t="s">
        <v>615</v>
      </c>
      <c r="C1626" s="116" t="s">
        <v>2221</v>
      </c>
      <c r="D1626" s="116"/>
      <c r="E1626" s="116" t="n">
        <v>104</v>
      </c>
      <c r="F1626" s="116" t="s">
        <v>1949</v>
      </c>
      <c r="G1626" s="108"/>
      <c r="H1626" s="105" t="n">
        <f aca="false">'[2]$ лето'!j1626-'[2]$ лето'!au1626-'[2]$ лето'!at1626-'[2]$ лето'!as1626-'[2]$ лето'!ar1626-'[2]$ лето'!aq1626-'[2]$ лето'!ap1626-'[2]$ лето'!an1626-'[2]$ лето'!am1626-'[2]$ лето'!al1626-'[2]$ лето'!ak1626-'[2]$ лето'!aj1626-'[2]$ лето'!ah1626-'[2]$ лето'!ag1626-'[2]$ лето'!af1626-'[2]$ лето'!ae1626-'[2]$ лето'!ad1626-'[2]$ лето'!ab1626-'[2]$ лето'!aa1626-'[2]$ лето'!z1626-'[2]$ лето'!y1626-'[2]$ лето'!x1626-'[2]$ лето'!v1626-'[2]$ лето'!u1626-'[2]$ лето'!t1626-'[2]$ лето'!s1626-'[2]$ лето'!r1626-'[2]$ лето'!p1626-'[2]$ лето'!o1626-'[2]$ лето'!n1626-'[2]$ лето'!m1626-'[2]$ лето'!l1626+'[2]$ лето'!k1626+'[2]$ лето'!q1626+'[2]$ лето'!w1626+'[2]$ лето'!ac1626+'[2]$ лето'!ai1626+'[2]$ лето'!ao1626</f>
        <v>4</v>
      </c>
      <c r="I1626" s="109" t="n">
        <f aca="false">'[2]$ лето'!ay1626*1.1</f>
        <v>3850</v>
      </c>
      <c r="J1626" s="85" t="n">
        <v>2017</v>
      </c>
    </row>
    <row r="1627" customFormat="false" ht="15" hidden="true" customHeight="false" outlineLevel="0" collapsed="false">
      <c r="A1627" s="127" t="s">
        <v>2216</v>
      </c>
      <c r="B1627" s="123" t="s">
        <v>615</v>
      </c>
      <c r="C1627" s="116" t="s">
        <v>2222</v>
      </c>
      <c r="D1627" s="116"/>
      <c r="E1627" s="116"/>
      <c r="F1627" s="116"/>
      <c r="G1627" s="108"/>
      <c r="H1627" s="105" t="n">
        <f aca="false">'[2]$ лето'!j1627-'[2]$ лето'!au1627-'[2]$ лето'!at1627-'[2]$ лето'!as1627-'[2]$ лето'!ar1627-'[2]$ лето'!aq1627-'[2]$ лето'!ap1627-'[2]$ лето'!an1627-'[2]$ лето'!am1627-'[2]$ лето'!al1627-'[2]$ лето'!ak1627-'[2]$ лето'!aj1627-'[2]$ лето'!ah1627-'[2]$ лето'!ag1627-'[2]$ лето'!af1627-'[2]$ лето'!ae1627-'[2]$ лето'!ad1627-'[2]$ лето'!ab1627-'[2]$ лето'!aa1627-'[2]$ лето'!z1627-'[2]$ лето'!y1627-'[2]$ лето'!x1627-'[2]$ лето'!v1627-'[2]$ лето'!u1627-'[2]$ лето'!t1627-'[2]$ лето'!s1627-'[2]$ лето'!r1627-'[2]$ лето'!p1627-'[2]$ лето'!o1627-'[2]$ лето'!n1627-'[2]$ лето'!m1627-'[2]$ лето'!l1627+'[2]$ лето'!k1627+'[2]$ лето'!q1627+'[2]$ лето'!w1627+'[2]$ лето'!ac1627+'[2]$ лето'!ai1627+'[2]$ лето'!ao1627</f>
        <v>0</v>
      </c>
      <c r="I1627" s="109" t="n">
        <f aca="false">'[2]$ лето'!ay1627*1.1</f>
        <v>3542</v>
      </c>
    </row>
    <row r="1628" customFormat="false" ht="15" hidden="true" customHeight="false" outlineLevel="0" collapsed="false">
      <c r="A1628" s="127" t="s">
        <v>2216</v>
      </c>
      <c r="B1628" s="123" t="s">
        <v>801</v>
      </c>
      <c r="C1628" s="116" t="s">
        <v>2223</v>
      </c>
      <c r="D1628" s="116"/>
      <c r="E1628" s="116"/>
      <c r="F1628" s="116"/>
      <c r="G1628" s="108"/>
      <c r="H1628" s="105" t="n">
        <f aca="false">'[2]$ лето'!j1628-'[2]$ лето'!au1628-'[2]$ лето'!at1628-'[2]$ лето'!as1628-'[2]$ лето'!ar1628-'[2]$ лето'!aq1628-'[2]$ лето'!ap1628-'[2]$ лето'!an1628-'[2]$ лето'!am1628-'[2]$ лето'!al1628-'[2]$ лето'!ak1628-'[2]$ лето'!aj1628-'[2]$ лето'!ah1628-'[2]$ лето'!ag1628-'[2]$ лето'!af1628-'[2]$ лето'!ae1628-'[2]$ лето'!ad1628-'[2]$ лето'!ab1628-'[2]$ лето'!aa1628-'[2]$ лето'!z1628-'[2]$ лето'!y1628-'[2]$ лето'!x1628-'[2]$ лето'!v1628-'[2]$ лето'!u1628-'[2]$ лето'!t1628-'[2]$ лето'!s1628-'[2]$ лето'!r1628-'[2]$ лето'!p1628-'[2]$ лето'!o1628-'[2]$ лето'!n1628-'[2]$ лето'!m1628-'[2]$ лето'!l1628+'[2]$ лето'!k1628+'[2]$ лето'!q1628+'[2]$ лето'!w1628+'[2]$ лето'!ac1628+'[2]$ лето'!ai1628+'[2]$ лето'!ao1628</f>
        <v>0</v>
      </c>
      <c r="I1628" s="109" t="n">
        <f aca="false">'[2]$ лето'!ay1628*1.1</f>
        <v>8932</v>
      </c>
    </row>
    <row r="1629" customFormat="false" ht="15" hidden="false" customHeight="false" outlineLevel="0" collapsed="false">
      <c r="A1629" s="127" t="s">
        <v>2216</v>
      </c>
      <c r="B1629" s="123" t="s">
        <v>981</v>
      </c>
      <c r="C1629" s="116" t="s">
        <v>2224</v>
      </c>
      <c r="D1629" s="116"/>
      <c r="E1629" s="116"/>
      <c r="F1629" s="116"/>
      <c r="G1629" s="108" t="s">
        <v>570</v>
      </c>
      <c r="H1629" s="105" t="n">
        <f aca="false">'[2]$ лето'!j1629-'[2]$ лето'!au1629-'[2]$ лето'!at1629-'[2]$ лето'!as1629-'[2]$ лето'!ar1629-'[2]$ лето'!aq1629-'[2]$ лето'!ap1629-'[2]$ лето'!an1629-'[2]$ лето'!am1629-'[2]$ лето'!al1629-'[2]$ лето'!ak1629-'[2]$ лето'!aj1629-'[2]$ лето'!ah1629-'[2]$ лето'!ag1629-'[2]$ лето'!af1629-'[2]$ лето'!ae1629-'[2]$ лето'!ad1629-'[2]$ лето'!ab1629-'[2]$ лето'!aa1629-'[2]$ лето'!z1629-'[2]$ лето'!y1629-'[2]$ лето'!x1629-'[2]$ лето'!v1629-'[2]$ лето'!u1629-'[2]$ лето'!t1629-'[2]$ лето'!s1629-'[2]$ лето'!r1629-'[2]$ лето'!p1629-'[2]$ лето'!o1629-'[2]$ лето'!n1629-'[2]$ лето'!m1629-'[2]$ лето'!l1629+'[2]$ лето'!k1629+'[2]$ лето'!q1629+'[2]$ лето'!w1629+'[2]$ лето'!ac1629+'[2]$ лето'!ai1629+'[2]$ лето'!ao1629</f>
        <v>4</v>
      </c>
      <c r="I1629" s="109" t="n">
        <f aca="false">'[2]$ лето'!ay1629*1.1</f>
        <v>4866.4</v>
      </c>
      <c r="J1629" s="85" t="n">
        <v>2017</v>
      </c>
    </row>
    <row r="1630" customFormat="false" ht="15" hidden="false" customHeight="false" outlineLevel="0" collapsed="false">
      <c r="A1630" s="115" t="s">
        <v>2225</v>
      </c>
      <c r="B1630" s="123" t="s">
        <v>566</v>
      </c>
      <c r="C1630" s="127" t="s">
        <v>2226</v>
      </c>
      <c r="D1630" s="127"/>
      <c r="E1630" s="127"/>
      <c r="F1630" s="127"/>
      <c r="G1630" s="108" t="s">
        <v>563</v>
      </c>
      <c r="H1630" s="105" t="n">
        <f aca="false">'[2]$ лето'!j1630-'[2]$ лето'!au1630-'[2]$ лето'!at1630-'[2]$ лето'!as1630-'[2]$ лето'!ar1630-'[2]$ лето'!aq1630-'[2]$ лето'!ap1630-'[2]$ лето'!an1630-'[2]$ лето'!am1630-'[2]$ лето'!al1630-'[2]$ лето'!ak1630-'[2]$ лето'!aj1630-'[2]$ лето'!ah1630-'[2]$ лето'!ag1630-'[2]$ лето'!af1630-'[2]$ лето'!ae1630-'[2]$ лето'!ad1630-'[2]$ лето'!ab1630-'[2]$ лето'!aa1630-'[2]$ лето'!z1630-'[2]$ лето'!y1630-'[2]$ лето'!x1630-'[2]$ лето'!v1630-'[2]$ лето'!u1630-'[2]$ лето'!t1630-'[2]$ лето'!s1630-'[2]$ лето'!r1630-'[2]$ лето'!p1630-'[2]$ лето'!o1630-'[2]$ лето'!n1630-'[2]$ лето'!m1630-'[2]$ лето'!l1630+'[2]$ лето'!k1630+'[2]$ лето'!q1630+'[2]$ лето'!w1630+'[2]$ лето'!ac1630+'[2]$ лето'!ai1630+'[2]$ лето'!ao1630</f>
        <v>4</v>
      </c>
      <c r="I1630" s="109" t="n">
        <f aca="false">'[2]$ лето'!ay1630*1.1</f>
        <v>2587.2</v>
      </c>
    </row>
    <row r="1631" customFormat="false" ht="15" hidden="false" customHeight="false" outlineLevel="0" collapsed="false">
      <c r="A1631" s="115" t="s">
        <v>2225</v>
      </c>
      <c r="B1631" s="123" t="s">
        <v>792</v>
      </c>
      <c r="C1631" s="127" t="s">
        <v>2227</v>
      </c>
      <c r="D1631" s="127"/>
      <c r="E1631" s="127"/>
      <c r="F1631" s="127"/>
      <c r="G1631" s="108"/>
      <c r="H1631" s="105" t="n">
        <f aca="false">'[2]$ лето'!j1631-'[2]$ лето'!au1631-'[2]$ лето'!at1631-'[2]$ лето'!as1631-'[2]$ лето'!ar1631-'[2]$ лето'!aq1631-'[2]$ лето'!ap1631-'[2]$ лето'!an1631-'[2]$ лето'!am1631-'[2]$ лето'!al1631-'[2]$ лето'!ak1631-'[2]$ лето'!aj1631-'[2]$ лето'!ah1631-'[2]$ лето'!ag1631-'[2]$ лето'!af1631-'[2]$ лето'!ae1631-'[2]$ лето'!ad1631-'[2]$ лето'!ab1631-'[2]$ лето'!aa1631-'[2]$ лето'!z1631-'[2]$ лето'!y1631-'[2]$ лето'!x1631-'[2]$ лето'!v1631-'[2]$ лето'!u1631-'[2]$ лето'!t1631-'[2]$ лето'!s1631-'[2]$ лето'!r1631-'[2]$ лето'!p1631-'[2]$ лето'!o1631-'[2]$ лето'!n1631-'[2]$ лето'!m1631-'[2]$ лето'!l1631+'[2]$ лето'!k1631+'[2]$ лето'!q1631+'[2]$ лето'!w1631+'[2]$ лето'!ac1631+'[2]$ лето'!ai1631+'[2]$ лето'!ao1631</f>
        <v>4</v>
      </c>
      <c r="I1631" s="109" t="n">
        <f aca="false">'[2]$ лето'!ay1631*1.1</f>
        <v>2310</v>
      </c>
    </row>
    <row r="1632" customFormat="false" ht="15" hidden="true" customHeight="false" outlineLevel="0" collapsed="false">
      <c r="A1632" s="115" t="s">
        <v>2225</v>
      </c>
      <c r="B1632" s="123" t="s">
        <v>568</v>
      </c>
      <c r="C1632" s="127" t="s">
        <v>2228</v>
      </c>
      <c r="D1632" s="127"/>
      <c r="E1632" s="127"/>
      <c r="F1632" s="127"/>
      <c r="G1632" s="108"/>
      <c r="H1632" s="105" t="n">
        <f aca="false">'[2]$ лето'!j1632-'[2]$ лето'!au1632-'[2]$ лето'!at1632-'[2]$ лето'!as1632-'[2]$ лето'!ar1632-'[2]$ лето'!aq1632-'[2]$ лето'!ap1632-'[2]$ лето'!an1632-'[2]$ лето'!am1632-'[2]$ лето'!al1632-'[2]$ лето'!ak1632-'[2]$ лето'!aj1632-'[2]$ лето'!ah1632-'[2]$ лето'!ag1632-'[2]$ лето'!af1632-'[2]$ лето'!ae1632-'[2]$ лето'!ad1632-'[2]$ лето'!ab1632-'[2]$ лето'!aa1632-'[2]$ лето'!z1632-'[2]$ лето'!y1632-'[2]$ лето'!x1632-'[2]$ лето'!v1632-'[2]$ лето'!u1632-'[2]$ лето'!t1632-'[2]$ лето'!s1632-'[2]$ лето'!r1632-'[2]$ лето'!p1632-'[2]$ лето'!o1632-'[2]$ лето'!n1632-'[2]$ лето'!m1632-'[2]$ лето'!l1632+'[2]$ лето'!k1632+'[2]$ лето'!q1632+'[2]$ лето'!w1632+'[2]$ лето'!ac1632+'[2]$ лето'!ai1632+'[2]$ лето'!ao1632</f>
        <v>0</v>
      </c>
      <c r="I1632" s="109" t="n">
        <f aca="false">'[2]$ лето'!ay1632*1.1</f>
        <v>2710.4</v>
      </c>
    </row>
    <row r="1633" customFormat="false" ht="15" hidden="false" customHeight="false" outlineLevel="0" collapsed="false">
      <c r="A1633" s="115" t="s">
        <v>2225</v>
      </c>
      <c r="B1633" s="123" t="s">
        <v>601</v>
      </c>
      <c r="C1633" s="127" t="s">
        <v>2229</v>
      </c>
      <c r="D1633" s="127"/>
      <c r="E1633" s="127"/>
      <c r="F1633" s="127"/>
      <c r="G1633" s="108"/>
      <c r="H1633" s="105" t="n">
        <f aca="false">'[2]$ лето'!j1633-'[2]$ лето'!au1633-'[2]$ лето'!at1633-'[2]$ лето'!as1633-'[2]$ лето'!ar1633-'[2]$ лето'!aq1633-'[2]$ лето'!ap1633-'[2]$ лето'!an1633-'[2]$ лето'!am1633-'[2]$ лето'!al1633-'[2]$ лето'!ak1633-'[2]$ лето'!aj1633-'[2]$ лето'!ah1633-'[2]$ лето'!ag1633-'[2]$ лето'!af1633-'[2]$ лето'!ae1633-'[2]$ лето'!ad1633-'[2]$ лето'!ab1633-'[2]$ лето'!aa1633-'[2]$ лето'!z1633-'[2]$ лето'!y1633-'[2]$ лето'!x1633-'[2]$ лето'!v1633-'[2]$ лето'!u1633-'[2]$ лето'!t1633-'[2]$ лето'!s1633-'[2]$ лето'!r1633-'[2]$ лето'!p1633-'[2]$ лето'!o1633-'[2]$ лето'!n1633-'[2]$ лето'!m1633-'[2]$ лето'!l1633+'[2]$ лето'!k1633+'[2]$ лето'!q1633+'[2]$ лето'!w1633+'[2]$ лето'!ac1633+'[2]$ лето'!ai1633+'[2]$ лето'!ao1633</f>
        <v>6</v>
      </c>
      <c r="I1633" s="109" t="n">
        <f aca="false">'[2]$ лето'!ay1633*1.1</f>
        <v>4312</v>
      </c>
    </row>
    <row r="1634" customFormat="false" ht="15" hidden="false" customHeight="false" outlineLevel="0" collapsed="false">
      <c r="A1634" s="115" t="s">
        <v>2225</v>
      </c>
      <c r="B1634" s="115" t="s">
        <v>658</v>
      </c>
      <c r="C1634" s="119" t="s">
        <v>2230</v>
      </c>
      <c r="D1634" s="119"/>
      <c r="E1634" s="119"/>
      <c r="F1634" s="119"/>
      <c r="G1634" s="108" t="s">
        <v>570</v>
      </c>
      <c r="H1634" s="105" t="n">
        <f aca="false">'[2]$ лето'!j1634-'[2]$ лето'!au1634-'[2]$ лето'!at1634-'[2]$ лето'!as1634-'[2]$ лето'!ar1634-'[2]$ лето'!aq1634-'[2]$ лето'!ap1634-'[2]$ лето'!an1634-'[2]$ лето'!am1634-'[2]$ лето'!al1634-'[2]$ лето'!ak1634-'[2]$ лето'!aj1634-'[2]$ лето'!ah1634-'[2]$ лето'!ag1634-'[2]$ лето'!af1634-'[2]$ лето'!ae1634-'[2]$ лето'!ad1634-'[2]$ лето'!ab1634-'[2]$ лето'!aa1634-'[2]$ лето'!z1634-'[2]$ лето'!y1634-'[2]$ лето'!x1634-'[2]$ лето'!v1634-'[2]$ лето'!u1634-'[2]$ лето'!t1634-'[2]$ лето'!s1634-'[2]$ лето'!r1634-'[2]$ лето'!p1634-'[2]$ лето'!o1634-'[2]$ лето'!n1634-'[2]$ лето'!m1634-'[2]$ лето'!l1634+'[2]$ лето'!k1634+'[2]$ лето'!q1634+'[2]$ лето'!w1634+'[2]$ лето'!ac1634+'[2]$ лето'!ai1634+'[2]$ лето'!ao1634</f>
        <v>4</v>
      </c>
      <c r="I1634" s="109" t="n">
        <f aca="false">'[2]$ лето'!ay1634*1.1</f>
        <v>5143.6</v>
      </c>
      <c r="J1634" s="85" t="n">
        <v>2017</v>
      </c>
    </row>
    <row r="1635" customFormat="false" ht="15" hidden="true" customHeight="false" outlineLevel="0" collapsed="false">
      <c r="A1635" s="115" t="s">
        <v>2225</v>
      </c>
      <c r="B1635" s="115" t="s">
        <v>658</v>
      </c>
      <c r="C1635" s="107" t="s">
        <v>2231</v>
      </c>
      <c r="D1635" s="107"/>
      <c r="E1635" s="107"/>
      <c r="F1635" s="107"/>
      <c r="G1635" s="108"/>
      <c r="H1635" s="105" t="n">
        <f aca="false">'[2]$ лето'!j1635-'[2]$ лето'!au1635-'[2]$ лето'!at1635-'[2]$ лето'!as1635-'[2]$ лето'!ar1635-'[2]$ лето'!aq1635-'[2]$ лето'!ap1635-'[2]$ лето'!an1635-'[2]$ лето'!am1635-'[2]$ лето'!al1635-'[2]$ лето'!ak1635-'[2]$ лето'!aj1635-'[2]$ лето'!ah1635-'[2]$ лето'!ag1635-'[2]$ лето'!af1635-'[2]$ лето'!ae1635-'[2]$ лето'!ad1635-'[2]$ лето'!ab1635-'[2]$ лето'!aa1635-'[2]$ лето'!z1635-'[2]$ лето'!y1635-'[2]$ лето'!x1635-'[2]$ лето'!v1635-'[2]$ лето'!u1635-'[2]$ лето'!t1635-'[2]$ лето'!s1635-'[2]$ лето'!r1635-'[2]$ лето'!p1635-'[2]$ лето'!o1635-'[2]$ лето'!n1635-'[2]$ лето'!m1635-'[2]$ лето'!l1635+'[2]$ лето'!k1635+'[2]$ лето'!q1635+'[2]$ лето'!w1635+'[2]$ лето'!ac1635+'[2]$ лето'!ai1635+'[2]$ лето'!ao1635</f>
        <v>0</v>
      </c>
      <c r="I1635" s="109" t="n">
        <f aca="false">'[2]$ лето'!ay1635*1.1</f>
        <v>4312</v>
      </c>
    </row>
    <row r="1636" customFormat="false" ht="15" hidden="false" customHeight="false" outlineLevel="0" collapsed="false">
      <c r="A1636" s="129" t="s">
        <v>2225</v>
      </c>
      <c r="B1636" s="129" t="s">
        <v>658</v>
      </c>
      <c r="C1636" s="130"/>
      <c r="D1636" s="130"/>
      <c r="E1636" s="131"/>
      <c r="F1636" s="131"/>
      <c r="G1636" s="132"/>
      <c r="H1636" s="105" t="n">
        <f aca="false">'[2]$ лето'!j1636-'[2]$ лето'!au1636-'[2]$ лето'!at1636-'[2]$ лето'!as1636-'[2]$ лето'!ar1636-'[2]$ лето'!aq1636-'[2]$ лето'!ap1636-'[2]$ лето'!an1636-'[2]$ лето'!am1636-'[2]$ лето'!al1636-'[2]$ лето'!ak1636-'[2]$ лето'!aj1636-'[2]$ лето'!ah1636-'[2]$ лето'!ag1636-'[2]$ лето'!af1636-'[2]$ лето'!ae1636-'[2]$ лето'!ad1636-'[2]$ лето'!ab1636-'[2]$ лето'!aa1636-'[2]$ лето'!z1636-'[2]$ лето'!y1636-'[2]$ лето'!x1636-'[2]$ лето'!v1636-'[2]$ лето'!u1636-'[2]$ лето'!t1636-'[2]$ лето'!s1636-'[2]$ лето'!r1636-'[2]$ лето'!p1636-'[2]$ лето'!o1636-'[2]$ лето'!n1636-'[2]$ лето'!m1636-'[2]$ лето'!l1636+'[2]$ лето'!k1636+'[2]$ лето'!q1636+'[2]$ лето'!w1636+'[2]$ лето'!ac1636+'[2]$ лето'!ai1636+'[2]$ лето'!ao1636</f>
        <v>1</v>
      </c>
      <c r="I1636" s="133"/>
    </row>
    <row r="1637" customFormat="false" ht="15" hidden="true" customHeight="false" outlineLevel="0" collapsed="false">
      <c r="A1637" s="115" t="s">
        <v>2225</v>
      </c>
      <c r="B1637" s="115" t="s">
        <v>557</v>
      </c>
      <c r="C1637" s="116" t="s">
        <v>2232</v>
      </c>
      <c r="D1637" s="116"/>
      <c r="E1637" s="116" t="n">
        <v>107</v>
      </c>
      <c r="F1637" s="116" t="s">
        <v>1553</v>
      </c>
      <c r="G1637" s="108"/>
      <c r="H1637" s="105" t="n">
        <f aca="false">'[2]$ лето'!j1637-'[2]$ лето'!au1637-'[2]$ лето'!at1637-'[2]$ лето'!as1637-'[2]$ лето'!ar1637-'[2]$ лето'!aq1637-'[2]$ лето'!ap1637-'[2]$ лето'!an1637-'[2]$ лето'!am1637-'[2]$ лето'!al1637-'[2]$ лето'!ak1637-'[2]$ лето'!aj1637-'[2]$ лето'!ah1637-'[2]$ лето'!ag1637-'[2]$ лето'!af1637-'[2]$ лето'!ae1637-'[2]$ лето'!ad1637-'[2]$ лето'!ab1637-'[2]$ лето'!aa1637-'[2]$ лето'!z1637-'[2]$ лето'!y1637-'[2]$ лето'!x1637-'[2]$ лето'!v1637-'[2]$ лето'!u1637-'[2]$ лето'!t1637-'[2]$ лето'!s1637-'[2]$ лето'!r1637-'[2]$ лето'!p1637-'[2]$ лето'!o1637-'[2]$ лето'!n1637-'[2]$ лето'!m1637-'[2]$ лето'!l1637+'[2]$ лето'!k1637+'[2]$ лето'!q1637+'[2]$ лето'!w1637+'[2]$ лето'!ac1637+'[2]$ лето'!ai1637+'[2]$ лето'!ao1637</f>
        <v>0</v>
      </c>
      <c r="I1637" s="109" t="n">
        <f aca="false">'[2]$ лето'!ay1637*1.1</f>
        <v>3141.6</v>
      </c>
      <c r="J1637" s="85" t="s">
        <v>1827</v>
      </c>
    </row>
    <row r="1638" customFormat="false" ht="15" hidden="false" customHeight="false" outlineLevel="0" collapsed="false">
      <c r="A1638" s="115" t="s">
        <v>2225</v>
      </c>
      <c r="B1638" s="115" t="s">
        <v>606</v>
      </c>
      <c r="C1638" s="107" t="s">
        <v>2233</v>
      </c>
      <c r="D1638" s="107"/>
      <c r="E1638" s="116"/>
      <c r="F1638" s="116"/>
      <c r="G1638" s="108" t="s">
        <v>849</v>
      </c>
      <c r="H1638" s="105" t="n">
        <f aca="false">'[2]$ лето'!j1638-'[2]$ лето'!au1638-'[2]$ лето'!at1638-'[2]$ лето'!as1638-'[2]$ лето'!ar1638-'[2]$ лето'!aq1638-'[2]$ лето'!ap1638-'[2]$ лето'!an1638-'[2]$ лето'!am1638-'[2]$ лето'!al1638-'[2]$ лето'!ak1638-'[2]$ лето'!aj1638-'[2]$ лето'!ah1638-'[2]$ лето'!ag1638-'[2]$ лето'!af1638-'[2]$ лето'!ae1638-'[2]$ лето'!ad1638-'[2]$ лето'!ab1638-'[2]$ лето'!aa1638-'[2]$ лето'!z1638-'[2]$ лето'!y1638-'[2]$ лето'!x1638-'[2]$ лето'!v1638-'[2]$ лето'!u1638-'[2]$ лето'!t1638-'[2]$ лето'!s1638-'[2]$ лето'!r1638-'[2]$ лето'!p1638-'[2]$ лето'!o1638-'[2]$ лето'!n1638-'[2]$ лето'!m1638-'[2]$ лето'!l1638+'[2]$ лето'!k1638+'[2]$ лето'!q1638+'[2]$ лето'!w1638+'[2]$ лето'!ac1638+'[2]$ лето'!ai1638+'[2]$ лето'!ao1638</f>
        <v>4</v>
      </c>
      <c r="I1638" s="109" t="n">
        <f aca="false">'[2]$ лето'!ay1638*1.1</f>
        <v>4466</v>
      </c>
      <c r="J1638" s="85" t="n">
        <v>2018</v>
      </c>
    </row>
    <row r="1639" customFormat="false" ht="15" hidden="false" customHeight="false" outlineLevel="0" collapsed="false">
      <c r="A1639" s="115" t="s">
        <v>2225</v>
      </c>
      <c r="B1639" s="123" t="s">
        <v>1130</v>
      </c>
      <c r="C1639" s="107" t="s">
        <v>2234</v>
      </c>
      <c r="D1639" s="107"/>
      <c r="E1639" s="116"/>
      <c r="F1639" s="116"/>
      <c r="G1639" s="108"/>
      <c r="H1639" s="105" t="n">
        <f aca="false">'[2]$ лето'!j1639-'[2]$ лето'!au1639-'[2]$ лето'!at1639-'[2]$ лето'!as1639-'[2]$ лето'!ar1639-'[2]$ лето'!aq1639-'[2]$ лето'!ap1639-'[2]$ лето'!an1639-'[2]$ лето'!am1639-'[2]$ лето'!al1639-'[2]$ лето'!ak1639-'[2]$ лето'!aj1639-'[2]$ лето'!ah1639-'[2]$ лето'!ag1639-'[2]$ лето'!af1639-'[2]$ лето'!ae1639-'[2]$ лето'!ad1639-'[2]$ лето'!ab1639-'[2]$ лето'!aa1639-'[2]$ лето'!z1639-'[2]$ лето'!y1639-'[2]$ лето'!x1639-'[2]$ лето'!v1639-'[2]$ лето'!u1639-'[2]$ лето'!t1639-'[2]$ лето'!s1639-'[2]$ лето'!r1639-'[2]$ лето'!p1639-'[2]$ лето'!o1639-'[2]$ лето'!n1639-'[2]$ лето'!m1639-'[2]$ лето'!l1639+'[2]$ лето'!k1639+'[2]$ лето'!q1639+'[2]$ лето'!w1639+'[2]$ лето'!ac1639+'[2]$ лето'!ai1639+'[2]$ лето'!ao1639</f>
        <v>4</v>
      </c>
      <c r="I1639" s="109" t="n">
        <f aca="false">'[2]$ лето'!ay1639*1.1</f>
        <v>2156</v>
      </c>
    </row>
    <row r="1640" customFormat="false" ht="15" hidden="false" customHeight="false" outlineLevel="0" collapsed="false">
      <c r="A1640" s="115" t="s">
        <v>2225</v>
      </c>
      <c r="B1640" s="123" t="s">
        <v>668</v>
      </c>
      <c r="C1640" s="107" t="s">
        <v>1312</v>
      </c>
      <c r="D1640" s="107"/>
      <c r="E1640" s="116"/>
      <c r="F1640" s="116"/>
      <c r="G1640" s="108" t="s">
        <v>609</v>
      </c>
      <c r="H1640" s="105" t="n">
        <f aca="false">'[2]$ лето'!j1640-'[2]$ лето'!au1640-'[2]$ лето'!at1640-'[2]$ лето'!as1640-'[2]$ лето'!ar1640-'[2]$ лето'!aq1640-'[2]$ лето'!ap1640-'[2]$ лето'!an1640-'[2]$ лето'!am1640-'[2]$ лето'!al1640-'[2]$ лето'!ak1640-'[2]$ лето'!aj1640-'[2]$ лето'!ah1640-'[2]$ лето'!ag1640-'[2]$ лето'!af1640-'[2]$ лето'!ae1640-'[2]$ лето'!ad1640-'[2]$ лето'!ab1640-'[2]$ лето'!aa1640-'[2]$ лето'!z1640-'[2]$ лето'!y1640-'[2]$ лето'!x1640-'[2]$ лето'!v1640-'[2]$ лето'!u1640-'[2]$ лето'!t1640-'[2]$ лето'!s1640-'[2]$ лето'!r1640-'[2]$ лето'!p1640-'[2]$ лето'!o1640-'[2]$ лето'!n1640-'[2]$ лето'!m1640-'[2]$ лето'!l1640+'[2]$ лето'!k1640+'[2]$ лето'!q1640+'[2]$ лето'!w1640+'[2]$ лето'!ac1640+'[2]$ лето'!ai1640+'[2]$ лето'!ao1640</f>
        <v>4</v>
      </c>
      <c r="I1640" s="109" t="n">
        <f aca="false">'[2]$ лето'!ay1640*1.1</f>
        <v>3911.6</v>
      </c>
    </row>
    <row r="1641" customFormat="false" ht="15" hidden="false" customHeight="false" outlineLevel="0" collapsed="false">
      <c r="A1641" s="115" t="s">
        <v>2225</v>
      </c>
      <c r="B1641" s="123" t="s">
        <v>583</v>
      </c>
      <c r="C1641" s="107" t="s">
        <v>2235</v>
      </c>
      <c r="D1641" s="107"/>
      <c r="E1641" s="116"/>
      <c r="F1641" s="116"/>
      <c r="G1641" s="108" t="s">
        <v>585</v>
      </c>
      <c r="H1641" s="105" t="n">
        <f aca="false">'[2]$ лето'!j1641-'[2]$ лето'!au1641-'[2]$ лето'!at1641-'[2]$ лето'!as1641-'[2]$ лето'!ar1641-'[2]$ лето'!aq1641-'[2]$ лето'!ap1641-'[2]$ лето'!an1641-'[2]$ лето'!am1641-'[2]$ лето'!al1641-'[2]$ лето'!ak1641-'[2]$ лето'!aj1641-'[2]$ лето'!ah1641-'[2]$ лето'!ag1641-'[2]$ лето'!af1641-'[2]$ лето'!ae1641-'[2]$ лето'!ad1641-'[2]$ лето'!ab1641-'[2]$ лето'!aa1641-'[2]$ лето'!z1641-'[2]$ лето'!y1641-'[2]$ лето'!x1641-'[2]$ лето'!v1641-'[2]$ лето'!u1641-'[2]$ лето'!t1641-'[2]$ лето'!s1641-'[2]$ лето'!r1641-'[2]$ лето'!p1641-'[2]$ лето'!o1641-'[2]$ лето'!n1641-'[2]$ лето'!m1641-'[2]$ лето'!l1641+'[2]$ лето'!k1641+'[2]$ лето'!q1641+'[2]$ лето'!w1641+'[2]$ лето'!ac1641+'[2]$ лето'!ai1641+'[2]$ лето'!ao1641</f>
        <v>1</v>
      </c>
      <c r="I1641" s="109" t="n">
        <f aca="false">'[2]$ лето'!ay1641*1.1</f>
        <v>2926</v>
      </c>
      <c r="J1641" s="85" t="n">
        <v>2018</v>
      </c>
    </row>
    <row r="1642" customFormat="false" ht="15" hidden="true" customHeight="false" outlineLevel="0" collapsed="false">
      <c r="A1642" s="115" t="s">
        <v>2225</v>
      </c>
      <c r="B1642" s="115" t="s">
        <v>593</v>
      </c>
      <c r="C1642" s="126" t="s">
        <v>2236</v>
      </c>
      <c r="D1642" s="126"/>
      <c r="E1642" s="126"/>
      <c r="F1642" s="126"/>
      <c r="G1642" s="108"/>
      <c r="H1642" s="105" t="n">
        <f aca="false">'[2]$ лето'!j1642-'[2]$ лето'!au1642-'[2]$ лето'!at1642-'[2]$ лето'!as1642-'[2]$ лето'!ar1642-'[2]$ лето'!aq1642-'[2]$ лето'!ap1642-'[2]$ лето'!an1642-'[2]$ лето'!am1642-'[2]$ лето'!al1642-'[2]$ лето'!ak1642-'[2]$ лето'!aj1642-'[2]$ лето'!ah1642-'[2]$ лето'!ag1642-'[2]$ лето'!af1642-'[2]$ лето'!ae1642-'[2]$ лето'!ad1642-'[2]$ лето'!ab1642-'[2]$ лето'!aa1642-'[2]$ лето'!z1642-'[2]$ лето'!y1642-'[2]$ лето'!x1642-'[2]$ лето'!v1642-'[2]$ лето'!u1642-'[2]$ лето'!t1642-'[2]$ лето'!s1642-'[2]$ лето'!r1642-'[2]$ лето'!p1642-'[2]$ лето'!o1642-'[2]$ лето'!n1642-'[2]$ лето'!m1642-'[2]$ лето'!l1642+'[2]$ лето'!k1642+'[2]$ лето'!q1642+'[2]$ лето'!w1642+'[2]$ лето'!ac1642+'[2]$ лето'!ai1642+'[2]$ лето'!ao1642</f>
        <v>0</v>
      </c>
      <c r="I1642" s="109" t="n">
        <f aca="false">'[2]$ лето'!ay1642*1.1</f>
        <v>5544</v>
      </c>
    </row>
    <row r="1643" customFormat="false" ht="15" hidden="false" customHeight="false" outlineLevel="0" collapsed="false">
      <c r="A1643" s="115" t="s">
        <v>2225</v>
      </c>
      <c r="B1643" s="115" t="s">
        <v>593</v>
      </c>
      <c r="C1643" s="126" t="s">
        <v>2237</v>
      </c>
      <c r="D1643" s="126"/>
      <c r="E1643" s="126"/>
      <c r="F1643" s="126"/>
      <c r="G1643" s="108" t="s">
        <v>1432</v>
      </c>
      <c r="H1643" s="105" t="n">
        <f aca="false">'[2]$ лето'!j1643-'[2]$ лето'!au1643-'[2]$ лето'!at1643-'[2]$ лето'!as1643-'[2]$ лето'!ar1643-'[2]$ лето'!aq1643-'[2]$ лето'!ap1643-'[2]$ лето'!an1643-'[2]$ лето'!am1643-'[2]$ лето'!al1643-'[2]$ лето'!ak1643-'[2]$ лето'!aj1643-'[2]$ лето'!ah1643-'[2]$ лето'!ag1643-'[2]$ лето'!af1643-'[2]$ лето'!ae1643-'[2]$ лето'!ad1643-'[2]$ лето'!ab1643-'[2]$ лето'!aa1643-'[2]$ лето'!z1643-'[2]$ лето'!y1643-'[2]$ лето'!x1643-'[2]$ лето'!v1643-'[2]$ лето'!u1643-'[2]$ лето'!t1643-'[2]$ лето'!s1643-'[2]$ лето'!r1643-'[2]$ лето'!p1643-'[2]$ лето'!o1643-'[2]$ лето'!n1643-'[2]$ лето'!m1643-'[2]$ лето'!l1643+'[2]$ лето'!k1643+'[2]$ лето'!q1643+'[2]$ лето'!w1643+'[2]$ лето'!ac1643+'[2]$ лето'!ai1643+'[2]$ лето'!ao1643</f>
        <v>4</v>
      </c>
      <c r="I1643" s="109" t="n">
        <f aca="false">'[2]$ лето'!ay1643*1.1</f>
        <v>5236</v>
      </c>
      <c r="J1643" s="85" t="n">
        <v>2016</v>
      </c>
    </row>
    <row r="1644" customFormat="false" ht="15" hidden="false" customHeight="false" outlineLevel="0" collapsed="false">
      <c r="A1644" s="115" t="s">
        <v>2225</v>
      </c>
      <c r="B1644" s="115" t="s">
        <v>593</v>
      </c>
      <c r="C1644" s="126" t="s">
        <v>2238</v>
      </c>
      <c r="D1644" s="126"/>
      <c r="E1644" s="126"/>
      <c r="F1644" s="126"/>
      <c r="G1644" s="108" t="s">
        <v>849</v>
      </c>
      <c r="H1644" s="105" t="n">
        <f aca="false">'[2]$ лето'!j1644-'[2]$ лето'!au1644-'[2]$ лето'!at1644-'[2]$ лето'!as1644-'[2]$ лето'!ar1644-'[2]$ лето'!aq1644-'[2]$ лето'!ap1644-'[2]$ лето'!an1644-'[2]$ лето'!am1644-'[2]$ лето'!al1644-'[2]$ лето'!ak1644-'[2]$ лето'!aj1644-'[2]$ лето'!ah1644-'[2]$ лето'!ag1644-'[2]$ лето'!af1644-'[2]$ лето'!ae1644-'[2]$ лето'!ad1644-'[2]$ лето'!ab1644-'[2]$ лето'!aa1644-'[2]$ лето'!z1644-'[2]$ лето'!y1644-'[2]$ лето'!x1644-'[2]$ лето'!v1644-'[2]$ лето'!u1644-'[2]$ лето'!t1644-'[2]$ лето'!s1644-'[2]$ лето'!r1644-'[2]$ лето'!p1644-'[2]$ лето'!o1644-'[2]$ лето'!n1644-'[2]$ лето'!m1644-'[2]$ лето'!l1644+'[2]$ лето'!k1644+'[2]$ лето'!q1644+'[2]$ лето'!w1644+'[2]$ лето'!ac1644+'[2]$ лето'!ai1644+'[2]$ лето'!ao1644</f>
        <v>4</v>
      </c>
      <c r="I1644" s="109" t="n">
        <f aca="false">'[2]$ лето'!ay1644*1.1</f>
        <v>5852</v>
      </c>
    </row>
    <row r="1645" customFormat="false" ht="15" hidden="true" customHeight="false" outlineLevel="0" collapsed="false">
      <c r="A1645" s="115" t="s">
        <v>2225</v>
      </c>
      <c r="B1645" s="115" t="s">
        <v>593</v>
      </c>
      <c r="C1645" s="126" t="s">
        <v>2238</v>
      </c>
      <c r="D1645" s="126"/>
      <c r="E1645" s="126"/>
      <c r="F1645" s="126"/>
      <c r="G1645" s="108" t="s">
        <v>1240</v>
      </c>
      <c r="H1645" s="105" t="n">
        <f aca="false">'[2]$ лето'!j1645-'[2]$ лето'!au1645-'[2]$ лето'!at1645-'[2]$ лето'!as1645-'[2]$ лето'!ar1645-'[2]$ лето'!aq1645-'[2]$ лето'!ap1645-'[2]$ лето'!an1645-'[2]$ лето'!am1645-'[2]$ лето'!al1645-'[2]$ лето'!ak1645-'[2]$ лето'!aj1645-'[2]$ лето'!ah1645-'[2]$ лето'!ag1645-'[2]$ лето'!af1645-'[2]$ лето'!ae1645-'[2]$ лето'!ad1645-'[2]$ лето'!ab1645-'[2]$ лето'!aa1645-'[2]$ лето'!z1645-'[2]$ лето'!y1645-'[2]$ лето'!x1645-'[2]$ лето'!v1645-'[2]$ лето'!u1645-'[2]$ лето'!t1645-'[2]$ лето'!s1645-'[2]$ лето'!r1645-'[2]$ лето'!p1645-'[2]$ лето'!o1645-'[2]$ лето'!n1645-'[2]$ лето'!m1645-'[2]$ лето'!l1645+'[2]$ лето'!k1645+'[2]$ лето'!q1645+'[2]$ лето'!w1645+'[2]$ лето'!ac1645+'[2]$ лето'!ai1645+'[2]$ лето'!ao1645</f>
        <v>0</v>
      </c>
      <c r="I1645" s="109" t="n">
        <f aca="false">'[2]$ лето'!ay1645*1.1</f>
        <v>6098.4</v>
      </c>
      <c r="J1645" s="85" t="n">
        <v>2018</v>
      </c>
    </row>
    <row r="1646" customFormat="false" ht="15" hidden="false" customHeight="false" outlineLevel="0" collapsed="false">
      <c r="A1646" s="115" t="s">
        <v>2225</v>
      </c>
      <c r="B1646" s="115" t="s">
        <v>593</v>
      </c>
      <c r="C1646" s="126" t="s">
        <v>2239</v>
      </c>
      <c r="D1646" s="126"/>
      <c r="E1646" s="126"/>
      <c r="F1646" s="126"/>
      <c r="G1646" s="108" t="s">
        <v>520</v>
      </c>
      <c r="H1646" s="105" t="n">
        <f aca="false">'[2]$ лето'!j1646-'[2]$ лето'!au1646-'[2]$ лето'!at1646-'[2]$ лето'!as1646-'[2]$ лето'!ar1646-'[2]$ лето'!aq1646-'[2]$ лето'!ap1646-'[2]$ лето'!an1646-'[2]$ лето'!am1646-'[2]$ лето'!al1646-'[2]$ лето'!ak1646-'[2]$ лето'!aj1646-'[2]$ лето'!ah1646-'[2]$ лето'!ag1646-'[2]$ лето'!af1646-'[2]$ лето'!ae1646-'[2]$ лето'!ad1646-'[2]$ лето'!ab1646-'[2]$ лето'!aa1646-'[2]$ лето'!z1646-'[2]$ лето'!y1646-'[2]$ лето'!x1646-'[2]$ лето'!v1646-'[2]$ лето'!u1646-'[2]$ лето'!t1646-'[2]$ лето'!s1646-'[2]$ лето'!r1646-'[2]$ лето'!p1646-'[2]$ лето'!o1646-'[2]$ лето'!n1646-'[2]$ лето'!m1646-'[2]$ лето'!l1646+'[2]$ лето'!k1646+'[2]$ лето'!q1646+'[2]$ лето'!w1646+'[2]$ лето'!ac1646+'[2]$ лето'!ai1646+'[2]$ лето'!ao1646</f>
        <v>1</v>
      </c>
      <c r="I1646" s="109" t="n">
        <f aca="false">'[2]$ лето'!ay1646*1.1</f>
        <v>4620</v>
      </c>
    </row>
    <row r="1647" customFormat="false" ht="15" hidden="false" customHeight="false" outlineLevel="0" collapsed="false">
      <c r="A1647" s="115" t="s">
        <v>2225</v>
      </c>
      <c r="B1647" s="115" t="s">
        <v>593</v>
      </c>
      <c r="C1647" s="126" t="s">
        <v>2240</v>
      </c>
      <c r="D1647" s="126"/>
      <c r="E1647" s="126"/>
      <c r="F1647" s="126"/>
      <c r="G1647" s="108" t="s">
        <v>933</v>
      </c>
      <c r="H1647" s="105" t="n">
        <f aca="false">'[2]$ лето'!j1647-'[2]$ лето'!au1647-'[2]$ лето'!at1647-'[2]$ лето'!as1647-'[2]$ лето'!ar1647-'[2]$ лето'!aq1647-'[2]$ лето'!ap1647-'[2]$ лето'!an1647-'[2]$ лето'!am1647-'[2]$ лето'!al1647-'[2]$ лето'!ak1647-'[2]$ лето'!aj1647-'[2]$ лето'!ah1647-'[2]$ лето'!ag1647-'[2]$ лето'!af1647-'[2]$ лето'!ae1647-'[2]$ лето'!ad1647-'[2]$ лето'!ab1647-'[2]$ лето'!aa1647-'[2]$ лето'!z1647-'[2]$ лето'!y1647-'[2]$ лето'!x1647-'[2]$ лето'!v1647-'[2]$ лето'!u1647-'[2]$ лето'!t1647-'[2]$ лето'!s1647-'[2]$ лето'!r1647-'[2]$ лето'!p1647-'[2]$ лето'!o1647-'[2]$ лето'!n1647-'[2]$ лето'!m1647-'[2]$ лето'!l1647+'[2]$ лето'!k1647+'[2]$ лето'!q1647+'[2]$ лето'!w1647+'[2]$ лето'!ac1647+'[2]$ лето'!ai1647+'[2]$ лето'!ao1647</f>
        <v>4</v>
      </c>
      <c r="I1647" s="109" t="n">
        <f aca="false">'[2]$ лето'!ay1647*1.1</f>
        <v>6036.8</v>
      </c>
      <c r="J1647" s="85" t="n">
        <v>2017</v>
      </c>
    </row>
    <row r="1648" customFormat="false" ht="15" hidden="true" customHeight="false" outlineLevel="0" collapsed="false">
      <c r="A1648" s="115" t="s">
        <v>2225</v>
      </c>
      <c r="B1648" s="115" t="s">
        <v>615</v>
      </c>
      <c r="C1648" s="127" t="s">
        <v>2241</v>
      </c>
      <c r="D1648" s="127"/>
      <c r="E1648" s="127"/>
      <c r="F1648" s="127"/>
      <c r="G1648" s="108"/>
      <c r="H1648" s="105" t="n">
        <f aca="false">'[2]$ лето'!j1648-'[2]$ лето'!au1648-'[2]$ лето'!at1648-'[2]$ лето'!as1648-'[2]$ лето'!ar1648-'[2]$ лето'!aq1648-'[2]$ лето'!ap1648-'[2]$ лето'!an1648-'[2]$ лето'!am1648-'[2]$ лето'!al1648-'[2]$ лето'!ak1648-'[2]$ лето'!aj1648-'[2]$ лето'!ah1648-'[2]$ лето'!ag1648-'[2]$ лето'!af1648-'[2]$ лето'!ae1648-'[2]$ лето'!ad1648-'[2]$ лето'!ab1648-'[2]$ лето'!aa1648-'[2]$ лето'!z1648-'[2]$ лето'!y1648-'[2]$ лето'!x1648-'[2]$ лето'!v1648-'[2]$ лето'!u1648-'[2]$ лето'!t1648-'[2]$ лето'!s1648-'[2]$ лето'!r1648-'[2]$ лето'!p1648-'[2]$ лето'!o1648-'[2]$ лето'!n1648-'[2]$ лето'!m1648-'[2]$ лето'!l1648+'[2]$ лето'!k1648+'[2]$ лето'!q1648+'[2]$ лето'!w1648+'[2]$ лето'!ac1648+'[2]$ лето'!ai1648+'[2]$ лето'!ao1648</f>
        <v>0</v>
      </c>
      <c r="I1648" s="109" t="n">
        <f aca="false">'[2]$ лето'!ay1648*1.1</f>
        <v>3388</v>
      </c>
    </row>
    <row r="1649" customFormat="false" ht="15" hidden="true" customHeight="false" outlineLevel="0" collapsed="false">
      <c r="A1649" s="115" t="s">
        <v>2225</v>
      </c>
      <c r="B1649" s="115" t="s">
        <v>615</v>
      </c>
      <c r="C1649" s="127" t="s">
        <v>2242</v>
      </c>
      <c r="D1649" s="127"/>
      <c r="E1649" s="127" t="n">
        <v>103</v>
      </c>
      <c r="F1649" s="127" t="s">
        <v>1115</v>
      </c>
      <c r="G1649" s="108" t="s">
        <v>609</v>
      </c>
      <c r="H1649" s="105" t="n">
        <f aca="false">'[2]$ лето'!j1649-'[2]$ лето'!au1649-'[2]$ лето'!at1649-'[2]$ лето'!as1649-'[2]$ лето'!ar1649-'[2]$ лето'!aq1649-'[2]$ лето'!ap1649-'[2]$ лето'!an1649-'[2]$ лето'!am1649-'[2]$ лето'!al1649-'[2]$ лето'!ak1649-'[2]$ лето'!aj1649-'[2]$ лето'!ah1649-'[2]$ лето'!ag1649-'[2]$ лето'!af1649-'[2]$ лето'!ae1649-'[2]$ лето'!ad1649-'[2]$ лето'!ab1649-'[2]$ лето'!aa1649-'[2]$ лето'!z1649-'[2]$ лето'!y1649-'[2]$ лето'!x1649-'[2]$ лето'!v1649-'[2]$ лето'!u1649-'[2]$ лето'!t1649-'[2]$ лето'!s1649-'[2]$ лето'!r1649-'[2]$ лето'!p1649-'[2]$ лето'!o1649-'[2]$ лето'!n1649-'[2]$ лето'!m1649-'[2]$ лето'!l1649+'[2]$ лето'!k1649+'[2]$ лето'!q1649+'[2]$ лето'!w1649+'[2]$ лето'!ac1649+'[2]$ лето'!ai1649+'[2]$ лето'!ao1649</f>
        <v>0</v>
      </c>
      <c r="I1649" s="109" t="n">
        <f aca="false">'[2]$ лето'!ay1649*1.1</f>
        <v>2772</v>
      </c>
      <c r="J1649" s="85" t="n">
        <v>2014</v>
      </c>
    </row>
    <row r="1650" customFormat="false" ht="15" hidden="true" customHeight="false" outlineLevel="0" collapsed="false">
      <c r="A1650" s="115" t="s">
        <v>2225</v>
      </c>
      <c r="B1650" s="115" t="s">
        <v>589</v>
      </c>
      <c r="C1650" s="119" t="s">
        <v>2243</v>
      </c>
      <c r="D1650" s="119"/>
      <c r="E1650" s="119"/>
      <c r="F1650" s="119"/>
      <c r="G1650" s="108"/>
      <c r="H1650" s="105" t="n">
        <f aca="false">'[2]$ лето'!j1650-'[2]$ лето'!au1650-'[2]$ лето'!at1650-'[2]$ лето'!as1650-'[2]$ лето'!ar1650-'[2]$ лето'!aq1650-'[2]$ лето'!ap1650-'[2]$ лето'!an1650-'[2]$ лето'!am1650-'[2]$ лето'!al1650-'[2]$ лето'!ak1650-'[2]$ лето'!aj1650-'[2]$ лето'!ah1650-'[2]$ лето'!ag1650-'[2]$ лето'!af1650-'[2]$ лето'!ae1650-'[2]$ лето'!ad1650-'[2]$ лето'!ab1650-'[2]$ лето'!aa1650-'[2]$ лето'!z1650-'[2]$ лето'!y1650-'[2]$ лето'!x1650-'[2]$ лето'!v1650-'[2]$ лето'!u1650-'[2]$ лето'!t1650-'[2]$ лето'!s1650-'[2]$ лето'!r1650-'[2]$ лето'!p1650-'[2]$ лето'!o1650-'[2]$ лето'!n1650-'[2]$ лето'!m1650-'[2]$ лето'!l1650+'[2]$ лето'!k1650+'[2]$ лето'!q1650+'[2]$ лето'!w1650+'[2]$ лето'!ac1650+'[2]$ лето'!ai1650+'[2]$ лето'!ao1650</f>
        <v>0</v>
      </c>
      <c r="I1650" s="109" t="n">
        <f aca="false">'[2]$ лето'!ay1650*1.1</f>
        <v>4158</v>
      </c>
    </row>
    <row r="1651" customFormat="false" ht="15" hidden="true" customHeight="false" outlineLevel="0" collapsed="false">
      <c r="A1651" s="115" t="s">
        <v>2225</v>
      </c>
      <c r="B1651" s="115" t="s">
        <v>589</v>
      </c>
      <c r="C1651" s="107" t="s">
        <v>2244</v>
      </c>
      <c r="D1651" s="107"/>
      <c r="E1651" s="107"/>
      <c r="F1651" s="107"/>
      <c r="G1651" s="108"/>
      <c r="H1651" s="105" t="n">
        <f aca="false">'[2]$ лето'!j1651-'[2]$ лето'!au1651-'[2]$ лето'!at1651-'[2]$ лето'!as1651-'[2]$ лето'!ar1651-'[2]$ лето'!aq1651-'[2]$ лето'!ap1651-'[2]$ лето'!an1651-'[2]$ лето'!am1651-'[2]$ лето'!al1651-'[2]$ лето'!ak1651-'[2]$ лето'!aj1651-'[2]$ лето'!ah1651-'[2]$ лето'!ag1651-'[2]$ лето'!af1651-'[2]$ лето'!ae1651-'[2]$ лето'!ad1651-'[2]$ лето'!ab1651-'[2]$ лето'!aa1651-'[2]$ лето'!z1651-'[2]$ лето'!y1651-'[2]$ лето'!x1651-'[2]$ лето'!v1651-'[2]$ лето'!u1651-'[2]$ лето'!t1651-'[2]$ лето'!s1651-'[2]$ лето'!r1651-'[2]$ лето'!p1651-'[2]$ лето'!o1651-'[2]$ лето'!n1651-'[2]$ лето'!m1651-'[2]$ лето'!l1651+'[2]$ лето'!k1651+'[2]$ лето'!q1651+'[2]$ лето'!w1651+'[2]$ лето'!ac1651+'[2]$ лето'!ai1651+'[2]$ лето'!ao1651</f>
        <v>0</v>
      </c>
      <c r="I1651" s="109" t="n">
        <f aca="false">'[2]$ лето'!ay1651*1.1</f>
        <v>3080</v>
      </c>
      <c r="J1651" s="85" t="n">
        <v>2012</v>
      </c>
    </row>
    <row r="1652" customFormat="false" ht="15" hidden="false" customHeight="false" outlineLevel="0" collapsed="false">
      <c r="A1652" s="115" t="s">
        <v>2225</v>
      </c>
      <c r="B1652" s="115" t="s">
        <v>981</v>
      </c>
      <c r="C1652" s="107" t="s">
        <v>2245</v>
      </c>
      <c r="D1652" s="107"/>
      <c r="E1652" s="116"/>
      <c r="F1652" s="116"/>
      <c r="G1652" s="108" t="s">
        <v>631</v>
      </c>
      <c r="H1652" s="105" t="n">
        <f aca="false">'[2]$ лето'!j1652-'[2]$ лето'!au1652-'[2]$ лето'!at1652-'[2]$ лето'!as1652-'[2]$ лето'!ar1652-'[2]$ лето'!aq1652-'[2]$ лето'!ap1652-'[2]$ лето'!an1652-'[2]$ лето'!am1652-'[2]$ лето'!al1652-'[2]$ лето'!ak1652-'[2]$ лето'!aj1652-'[2]$ лето'!ah1652-'[2]$ лето'!ag1652-'[2]$ лето'!af1652-'[2]$ лето'!ae1652-'[2]$ лето'!ad1652-'[2]$ лето'!ab1652-'[2]$ лето'!aa1652-'[2]$ лето'!z1652-'[2]$ лето'!y1652-'[2]$ лето'!x1652-'[2]$ лето'!v1652-'[2]$ лето'!u1652-'[2]$ лето'!t1652-'[2]$ лето'!s1652-'[2]$ лето'!r1652-'[2]$ лето'!p1652-'[2]$ лето'!o1652-'[2]$ лето'!n1652-'[2]$ лето'!m1652-'[2]$ лето'!l1652+'[2]$ лето'!k1652+'[2]$ лето'!q1652+'[2]$ лето'!w1652+'[2]$ лето'!ac1652+'[2]$ лето'!ai1652+'[2]$ лето'!ao1652</f>
        <v>14</v>
      </c>
      <c r="I1652" s="109" t="n">
        <f aca="false">'[2]$ лето'!ay1652*1.1</f>
        <v>3449.6</v>
      </c>
      <c r="J1652" s="85" t="n">
        <v>2018</v>
      </c>
    </row>
    <row r="1653" customFormat="false" ht="15" hidden="true" customHeight="false" outlineLevel="0" collapsed="false">
      <c r="A1653" s="115" t="s">
        <v>2225</v>
      </c>
      <c r="B1653" s="115" t="s">
        <v>1028</v>
      </c>
      <c r="C1653" s="107" t="s">
        <v>2246</v>
      </c>
      <c r="D1653" s="107"/>
      <c r="E1653" s="107"/>
      <c r="F1653" s="107"/>
      <c r="G1653" s="108" t="s">
        <v>876</v>
      </c>
      <c r="H1653" s="105" t="n">
        <f aca="false">'[2]$ лето'!j1653-'[2]$ лето'!au1653-'[2]$ лето'!at1653-'[2]$ лето'!as1653-'[2]$ лето'!ar1653-'[2]$ лето'!aq1653-'[2]$ лето'!ap1653-'[2]$ лето'!an1653-'[2]$ лето'!am1653-'[2]$ лето'!al1653-'[2]$ лето'!ak1653-'[2]$ лето'!aj1653-'[2]$ лето'!ah1653-'[2]$ лето'!ag1653-'[2]$ лето'!af1653-'[2]$ лето'!ae1653-'[2]$ лето'!ad1653-'[2]$ лето'!ab1653-'[2]$ лето'!aa1653-'[2]$ лето'!z1653-'[2]$ лето'!y1653-'[2]$ лето'!x1653-'[2]$ лето'!v1653-'[2]$ лето'!u1653-'[2]$ лето'!t1653-'[2]$ лето'!s1653-'[2]$ лето'!r1653-'[2]$ лето'!p1653-'[2]$ лето'!o1653-'[2]$ лето'!n1653-'[2]$ лето'!m1653-'[2]$ лето'!l1653+'[2]$ лето'!k1653+'[2]$ лето'!q1653+'[2]$ лето'!w1653+'[2]$ лето'!ac1653+'[2]$ лето'!ai1653+'[2]$ лето'!ao1653</f>
        <v>0</v>
      </c>
      <c r="I1653" s="109" t="n">
        <f aca="false">'[2]$ лето'!ay1653*1.1</f>
        <v>4004</v>
      </c>
    </row>
    <row r="1654" customFormat="false" ht="15" hidden="true" customHeight="false" outlineLevel="0" collapsed="false">
      <c r="A1654" s="115" t="s">
        <v>2247</v>
      </c>
      <c r="B1654" s="115" t="s">
        <v>568</v>
      </c>
      <c r="C1654" s="107" t="s">
        <v>2248</v>
      </c>
      <c r="D1654" s="107"/>
      <c r="E1654" s="107"/>
      <c r="F1654" s="107"/>
      <c r="G1654" s="108"/>
      <c r="H1654" s="105" t="n">
        <f aca="false">'[2]$ лето'!j1654-'[2]$ лето'!au1654-'[2]$ лето'!at1654-'[2]$ лето'!as1654-'[2]$ лето'!ar1654-'[2]$ лето'!aq1654-'[2]$ лето'!ap1654-'[2]$ лето'!an1654-'[2]$ лето'!am1654-'[2]$ лето'!al1654-'[2]$ лето'!ak1654-'[2]$ лето'!aj1654-'[2]$ лето'!ah1654-'[2]$ лето'!ag1654-'[2]$ лето'!af1654-'[2]$ лето'!ae1654-'[2]$ лето'!ad1654-'[2]$ лето'!ab1654-'[2]$ лето'!aa1654-'[2]$ лето'!z1654-'[2]$ лето'!y1654-'[2]$ лето'!x1654-'[2]$ лето'!v1654-'[2]$ лето'!u1654-'[2]$ лето'!t1654-'[2]$ лето'!s1654-'[2]$ лето'!r1654-'[2]$ лето'!p1654-'[2]$ лето'!o1654-'[2]$ лето'!n1654-'[2]$ лето'!m1654-'[2]$ лето'!l1654+'[2]$ лето'!k1654+'[2]$ лето'!q1654+'[2]$ лето'!w1654+'[2]$ лето'!ac1654+'[2]$ лето'!ai1654+'[2]$ лето'!ao1654</f>
        <v>0</v>
      </c>
      <c r="I1654" s="109" t="n">
        <f aca="false">'[2]$ лето'!ay1654*1.1</f>
        <v>3234</v>
      </c>
    </row>
    <row r="1655" customFormat="false" ht="15" hidden="true" customHeight="false" outlineLevel="0" collapsed="false">
      <c r="A1655" s="115" t="s">
        <v>2247</v>
      </c>
      <c r="B1655" s="115" t="s">
        <v>658</v>
      </c>
      <c r="C1655" s="107" t="s">
        <v>2249</v>
      </c>
      <c r="D1655" s="107"/>
      <c r="E1655" s="107"/>
      <c r="F1655" s="107"/>
      <c r="G1655" s="108" t="s">
        <v>585</v>
      </c>
      <c r="H1655" s="105" t="n">
        <f aca="false">'[2]$ лето'!j1655-'[2]$ лето'!au1655-'[2]$ лето'!at1655-'[2]$ лето'!as1655-'[2]$ лето'!ar1655-'[2]$ лето'!aq1655-'[2]$ лето'!ap1655-'[2]$ лето'!an1655-'[2]$ лето'!am1655-'[2]$ лето'!al1655-'[2]$ лето'!ak1655-'[2]$ лето'!aj1655-'[2]$ лето'!ah1655-'[2]$ лето'!ag1655-'[2]$ лето'!af1655-'[2]$ лето'!ae1655-'[2]$ лето'!ad1655-'[2]$ лето'!ab1655-'[2]$ лето'!aa1655-'[2]$ лето'!z1655-'[2]$ лето'!y1655-'[2]$ лето'!x1655-'[2]$ лето'!v1655-'[2]$ лето'!u1655-'[2]$ лето'!t1655-'[2]$ лето'!s1655-'[2]$ лето'!r1655-'[2]$ лето'!p1655-'[2]$ лето'!o1655-'[2]$ лето'!n1655-'[2]$ лето'!m1655-'[2]$ лето'!l1655+'[2]$ лето'!k1655+'[2]$ лето'!q1655+'[2]$ лето'!w1655+'[2]$ лето'!ac1655+'[2]$ лето'!ai1655+'[2]$ лето'!ao1655</f>
        <v>0</v>
      </c>
      <c r="I1655" s="109" t="n">
        <f aca="false">'[2]$ лето'!ay1655*1.1</f>
        <v>4620</v>
      </c>
      <c r="J1655" s="85" t="n">
        <v>2018</v>
      </c>
    </row>
    <row r="1656" customFormat="false" ht="15" hidden="true" customHeight="false" outlineLevel="0" collapsed="false">
      <c r="A1656" s="115" t="s">
        <v>2247</v>
      </c>
      <c r="B1656" s="115" t="s">
        <v>741</v>
      </c>
      <c r="C1656" s="107" t="s">
        <v>2250</v>
      </c>
      <c r="D1656" s="107"/>
      <c r="E1656" s="107"/>
      <c r="F1656" s="107"/>
      <c r="G1656" s="108" t="s">
        <v>1037</v>
      </c>
      <c r="H1656" s="105" t="n">
        <f aca="false">'[2]$ лето'!j1656-'[2]$ лето'!au1656-'[2]$ лето'!at1656-'[2]$ лето'!as1656-'[2]$ лето'!ar1656-'[2]$ лето'!aq1656-'[2]$ лето'!ap1656-'[2]$ лето'!an1656-'[2]$ лето'!am1656-'[2]$ лето'!al1656-'[2]$ лето'!ak1656-'[2]$ лето'!aj1656-'[2]$ лето'!ah1656-'[2]$ лето'!ag1656-'[2]$ лето'!af1656-'[2]$ лето'!ae1656-'[2]$ лето'!ad1656-'[2]$ лето'!ab1656-'[2]$ лето'!aa1656-'[2]$ лето'!z1656-'[2]$ лето'!y1656-'[2]$ лето'!x1656-'[2]$ лето'!v1656-'[2]$ лето'!u1656-'[2]$ лето'!t1656-'[2]$ лето'!s1656-'[2]$ лето'!r1656-'[2]$ лето'!p1656-'[2]$ лето'!o1656-'[2]$ лето'!n1656-'[2]$ лето'!m1656-'[2]$ лето'!l1656+'[2]$ лето'!k1656+'[2]$ лето'!q1656+'[2]$ лето'!w1656+'[2]$ лето'!ac1656+'[2]$ лето'!ai1656+'[2]$ лето'!ao1656</f>
        <v>0</v>
      </c>
      <c r="I1656" s="109" t="n">
        <f aca="false">'[2]$ лето'!ay1656*1.1</f>
        <v>3850</v>
      </c>
      <c r="J1656" s="85" t="n">
        <v>2017</v>
      </c>
    </row>
    <row r="1657" customFormat="false" ht="15" hidden="false" customHeight="false" outlineLevel="0" collapsed="false">
      <c r="A1657" s="115" t="s">
        <v>2247</v>
      </c>
      <c r="B1657" s="115" t="s">
        <v>606</v>
      </c>
      <c r="C1657" s="107" t="s">
        <v>2251</v>
      </c>
      <c r="D1657" s="107"/>
      <c r="E1657" s="116"/>
      <c r="F1657" s="116"/>
      <c r="G1657" s="108" t="s">
        <v>849</v>
      </c>
      <c r="H1657" s="105" t="n">
        <f aca="false">'[2]$ лето'!j1657-'[2]$ лето'!au1657-'[2]$ лето'!at1657-'[2]$ лето'!as1657-'[2]$ лето'!ar1657-'[2]$ лето'!aq1657-'[2]$ лето'!ap1657-'[2]$ лето'!an1657-'[2]$ лето'!am1657-'[2]$ лето'!al1657-'[2]$ лето'!ak1657-'[2]$ лето'!aj1657-'[2]$ лето'!ah1657-'[2]$ лето'!ag1657-'[2]$ лето'!af1657-'[2]$ лето'!ae1657-'[2]$ лето'!ad1657-'[2]$ лето'!ab1657-'[2]$ лето'!aa1657-'[2]$ лето'!z1657-'[2]$ лето'!y1657-'[2]$ лето'!x1657-'[2]$ лето'!v1657-'[2]$ лето'!u1657-'[2]$ лето'!t1657-'[2]$ лето'!s1657-'[2]$ лето'!r1657-'[2]$ лето'!p1657-'[2]$ лето'!o1657-'[2]$ лето'!n1657-'[2]$ лето'!m1657-'[2]$ лето'!l1657+'[2]$ лето'!k1657+'[2]$ лето'!q1657+'[2]$ лето'!w1657+'[2]$ лето'!ac1657+'[2]$ лето'!ai1657+'[2]$ лето'!ao1657</f>
        <v>4</v>
      </c>
      <c r="I1657" s="109" t="n">
        <f aca="false">'[2]$ лето'!ay1657*1.1</f>
        <v>4004</v>
      </c>
      <c r="J1657" s="85" t="n">
        <v>2018</v>
      </c>
    </row>
    <row r="1658" customFormat="false" ht="15" hidden="false" customHeight="false" outlineLevel="0" collapsed="false">
      <c r="A1658" s="115" t="s">
        <v>2247</v>
      </c>
      <c r="B1658" s="115" t="s">
        <v>606</v>
      </c>
      <c r="C1658" s="107" t="s">
        <v>2252</v>
      </c>
      <c r="D1658" s="107"/>
      <c r="E1658" s="116"/>
      <c r="F1658" s="116"/>
      <c r="G1658" s="108" t="s">
        <v>609</v>
      </c>
      <c r="H1658" s="105" t="n">
        <f aca="false">'[2]$ лето'!j1658-'[2]$ лето'!au1658-'[2]$ лето'!at1658-'[2]$ лето'!as1658-'[2]$ лето'!ar1658-'[2]$ лето'!aq1658-'[2]$ лето'!ap1658-'[2]$ лето'!an1658-'[2]$ лето'!am1658-'[2]$ лето'!al1658-'[2]$ лето'!ak1658-'[2]$ лето'!aj1658-'[2]$ лето'!ah1658-'[2]$ лето'!ag1658-'[2]$ лето'!af1658-'[2]$ лето'!ae1658-'[2]$ лето'!ad1658-'[2]$ лето'!ab1658-'[2]$ лето'!aa1658-'[2]$ лето'!z1658-'[2]$ лето'!y1658-'[2]$ лето'!x1658-'[2]$ лето'!v1658-'[2]$ лето'!u1658-'[2]$ лето'!t1658-'[2]$ лето'!s1658-'[2]$ лето'!r1658-'[2]$ лето'!p1658-'[2]$ лето'!o1658-'[2]$ лето'!n1658-'[2]$ лето'!m1658-'[2]$ лето'!l1658+'[2]$ лето'!k1658+'[2]$ лето'!q1658+'[2]$ лето'!w1658+'[2]$ лето'!ac1658+'[2]$ лето'!ai1658+'[2]$ лето'!ao1658</f>
        <v>2</v>
      </c>
      <c r="I1658" s="109" t="n">
        <f aca="false">'[2]$ лето'!ay1658*1.1</f>
        <v>3850</v>
      </c>
      <c r="J1658" s="85" t="n">
        <v>2017</v>
      </c>
    </row>
    <row r="1659" customFormat="false" ht="15" hidden="false" customHeight="false" outlineLevel="0" collapsed="false">
      <c r="A1659" s="115" t="s">
        <v>2247</v>
      </c>
      <c r="B1659" s="115" t="s">
        <v>668</v>
      </c>
      <c r="C1659" s="116" t="s">
        <v>1312</v>
      </c>
      <c r="D1659" s="116"/>
      <c r="E1659" s="116"/>
      <c r="F1659" s="116"/>
      <c r="G1659" s="108" t="s">
        <v>609</v>
      </c>
      <c r="H1659" s="105" t="n">
        <f aca="false">'[2]$ лето'!j1659-'[2]$ лето'!au1659-'[2]$ лето'!at1659-'[2]$ лето'!as1659-'[2]$ лето'!ar1659-'[2]$ лето'!aq1659-'[2]$ лето'!ap1659-'[2]$ лето'!an1659-'[2]$ лето'!am1659-'[2]$ лето'!al1659-'[2]$ лето'!ak1659-'[2]$ лето'!aj1659-'[2]$ лето'!ah1659-'[2]$ лето'!ag1659-'[2]$ лето'!af1659-'[2]$ лето'!ae1659-'[2]$ лето'!ad1659-'[2]$ лето'!ab1659-'[2]$ лето'!aa1659-'[2]$ лето'!z1659-'[2]$ лето'!y1659-'[2]$ лето'!x1659-'[2]$ лето'!v1659-'[2]$ лето'!u1659-'[2]$ лето'!t1659-'[2]$ лето'!s1659-'[2]$ лето'!r1659-'[2]$ лето'!p1659-'[2]$ лето'!o1659-'[2]$ лето'!n1659-'[2]$ лето'!m1659-'[2]$ лето'!l1659+'[2]$ лето'!k1659+'[2]$ лето'!q1659+'[2]$ лето'!w1659+'[2]$ лето'!ac1659+'[2]$ лето'!ai1659+'[2]$ лето'!ao1659</f>
        <v>4</v>
      </c>
      <c r="I1659" s="109" t="n">
        <f aca="false">'[2]$ лето'!ay1659*1.1</f>
        <v>3663</v>
      </c>
      <c r="J1659" s="85" t="n">
        <v>2016</v>
      </c>
    </row>
    <row r="1660" customFormat="false" ht="15" hidden="true" customHeight="false" outlineLevel="0" collapsed="false">
      <c r="A1660" s="115" t="s">
        <v>2247</v>
      </c>
      <c r="B1660" s="115" t="s">
        <v>583</v>
      </c>
      <c r="C1660" s="116" t="s">
        <v>2253</v>
      </c>
      <c r="D1660" s="116"/>
      <c r="E1660" s="116"/>
      <c r="F1660" s="116"/>
      <c r="G1660" s="108" t="s">
        <v>640</v>
      </c>
      <c r="H1660" s="105" t="n">
        <f aca="false">'[2]$ лето'!j1660-'[2]$ лето'!au1660-'[2]$ лето'!at1660-'[2]$ лето'!as1660-'[2]$ лето'!ar1660-'[2]$ лето'!aq1660-'[2]$ лето'!ap1660-'[2]$ лето'!an1660-'[2]$ лето'!am1660-'[2]$ лето'!al1660-'[2]$ лето'!ak1660-'[2]$ лето'!aj1660-'[2]$ лето'!ah1660-'[2]$ лето'!ag1660-'[2]$ лето'!af1660-'[2]$ лето'!ae1660-'[2]$ лето'!ad1660-'[2]$ лето'!ab1660-'[2]$ лето'!aa1660-'[2]$ лето'!z1660-'[2]$ лето'!y1660-'[2]$ лето'!x1660-'[2]$ лето'!v1660-'[2]$ лето'!u1660-'[2]$ лето'!t1660-'[2]$ лето'!s1660-'[2]$ лето'!r1660-'[2]$ лето'!p1660-'[2]$ лето'!o1660-'[2]$ лето'!n1660-'[2]$ лето'!m1660-'[2]$ лето'!l1660+'[2]$ лето'!k1660+'[2]$ лето'!q1660+'[2]$ лето'!w1660+'[2]$ лето'!ac1660+'[2]$ лето'!ai1660+'[2]$ лето'!ao1660</f>
        <v>0</v>
      </c>
      <c r="I1660" s="109" t="n">
        <f aca="false">'[2]$ лето'!ay1660*1.1</f>
        <v>3418.8</v>
      </c>
      <c r="J1660" s="85" t="n">
        <v>2017</v>
      </c>
    </row>
    <row r="1661" customFormat="false" ht="15" hidden="true" customHeight="false" outlineLevel="0" collapsed="false">
      <c r="A1661" s="115" t="s">
        <v>2247</v>
      </c>
      <c r="B1661" s="123" t="s">
        <v>593</v>
      </c>
      <c r="C1661" s="116" t="s">
        <v>2254</v>
      </c>
      <c r="D1661" s="116"/>
      <c r="E1661" s="116"/>
      <c r="F1661" s="116"/>
      <c r="G1661" s="108" t="s">
        <v>1127</v>
      </c>
      <c r="H1661" s="105" t="n">
        <f aca="false">'[2]$ лето'!j1661-'[2]$ лето'!au1661-'[2]$ лето'!at1661-'[2]$ лето'!as1661-'[2]$ лето'!ar1661-'[2]$ лето'!aq1661-'[2]$ лето'!ap1661-'[2]$ лето'!an1661-'[2]$ лето'!am1661-'[2]$ лето'!al1661-'[2]$ лето'!ak1661-'[2]$ лето'!aj1661-'[2]$ лето'!ah1661-'[2]$ лето'!ag1661-'[2]$ лето'!af1661-'[2]$ лето'!ae1661-'[2]$ лето'!ad1661-'[2]$ лето'!ab1661-'[2]$ лето'!aa1661-'[2]$ лето'!z1661-'[2]$ лето'!y1661-'[2]$ лето'!x1661-'[2]$ лето'!v1661-'[2]$ лето'!u1661-'[2]$ лето'!t1661-'[2]$ лето'!s1661-'[2]$ лето'!r1661-'[2]$ лето'!p1661-'[2]$ лето'!o1661-'[2]$ лето'!n1661-'[2]$ лето'!m1661-'[2]$ лето'!l1661+'[2]$ лето'!k1661+'[2]$ лето'!q1661+'[2]$ лето'!w1661+'[2]$ лето'!ac1661+'[2]$ лето'!ai1661+'[2]$ лето'!ao1661</f>
        <v>0</v>
      </c>
      <c r="I1661" s="109" t="n">
        <f aca="false">'[2]$ лето'!ay1661*1.1</f>
        <v>5082</v>
      </c>
      <c r="J1661" s="85" t="n">
        <v>2018</v>
      </c>
    </row>
    <row r="1662" customFormat="false" ht="15" hidden="false" customHeight="false" outlineLevel="0" collapsed="false">
      <c r="A1662" s="129" t="s">
        <v>2247</v>
      </c>
      <c r="B1662" s="129" t="s">
        <v>593</v>
      </c>
      <c r="C1662" s="131" t="s">
        <v>1044</v>
      </c>
      <c r="D1662" s="131"/>
      <c r="E1662" s="131"/>
      <c r="F1662" s="131"/>
      <c r="G1662" s="132"/>
      <c r="H1662" s="105" t="n">
        <f aca="false">'[2]$ лето'!j1662-'[2]$ лето'!au1662-'[2]$ лето'!at1662-'[2]$ лето'!as1662-'[2]$ лето'!ar1662-'[2]$ лето'!aq1662-'[2]$ лето'!ap1662-'[2]$ лето'!an1662-'[2]$ лето'!am1662-'[2]$ лето'!al1662-'[2]$ лето'!ak1662-'[2]$ лето'!aj1662-'[2]$ лето'!ah1662-'[2]$ лето'!ag1662-'[2]$ лето'!af1662-'[2]$ лето'!ae1662-'[2]$ лето'!ad1662-'[2]$ лето'!ab1662-'[2]$ лето'!aa1662-'[2]$ лето'!z1662-'[2]$ лето'!y1662-'[2]$ лето'!x1662-'[2]$ лето'!v1662-'[2]$ лето'!u1662-'[2]$ лето'!t1662-'[2]$ лето'!s1662-'[2]$ лето'!r1662-'[2]$ лето'!p1662-'[2]$ лето'!o1662-'[2]$ лето'!n1662-'[2]$ лето'!m1662-'[2]$ лето'!l1662+'[2]$ лето'!k1662+'[2]$ лето'!q1662+'[2]$ лето'!w1662+'[2]$ лето'!ac1662+'[2]$ лето'!ai1662+'[2]$ лето'!ao1662</f>
        <v>1</v>
      </c>
      <c r="I1662" s="133" t="n">
        <f aca="false">'[2]$ лето'!ay1662*1.1</f>
        <v>1782</v>
      </c>
    </row>
    <row r="1663" customFormat="false" ht="15" hidden="true" customHeight="false" outlineLevel="0" collapsed="false">
      <c r="A1663" s="115" t="s">
        <v>2247</v>
      </c>
      <c r="B1663" s="115" t="s">
        <v>615</v>
      </c>
      <c r="C1663" s="116" t="s">
        <v>2255</v>
      </c>
      <c r="D1663" s="116"/>
      <c r="E1663" s="116"/>
      <c r="F1663" s="116"/>
      <c r="G1663" s="108"/>
      <c r="H1663" s="105" t="n">
        <f aca="false">'[2]$ лето'!j1663-'[2]$ лето'!au1663-'[2]$ лето'!at1663-'[2]$ лето'!as1663-'[2]$ лето'!ar1663-'[2]$ лето'!aq1663-'[2]$ лето'!ap1663-'[2]$ лето'!an1663-'[2]$ лето'!am1663-'[2]$ лето'!al1663-'[2]$ лето'!ak1663-'[2]$ лето'!aj1663-'[2]$ лето'!ah1663-'[2]$ лето'!ag1663-'[2]$ лето'!af1663-'[2]$ лето'!ae1663-'[2]$ лето'!ad1663-'[2]$ лето'!ab1663-'[2]$ лето'!aa1663-'[2]$ лето'!z1663-'[2]$ лето'!y1663-'[2]$ лето'!x1663-'[2]$ лето'!v1663-'[2]$ лето'!u1663-'[2]$ лето'!t1663-'[2]$ лето'!s1663-'[2]$ лето'!r1663-'[2]$ лето'!p1663-'[2]$ лето'!o1663-'[2]$ лето'!n1663-'[2]$ лето'!m1663-'[2]$ лето'!l1663+'[2]$ лето'!k1663+'[2]$ лето'!q1663+'[2]$ лето'!w1663+'[2]$ лето'!ac1663+'[2]$ лето'!ai1663+'[2]$ лето'!ao1663</f>
        <v>0</v>
      </c>
      <c r="I1663" s="109" t="n">
        <f aca="false">'[2]$ лето'!ay1663*1.1</f>
        <v>3234</v>
      </c>
    </row>
    <row r="1664" customFormat="false" ht="15" hidden="false" customHeight="false" outlineLevel="0" collapsed="false">
      <c r="A1664" s="115" t="s">
        <v>2247</v>
      </c>
      <c r="B1664" s="115" t="s">
        <v>589</v>
      </c>
      <c r="C1664" s="107" t="s">
        <v>2256</v>
      </c>
      <c r="D1664" s="107"/>
      <c r="E1664" s="116"/>
      <c r="F1664" s="116"/>
      <c r="G1664" s="108"/>
      <c r="H1664" s="105" t="n">
        <f aca="false">'[2]$ лето'!j1664-'[2]$ лето'!au1664-'[2]$ лето'!at1664-'[2]$ лето'!as1664-'[2]$ лето'!ar1664-'[2]$ лето'!aq1664-'[2]$ лето'!ap1664-'[2]$ лето'!an1664-'[2]$ лето'!am1664-'[2]$ лето'!al1664-'[2]$ лето'!ak1664-'[2]$ лето'!aj1664-'[2]$ лето'!ah1664-'[2]$ лето'!ag1664-'[2]$ лето'!af1664-'[2]$ лето'!ae1664-'[2]$ лето'!ad1664-'[2]$ лето'!ab1664-'[2]$ лето'!aa1664-'[2]$ лето'!z1664-'[2]$ лето'!y1664-'[2]$ лето'!x1664-'[2]$ лето'!v1664-'[2]$ лето'!u1664-'[2]$ лето'!t1664-'[2]$ лето'!s1664-'[2]$ лето'!r1664-'[2]$ лето'!p1664-'[2]$ лето'!o1664-'[2]$ лето'!n1664-'[2]$ лето'!m1664-'[2]$ лето'!l1664+'[2]$ лето'!k1664+'[2]$ лето'!q1664+'[2]$ лето'!w1664+'[2]$ лето'!ac1664+'[2]$ лето'!ai1664+'[2]$ лето'!ao1664</f>
        <v>2</v>
      </c>
      <c r="I1664" s="109" t="n">
        <f aca="false">'[2]$ лето'!ay1664*1.1</f>
        <v>3748.8</v>
      </c>
    </row>
    <row r="1665" customFormat="false" ht="15" hidden="true" customHeight="false" outlineLevel="0" collapsed="false">
      <c r="A1665" s="115" t="s">
        <v>2247</v>
      </c>
      <c r="B1665" s="115" t="s">
        <v>589</v>
      </c>
      <c r="C1665" s="107" t="s">
        <v>2257</v>
      </c>
      <c r="D1665" s="107"/>
      <c r="E1665" s="107"/>
      <c r="F1665" s="107"/>
      <c r="G1665" s="108" t="s">
        <v>626</v>
      </c>
      <c r="H1665" s="105" t="n">
        <f aca="false">'[2]$ лето'!j1665-'[2]$ лето'!au1665-'[2]$ лето'!at1665-'[2]$ лето'!as1665-'[2]$ лето'!ar1665-'[2]$ лето'!aq1665-'[2]$ лето'!ap1665-'[2]$ лето'!an1665-'[2]$ лето'!am1665-'[2]$ лето'!al1665-'[2]$ лето'!ak1665-'[2]$ лето'!aj1665-'[2]$ лето'!ah1665-'[2]$ лето'!ag1665-'[2]$ лето'!af1665-'[2]$ лето'!ae1665-'[2]$ лето'!ad1665-'[2]$ лето'!ab1665-'[2]$ лето'!aa1665-'[2]$ лето'!z1665-'[2]$ лето'!y1665-'[2]$ лето'!x1665-'[2]$ лето'!v1665-'[2]$ лето'!u1665-'[2]$ лето'!t1665-'[2]$ лето'!s1665-'[2]$ лето'!r1665-'[2]$ лето'!p1665-'[2]$ лето'!o1665-'[2]$ лето'!n1665-'[2]$ лето'!m1665-'[2]$ лето'!l1665+'[2]$ лето'!k1665+'[2]$ лето'!q1665+'[2]$ лето'!w1665+'[2]$ лето'!ac1665+'[2]$ лето'!ai1665+'[2]$ лето'!ao1665</f>
        <v>0</v>
      </c>
      <c r="I1665" s="109" t="n">
        <f aca="false">'[2]$ лето'!ay1665*1.1</f>
        <v>5082</v>
      </c>
      <c r="J1665" s="85" t="n">
        <v>2017</v>
      </c>
    </row>
    <row r="1666" customFormat="false" ht="15" hidden="true" customHeight="false" outlineLevel="0" collapsed="false">
      <c r="A1666" s="115" t="s">
        <v>2247</v>
      </c>
      <c r="B1666" s="115" t="s">
        <v>981</v>
      </c>
      <c r="C1666" s="107" t="s">
        <v>2258</v>
      </c>
      <c r="D1666" s="107"/>
      <c r="E1666" s="107"/>
      <c r="F1666" s="107"/>
      <c r="G1666" s="108" t="s">
        <v>888</v>
      </c>
      <c r="H1666" s="105" t="n">
        <f aca="false">'[2]$ лето'!j1666-'[2]$ лето'!au1666-'[2]$ лето'!at1666-'[2]$ лето'!as1666-'[2]$ лето'!ar1666-'[2]$ лето'!aq1666-'[2]$ лето'!ap1666-'[2]$ лето'!an1666-'[2]$ лето'!am1666-'[2]$ лето'!al1666-'[2]$ лето'!ak1666-'[2]$ лето'!aj1666-'[2]$ лето'!ah1666-'[2]$ лето'!ag1666-'[2]$ лето'!af1666-'[2]$ лето'!ae1666-'[2]$ лето'!ad1666-'[2]$ лето'!ab1666-'[2]$ лето'!aa1666-'[2]$ лето'!z1666-'[2]$ лето'!y1666-'[2]$ лето'!x1666-'[2]$ лето'!v1666-'[2]$ лето'!u1666-'[2]$ лето'!t1666-'[2]$ лето'!s1666-'[2]$ лето'!r1666-'[2]$ лето'!p1666-'[2]$ лето'!o1666-'[2]$ лето'!n1666-'[2]$ лето'!m1666-'[2]$ лето'!l1666+'[2]$ лето'!k1666+'[2]$ лето'!q1666+'[2]$ лето'!w1666+'[2]$ лето'!ac1666+'[2]$ лето'!ai1666+'[2]$ лето'!ao1666</f>
        <v>0</v>
      </c>
      <c r="I1666" s="109" t="n">
        <f aca="false">'[2]$ лето'!ay1666*1.1</f>
        <v>4158</v>
      </c>
      <c r="J1666" s="151"/>
    </row>
    <row r="1667" customFormat="false" ht="15" hidden="false" customHeight="false" outlineLevel="0" collapsed="false">
      <c r="A1667" s="115" t="s">
        <v>2259</v>
      </c>
      <c r="B1667" s="115" t="s">
        <v>668</v>
      </c>
      <c r="C1667" s="107" t="s">
        <v>1566</v>
      </c>
      <c r="D1667" s="107"/>
      <c r="E1667" s="116"/>
      <c r="F1667" s="116"/>
      <c r="G1667" s="108" t="s">
        <v>609</v>
      </c>
      <c r="H1667" s="105" t="n">
        <f aca="false">'[2]$ лето'!j1667-'[2]$ лето'!au1667-'[2]$ лето'!at1667-'[2]$ лето'!as1667-'[2]$ лето'!ar1667-'[2]$ лето'!aq1667-'[2]$ лето'!ap1667-'[2]$ лето'!an1667-'[2]$ лето'!am1667-'[2]$ лето'!al1667-'[2]$ лето'!ak1667-'[2]$ лето'!aj1667-'[2]$ лето'!ah1667-'[2]$ лето'!ag1667-'[2]$ лето'!af1667-'[2]$ лето'!ae1667-'[2]$ лето'!ad1667-'[2]$ лето'!ab1667-'[2]$ лето'!aa1667-'[2]$ лето'!z1667-'[2]$ лето'!y1667-'[2]$ лето'!x1667-'[2]$ лето'!v1667-'[2]$ лето'!u1667-'[2]$ лето'!t1667-'[2]$ лето'!s1667-'[2]$ лето'!r1667-'[2]$ лето'!p1667-'[2]$ лето'!o1667-'[2]$ лето'!n1667-'[2]$ лето'!m1667-'[2]$ лето'!l1667+'[2]$ лето'!k1667+'[2]$ лето'!q1667+'[2]$ лето'!w1667+'[2]$ лето'!ac1667+'[2]$ лето'!ai1667+'[2]$ лето'!ao1667</f>
        <v>4</v>
      </c>
      <c r="I1667" s="109" t="n">
        <f aca="false">'[2]$ лето'!ay1667*1.1</f>
        <v>3603.6</v>
      </c>
      <c r="J1667" s="85" t="n">
        <v>2018</v>
      </c>
    </row>
    <row r="1668" customFormat="false" ht="15" hidden="true" customHeight="false" outlineLevel="0" collapsed="false">
      <c r="A1668" s="115" t="s">
        <v>2259</v>
      </c>
      <c r="B1668" s="115" t="s">
        <v>1471</v>
      </c>
      <c r="C1668" s="107" t="s">
        <v>2260</v>
      </c>
      <c r="D1668" s="107"/>
      <c r="E1668" s="107"/>
      <c r="F1668" s="107"/>
      <c r="G1668" s="108" t="s">
        <v>857</v>
      </c>
      <c r="H1668" s="105" t="n">
        <f aca="false">'[2]$ лето'!j1668-'[2]$ лето'!au1668-'[2]$ лето'!at1668-'[2]$ лето'!as1668-'[2]$ лето'!ar1668-'[2]$ лето'!aq1668-'[2]$ лето'!ap1668-'[2]$ лето'!an1668-'[2]$ лето'!am1668-'[2]$ лето'!al1668-'[2]$ лето'!ak1668-'[2]$ лето'!aj1668-'[2]$ лето'!ah1668-'[2]$ лето'!ag1668-'[2]$ лето'!af1668-'[2]$ лето'!ae1668-'[2]$ лето'!ad1668-'[2]$ лето'!ab1668-'[2]$ лето'!aa1668-'[2]$ лето'!z1668-'[2]$ лето'!y1668-'[2]$ лето'!x1668-'[2]$ лето'!v1668-'[2]$ лето'!u1668-'[2]$ лето'!t1668-'[2]$ лето'!s1668-'[2]$ лето'!r1668-'[2]$ лето'!p1668-'[2]$ лето'!o1668-'[2]$ лето'!n1668-'[2]$ лето'!m1668-'[2]$ лето'!l1668+'[2]$ лето'!k1668+'[2]$ лето'!q1668+'[2]$ лето'!w1668+'[2]$ лето'!ac1668+'[2]$ лето'!ai1668+'[2]$ лето'!ao1668</f>
        <v>0</v>
      </c>
      <c r="I1668" s="109" t="n">
        <f aca="false">'[2]$ лето'!ay1668*1.1</f>
        <v>3449.6</v>
      </c>
      <c r="J1668" s="85" t="n">
        <v>2016</v>
      </c>
    </row>
    <row r="1669" customFormat="false" ht="15" hidden="false" customHeight="false" outlineLevel="0" collapsed="false">
      <c r="A1669" s="115" t="s">
        <v>2259</v>
      </c>
      <c r="B1669" s="115" t="s">
        <v>593</v>
      </c>
      <c r="C1669" s="107" t="s">
        <v>2261</v>
      </c>
      <c r="D1669" s="107"/>
      <c r="E1669" s="116"/>
      <c r="F1669" s="116"/>
      <c r="G1669" s="108" t="s">
        <v>849</v>
      </c>
      <c r="H1669" s="105" t="n">
        <f aca="false">'[2]$ лето'!j1669-'[2]$ лето'!au1669-'[2]$ лето'!at1669-'[2]$ лето'!as1669-'[2]$ лето'!ar1669-'[2]$ лето'!aq1669-'[2]$ лето'!ap1669-'[2]$ лето'!an1669-'[2]$ лето'!am1669-'[2]$ лето'!al1669-'[2]$ лето'!ak1669-'[2]$ лето'!aj1669-'[2]$ лето'!ah1669-'[2]$ лето'!ag1669-'[2]$ лето'!af1669-'[2]$ лето'!ae1669-'[2]$ лето'!ad1669-'[2]$ лето'!ab1669-'[2]$ лето'!aa1669-'[2]$ лето'!z1669-'[2]$ лето'!y1669-'[2]$ лето'!x1669-'[2]$ лето'!v1669-'[2]$ лето'!u1669-'[2]$ лето'!t1669-'[2]$ лето'!s1669-'[2]$ лето'!r1669-'[2]$ лето'!p1669-'[2]$ лето'!o1669-'[2]$ лето'!n1669-'[2]$ лето'!m1669-'[2]$ лето'!l1669+'[2]$ лето'!k1669+'[2]$ лето'!q1669+'[2]$ лето'!w1669+'[2]$ лето'!ac1669+'[2]$ лето'!ai1669+'[2]$ лето'!ao1669</f>
        <v>2</v>
      </c>
      <c r="I1669" s="109" t="n">
        <f aca="false">'[2]$ лето'!ay1669*1.1</f>
        <v>6098.4</v>
      </c>
      <c r="J1669" s="85" t="n">
        <v>2018</v>
      </c>
    </row>
    <row r="1670" customFormat="false" ht="15" hidden="true" customHeight="false" outlineLevel="0" collapsed="false">
      <c r="A1670" s="115" t="s">
        <v>2259</v>
      </c>
      <c r="B1670" s="115" t="s">
        <v>615</v>
      </c>
      <c r="C1670" s="107" t="s">
        <v>2262</v>
      </c>
      <c r="D1670" s="107"/>
      <c r="E1670" s="107"/>
      <c r="F1670" s="107"/>
      <c r="G1670" s="108"/>
      <c r="H1670" s="105" t="n">
        <f aca="false">'[2]$ лето'!j1670-'[2]$ лето'!au1670-'[2]$ лето'!at1670-'[2]$ лето'!as1670-'[2]$ лето'!ar1670-'[2]$ лето'!aq1670-'[2]$ лето'!ap1670-'[2]$ лето'!an1670-'[2]$ лето'!am1670-'[2]$ лето'!al1670-'[2]$ лето'!ak1670-'[2]$ лето'!aj1670-'[2]$ лето'!ah1670-'[2]$ лето'!ag1670-'[2]$ лето'!af1670-'[2]$ лето'!ae1670-'[2]$ лето'!ad1670-'[2]$ лето'!ab1670-'[2]$ лето'!aa1670-'[2]$ лето'!z1670-'[2]$ лето'!y1670-'[2]$ лето'!x1670-'[2]$ лето'!v1670-'[2]$ лето'!u1670-'[2]$ лето'!t1670-'[2]$ лето'!s1670-'[2]$ лето'!r1670-'[2]$ лето'!p1670-'[2]$ лето'!o1670-'[2]$ лето'!n1670-'[2]$ лето'!m1670-'[2]$ лето'!l1670+'[2]$ лето'!k1670+'[2]$ лето'!q1670+'[2]$ лето'!w1670+'[2]$ лето'!ac1670+'[2]$ лето'!ai1670+'[2]$ лето'!ao1670</f>
        <v>0</v>
      </c>
      <c r="I1670" s="109" t="n">
        <f aca="false">'[2]$ лето'!ay1670*1.1</f>
        <v>3542</v>
      </c>
    </row>
    <row r="1671" customFormat="false" ht="15" hidden="true" customHeight="false" outlineLevel="0" collapsed="false">
      <c r="A1671" s="115" t="s">
        <v>2259</v>
      </c>
      <c r="B1671" s="115" t="s">
        <v>589</v>
      </c>
      <c r="C1671" s="107" t="s">
        <v>2263</v>
      </c>
      <c r="D1671" s="107"/>
      <c r="E1671" s="107"/>
      <c r="F1671" s="107"/>
      <c r="G1671" s="108"/>
      <c r="H1671" s="105" t="n">
        <f aca="false">'[2]$ лето'!j1671-'[2]$ лето'!au1671-'[2]$ лето'!at1671-'[2]$ лето'!as1671-'[2]$ лето'!ar1671-'[2]$ лето'!aq1671-'[2]$ лето'!ap1671-'[2]$ лето'!an1671-'[2]$ лето'!am1671-'[2]$ лето'!al1671-'[2]$ лето'!ak1671-'[2]$ лето'!aj1671-'[2]$ лето'!ah1671-'[2]$ лето'!ag1671-'[2]$ лето'!af1671-'[2]$ лето'!ae1671-'[2]$ лето'!ad1671-'[2]$ лето'!ab1671-'[2]$ лето'!aa1671-'[2]$ лето'!z1671-'[2]$ лето'!y1671-'[2]$ лето'!x1671-'[2]$ лето'!v1671-'[2]$ лето'!u1671-'[2]$ лето'!t1671-'[2]$ лето'!s1671-'[2]$ лето'!r1671-'[2]$ лето'!p1671-'[2]$ лето'!o1671-'[2]$ лето'!n1671-'[2]$ лето'!m1671-'[2]$ лето'!l1671+'[2]$ лето'!k1671+'[2]$ лето'!q1671+'[2]$ лето'!w1671+'[2]$ лето'!ac1671+'[2]$ лето'!ai1671+'[2]$ лето'!ao1671</f>
        <v>0</v>
      </c>
      <c r="I1671" s="109" t="n">
        <f aca="false">'[2]$ лето'!ay1671*1.1</f>
        <v>4466</v>
      </c>
    </row>
    <row r="1672" customFormat="false" ht="15" hidden="true" customHeight="false" outlineLevel="0" collapsed="false">
      <c r="A1672" s="115" t="s">
        <v>2259</v>
      </c>
      <c r="B1672" s="115" t="s">
        <v>1028</v>
      </c>
      <c r="C1672" s="107" t="s">
        <v>2264</v>
      </c>
      <c r="D1672" s="107"/>
      <c r="E1672" s="107"/>
      <c r="F1672" s="107"/>
      <c r="G1672" s="108" t="s">
        <v>876</v>
      </c>
      <c r="H1672" s="105" t="n">
        <f aca="false">'[2]$ лето'!j1672-'[2]$ лето'!au1672-'[2]$ лето'!at1672-'[2]$ лето'!as1672-'[2]$ лето'!ar1672-'[2]$ лето'!aq1672-'[2]$ лето'!ap1672-'[2]$ лето'!an1672-'[2]$ лето'!am1672-'[2]$ лето'!al1672-'[2]$ лето'!ak1672-'[2]$ лето'!aj1672-'[2]$ лето'!ah1672-'[2]$ лето'!ag1672-'[2]$ лето'!af1672-'[2]$ лето'!ae1672-'[2]$ лето'!ad1672-'[2]$ лето'!ab1672-'[2]$ лето'!aa1672-'[2]$ лето'!z1672-'[2]$ лето'!y1672-'[2]$ лето'!x1672-'[2]$ лето'!v1672-'[2]$ лето'!u1672-'[2]$ лето'!t1672-'[2]$ лето'!s1672-'[2]$ лето'!r1672-'[2]$ лето'!p1672-'[2]$ лето'!o1672-'[2]$ лето'!n1672-'[2]$ лето'!m1672-'[2]$ лето'!l1672+'[2]$ лето'!k1672+'[2]$ лето'!q1672+'[2]$ лето'!w1672+'[2]$ лето'!ac1672+'[2]$ лето'!ai1672+'[2]$ лето'!ao1672</f>
        <v>0</v>
      </c>
      <c r="I1672" s="109" t="n">
        <f aca="false">'[2]$ лето'!ay1672*1.1</f>
        <v>5297.6</v>
      </c>
      <c r="J1672" s="85" t="n">
        <v>2015</v>
      </c>
    </row>
    <row r="1673" customFormat="false" ht="15" hidden="false" customHeight="false" outlineLevel="0" collapsed="false">
      <c r="A1673" s="129" t="s">
        <v>2265</v>
      </c>
      <c r="B1673" s="129" t="s">
        <v>707</v>
      </c>
      <c r="C1673" s="130" t="s">
        <v>2266</v>
      </c>
      <c r="D1673" s="130"/>
      <c r="E1673" s="131"/>
      <c r="F1673" s="131"/>
      <c r="G1673" s="132"/>
      <c r="H1673" s="105" t="n">
        <f aca="false">'[2]$ лето'!j1673-'[2]$ лето'!au1673-'[2]$ лето'!at1673-'[2]$ лето'!as1673-'[2]$ лето'!ar1673-'[2]$ лето'!aq1673-'[2]$ лето'!ap1673-'[2]$ лето'!an1673-'[2]$ лето'!am1673-'[2]$ лето'!al1673-'[2]$ лето'!ak1673-'[2]$ лето'!aj1673-'[2]$ лето'!ah1673-'[2]$ лето'!ag1673-'[2]$ лето'!af1673-'[2]$ лето'!ae1673-'[2]$ лето'!ad1673-'[2]$ лето'!ab1673-'[2]$ лето'!aa1673-'[2]$ лето'!z1673-'[2]$ лето'!y1673-'[2]$ лето'!x1673-'[2]$ лето'!v1673-'[2]$ лето'!u1673-'[2]$ лето'!t1673-'[2]$ лето'!s1673-'[2]$ лето'!r1673-'[2]$ лето'!p1673-'[2]$ лето'!o1673-'[2]$ лето'!n1673-'[2]$ лето'!m1673-'[2]$ лето'!l1673+'[2]$ лето'!k1673+'[2]$ лето'!q1673+'[2]$ лето'!w1673+'[2]$ лето'!ac1673+'[2]$ лето'!ai1673+'[2]$ лето'!ao1673</f>
        <v>2</v>
      </c>
      <c r="I1673" s="133" t="n">
        <f aca="false">'[2]$ лето'!ay1673*1.1</f>
        <v>1540</v>
      </c>
    </row>
    <row r="1674" customFormat="false" ht="15" hidden="false" customHeight="false" outlineLevel="0" collapsed="false">
      <c r="A1674" s="115" t="s">
        <v>2267</v>
      </c>
      <c r="B1674" s="115" t="s">
        <v>593</v>
      </c>
      <c r="C1674" s="116" t="s">
        <v>2268</v>
      </c>
      <c r="D1674" s="116"/>
      <c r="E1674" s="116"/>
      <c r="F1674" s="116"/>
      <c r="G1674" s="108" t="s">
        <v>933</v>
      </c>
      <c r="H1674" s="105" t="n">
        <f aca="false">'[2]$ лето'!j1674-'[2]$ лето'!au1674-'[2]$ лето'!at1674-'[2]$ лето'!as1674-'[2]$ лето'!ar1674-'[2]$ лето'!aq1674-'[2]$ лето'!ap1674-'[2]$ лето'!an1674-'[2]$ лето'!am1674-'[2]$ лето'!al1674-'[2]$ лето'!ak1674-'[2]$ лето'!aj1674-'[2]$ лето'!ah1674-'[2]$ лето'!ag1674-'[2]$ лето'!af1674-'[2]$ лето'!ae1674-'[2]$ лето'!ad1674-'[2]$ лето'!ab1674-'[2]$ лето'!aa1674-'[2]$ лето'!z1674-'[2]$ лето'!y1674-'[2]$ лето'!x1674-'[2]$ лето'!v1674-'[2]$ лето'!u1674-'[2]$ лето'!t1674-'[2]$ лето'!s1674-'[2]$ лето'!r1674-'[2]$ лето'!p1674-'[2]$ лето'!o1674-'[2]$ лето'!n1674-'[2]$ лето'!m1674-'[2]$ лето'!l1674+'[2]$ лето'!k1674+'[2]$ лето'!q1674+'[2]$ лето'!w1674+'[2]$ лето'!ac1674+'[2]$ лето'!ai1674+'[2]$ лето'!ao1674</f>
        <v>2</v>
      </c>
      <c r="I1674" s="109" t="n">
        <f aca="false">'[2]$ лето'!ay1674*1.1</f>
        <v>3080</v>
      </c>
      <c r="J1674" s="85" t="n">
        <v>2011</v>
      </c>
    </row>
    <row r="1675" customFormat="false" ht="15" hidden="false" customHeight="false" outlineLevel="0" collapsed="false">
      <c r="A1675" s="152" t="s">
        <v>2191</v>
      </c>
      <c r="B1675" s="153" t="s">
        <v>744</v>
      </c>
      <c r="C1675" s="154" t="s">
        <v>2269</v>
      </c>
      <c r="D1675" s="154"/>
      <c r="E1675" s="154"/>
      <c r="F1675" s="154"/>
      <c r="G1675" s="155" t="s">
        <v>640</v>
      </c>
      <c r="H1675" s="105" t="n">
        <f aca="false">'[2]$ лето'!j1675-'[2]$ лето'!au1675-'[2]$ лето'!at1675-'[2]$ лето'!as1675-'[2]$ лето'!ar1675-'[2]$ лето'!aq1675-'[2]$ лето'!ap1675-'[2]$ лето'!an1675-'[2]$ лето'!am1675-'[2]$ лето'!al1675-'[2]$ лето'!ak1675-'[2]$ лето'!aj1675-'[2]$ лето'!ah1675-'[2]$ лето'!ag1675-'[2]$ лето'!af1675-'[2]$ лето'!ae1675-'[2]$ лето'!ad1675-'[2]$ лето'!ab1675-'[2]$ лето'!aa1675-'[2]$ лето'!z1675-'[2]$ лето'!y1675-'[2]$ лето'!x1675-'[2]$ лето'!v1675-'[2]$ лето'!u1675-'[2]$ лето'!t1675-'[2]$ лето'!s1675-'[2]$ лето'!r1675-'[2]$ лето'!p1675-'[2]$ лето'!o1675-'[2]$ лето'!n1675-'[2]$ лето'!m1675-'[2]$ лето'!l1675+'[2]$ лето'!k1675+'[2]$ лето'!q1675+'[2]$ лето'!w1675+'[2]$ лето'!ac1675+'[2]$ лето'!ai1675+'[2]$ лето'!ao1675</f>
        <v>4</v>
      </c>
      <c r="I1675" s="156" t="n">
        <f aca="false">'[2]$ лето'!ay1675*1.1</f>
        <v>3542</v>
      </c>
      <c r="J1675" s="85" t="n">
        <v>2016</v>
      </c>
    </row>
    <row r="1676" customFormat="false" ht="15" hidden="false" customHeight="false" outlineLevel="0" collapsed="false">
      <c r="A1676" s="153" t="s">
        <v>2270</v>
      </c>
      <c r="B1676" s="153" t="s">
        <v>744</v>
      </c>
      <c r="C1676" s="154" t="s">
        <v>2269</v>
      </c>
      <c r="D1676" s="154"/>
      <c r="E1676" s="154"/>
      <c r="F1676" s="154"/>
      <c r="G1676" s="155" t="s">
        <v>640</v>
      </c>
      <c r="H1676" s="105" t="n">
        <f aca="false">'[2]$ лето'!j1676-'[2]$ лето'!au1676-'[2]$ лето'!at1676-'[2]$ лето'!as1676-'[2]$ лето'!ar1676-'[2]$ лето'!aq1676-'[2]$ лето'!ap1676-'[2]$ лето'!an1676-'[2]$ лето'!am1676-'[2]$ лето'!al1676-'[2]$ лето'!ak1676-'[2]$ лето'!aj1676-'[2]$ лето'!ah1676-'[2]$ лето'!ag1676-'[2]$ лето'!af1676-'[2]$ лето'!ae1676-'[2]$ лето'!ad1676-'[2]$ лето'!ab1676-'[2]$ лето'!aa1676-'[2]$ лето'!z1676-'[2]$ лето'!y1676-'[2]$ лето'!x1676-'[2]$ лето'!v1676-'[2]$ лето'!u1676-'[2]$ лето'!t1676-'[2]$ лето'!s1676-'[2]$ лето'!r1676-'[2]$ лето'!p1676-'[2]$ лето'!o1676-'[2]$ лето'!n1676-'[2]$ лето'!m1676-'[2]$ лето'!l1676+'[2]$ лето'!k1676+'[2]$ лето'!q1676+'[2]$ лето'!w1676+'[2]$ лето'!ac1676+'[2]$ лето'!ai1676+'[2]$ лето'!ao1676</f>
        <v>4</v>
      </c>
      <c r="I1676" s="156" t="n">
        <f aca="false">'[2]$ лето'!ay1676*1.1</f>
        <v>3850</v>
      </c>
      <c r="J1676" s="85" t="n">
        <v>2017</v>
      </c>
    </row>
    <row r="1677" customFormat="false" ht="15" hidden="false" customHeight="false" outlineLevel="0" collapsed="false">
      <c r="A1677" s="115" t="s">
        <v>2270</v>
      </c>
      <c r="B1677" s="115" t="s">
        <v>593</v>
      </c>
      <c r="C1677" s="116" t="s">
        <v>2271</v>
      </c>
      <c r="D1677" s="116"/>
      <c r="E1677" s="116"/>
      <c r="F1677" s="116"/>
      <c r="G1677" s="108" t="s">
        <v>520</v>
      </c>
      <c r="H1677" s="105" t="n">
        <f aca="false">'[2]$ лето'!j1677-'[2]$ лето'!au1677-'[2]$ лето'!at1677-'[2]$ лето'!as1677-'[2]$ лето'!ar1677-'[2]$ лето'!aq1677-'[2]$ лето'!ap1677-'[2]$ лето'!an1677-'[2]$ лето'!am1677-'[2]$ лето'!al1677-'[2]$ лето'!ak1677-'[2]$ лето'!aj1677-'[2]$ лето'!ah1677-'[2]$ лето'!ag1677-'[2]$ лето'!af1677-'[2]$ лето'!ae1677-'[2]$ лето'!ad1677-'[2]$ лето'!ab1677-'[2]$ лето'!aa1677-'[2]$ лето'!z1677-'[2]$ лето'!y1677-'[2]$ лето'!x1677-'[2]$ лето'!v1677-'[2]$ лето'!u1677-'[2]$ лето'!t1677-'[2]$ лето'!s1677-'[2]$ лето'!r1677-'[2]$ лето'!p1677-'[2]$ лето'!o1677-'[2]$ лето'!n1677-'[2]$ лето'!m1677-'[2]$ лето'!l1677+'[2]$ лето'!k1677+'[2]$ лето'!q1677+'[2]$ лето'!w1677+'[2]$ лето'!ac1677+'[2]$ лето'!ai1677+'[2]$ лето'!ao1677</f>
        <v>4</v>
      </c>
      <c r="I1677" s="109" t="n">
        <f aca="false">'[2]$ лето'!ay1677*1.1</f>
        <v>3542</v>
      </c>
      <c r="J1677" s="85" t="n">
        <v>2015</v>
      </c>
    </row>
    <row r="1678" customFormat="false" ht="15" hidden="false" customHeight="false" outlineLevel="0" collapsed="false">
      <c r="A1678" s="115" t="s">
        <v>2270</v>
      </c>
      <c r="B1678" s="115" t="s">
        <v>615</v>
      </c>
      <c r="C1678" s="116" t="s">
        <v>2272</v>
      </c>
      <c r="D1678" s="116"/>
      <c r="E1678" s="116" t="n">
        <v>105</v>
      </c>
      <c r="F1678" s="116" t="s">
        <v>2273</v>
      </c>
      <c r="G1678" s="108"/>
      <c r="H1678" s="105" t="n">
        <f aca="false">'[2]$ лето'!j1678-'[2]$ лето'!au1678-'[2]$ лето'!at1678-'[2]$ лето'!as1678-'[2]$ лето'!ar1678-'[2]$ лето'!aq1678-'[2]$ лето'!ap1678-'[2]$ лето'!an1678-'[2]$ лето'!am1678-'[2]$ лето'!al1678-'[2]$ лето'!ak1678-'[2]$ лето'!aj1678-'[2]$ лето'!ah1678-'[2]$ лето'!ag1678-'[2]$ лето'!af1678-'[2]$ лето'!ae1678-'[2]$ лето'!ad1678-'[2]$ лето'!ab1678-'[2]$ лето'!aa1678-'[2]$ лето'!z1678-'[2]$ лето'!y1678-'[2]$ лето'!x1678-'[2]$ лето'!v1678-'[2]$ лето'!u1678-'[2]$ лето'!t1678-'[2]$ лето'!s1678-'[2]$ лето'!r1678-'[2]$ лето'!p1678-'[2]$ лето'!o1678-'[2]$ лето'!n1678-'[2]$ лето'!m1678-'[2]$ лето'!l1678+'[2]$ лето'!k1678+'[2]$ лето'!q1678+'[2]$ лето'!w1678+'[2]$ лето'!ac1678+'[2]$ лето'!ai1678+'[2]$ лето'!ao1678</f>
        <v>2</v>
      </c>
      <c r="I1678" s="109" t="n">
        <f aca="false">'[2]$ лето'!ay1678*1.1</f>
        <v>3388</v>
      </c>
    </row>
    <row r="1679" customFormat="false" ht="15" hidden="false" customHeight="false" outlineLevel="0" collapsed="false">
      <c r="A1679" s="115" t="s">
        <v>2270</v>
      </c>
      <c r="B1679" s="115" t="s">
        <v>564</v>
      </c>
      <c r="C1679" s="116" t="s">
        <v>2274</v>
      </c>
      <c r="D1679" s="116"/>
      <c r="E1679" s="116"/>
      <c r="F1679" s="116"/>
      <c r="G1679" s="108" t="s">
        <v>520</v>
      </c>
      <c r="H1679" s="105" t="n">
        <f aca="false">'[2]$ лето'!j1679-'[2]$ лето'!au1679-'[2]$ лето'!at1679-'[2]$ лето'!as1679-'[2]$ лето'!ar1679-'[2]$ лето'!aq1679-'[2]$ лето'!ap1679-'[2]$ лето'!an1679-'[2]$ лето'!am1679-'[2]$ лето'!al1679-'[2]$ лето'!ak1679-'[2]$ лето'!aj1679-'[2]$ лето'!ah1679-'[2]$ лето'!ag1679-'[2]$ лето'!af1679-'[2]$ лето'!ae1679-'[2]$ лето'!ad1679-'[2]$ лето'!ab1679-'[2]$ лето'!aa1679-'[2]$ лето'!z1679-'[2]$ лето'!y1679-'[2]$ лето'!x1679-'[2]$ лето'!v1679-'[2]$ лето'!u1679-'[2]$ лето'!t1679-'[2]$ лето'!s1679-'[2]$ лето'!r1679-'[2]$ лето'!p1679-'[2]$ лето'!o1679-'[2]$ лето'!n1679-'[2]$ лето'!m1679-'[2]$ лето'!l1679+'[2]$ лето'!k1679+'[2]$ лето'!q1679+'[2]$ лето'!w1679+'[2]$ лето'!ac1679+'[2]$ лето'!ai1679+'[2]$ лето'!ao1679</f>
        <v>6</v>
      </c>
      <c r="I1679" s="109" t="n">
        <f aca="false">'[2]$ лето'!ay1679*1.1</f>
        <v>2310</v>
      </c>
      <c r="J1679" s="85" t="n">
        <v>2017</v>
      </c>
    </row>
    <row r="1680" customFormat="false" ht="15" hidden="true" customHeight="false" outlineLevel="0" collapsed="false">
      <c r="A1680" s="115" t="s">
        <v>2275</v>
      </c>
      <c r="B1680" s="115" t="s">
        <v>566</v>
      </c>
      <c r="C1680" s="116" t="s">
        <v>2276</v>
      </c>
      <c r="D1680" s="116"/>
      <c r="E1680" s="116"/>
      <c r="F1680" s="116"/>
      <c r="G1680" s="108" t="s">
        <v>563</v>
      </c>
      <c r="H1680" s="105" t="n">
        <f aca="false">'[2]$ лето'!j1680-'[2]$ лето'!au1680-'[2]$ лето'!at1680-'[2]$ лето'!as1680-'[2]$ лето'!ar1680-'[2]$ лето'!aq1680-'[2]$ лето'!ap1680-'[2]$ лето'!an1680-'[2]$ лето'!am1680-'[2]$ лето'!al1680-'[2]$ лето'!ak1680-'[2]$ лето'!aj1680-'[2]$ лето'!ah1680-'[2]$ лето'!ag1680-'[2]$ лето'!af1680-'[2]$ лето'!ae1680-'[2]$ лето'!ad1680-'[2]$ лето'!ab1680-'[2]$ лето'!aa1680-'[2]$ лето'!z1680-'[2]$ лето'!y1680-'[2]$ лето'!x1680-'[2]$ лето'!v1680-'[2]$ лето'!u1680-'[2]$ лето'!t1680-'[2]$ лето'!s1680-'[2]$ лето'!r1680-'[2]$ лето'!p1680-'[2]$ лето'!o1680-'[2]$ лето'!n1680-'[2]$ лето'!m1680-'[2]$ лето'!l1680+'[2]$ лето'!k1680+'[2]$ лето'!q1680+'[2]$ лето'!w1680+'[2]$ лето'!ac1680+'[2]$ лето'!ai1680+'[2]$ лето'!ao1680</f>
        <v>0</v>
      </c>
      <c r="I1680" s="109" t="n">
        <f aca="false">'[2]$ лето'!ay1680*1.1</f>
        <v>2772</v>
      </c>
      <c r="J1680" s="85" t="n">
        <v>2017</v>
      </c>
    </row>
    <row r="1681" customFormat="false" ht="15" hidden="false" customHeight="false" outlineLevel="0" collapsed="false">
      <c r="A1681" s="115" t="s">
        <v>2275</v>
      </c>
      <c r="B1681" s="115" t="s">
        <v>593</v>
      </c>
      <c r="C1681" s="116" t="s">
        <v>2277</v>
      </c>
      <c r="D1681" s="116"/>
      <c r="E1681" s="116"/>
      <c r="F1681" s="116"/>
      <c r="G1681" s="108"/>
      <c r="H1681" s="105" t="n">
        <f aca="false">'[2]$ лето'!j1681-'[2]$ лето'!au1681-'[2]$ лето'!at1681-'[2]$ лето'!as1681-'[2]$ лето'!ar1681-'[2]$ лето'!aq1681-'[2]$ лето'!ap1681-'[2]$ лето'!an1681-'[2]$ лето'!am1681-'[2]$ лето'!al1681-'[2]$ лето'!ak1681-'[2]$ лето'!aj1681-'[2]$ лето'!ah1681-'[2]$ лето'!ag1681-'[2]$ лето'!af1681-'[2]$ лето'!ae1681-'[2]$ лето'!ad1681-'[2]$ лето'!ab1681-'[2]$ лето'!aa1681-'[2]$ лето'!z1681-'[2]$ лето'!y1681-'[2]$ лето'!x1681-'[2]$ лето'!v1681-'[2]$ лето'!u1681-'[2]$ лето'!t1681-'[2]$ лето'!s1681-'[2]$ лето'!r1681-'[2]$ лето'!p1681-'[2]$ лето'!o1681-'[2]$ лето'!n1681-'[2]$ лето'!m1681-'[2]$ лето'!l1681+'[2]$ лето'!k1681+'[2]$ лето'!q1681+'[2]$ лето'!w1681+'[2]$ лето'!ac1681+'[2]$ лето'!ai1681+'[2]$ лето'!ao1681</f>
        <v>6</v>
      </c>
      <c r="I1681" s="109" t="n">
        <f aca="false">'[2]$ лето'!ay1681*1.1</f>
        <v>4004</v>
      </c>
    </row>
    <row r="1682" customFormat="false" ht="15" hidden="true" customHeight="false" outlineLevel="0" collapsed="false">
      <c r="A1682" s="115" t="s">
        <v>2278</v>
      </c>
      <c r="B1682" s="115" t="s">
        <v>601</v>
      </c>
      <c r="C1682" s="107" t="s">
        <v>2279</v>
      </c>
      <c r="D1682" s="107"/>
      <c r="E1682" s="107"/>
      <c r="F1682" s="107"/>
      <c r="G1682" s="108" t="s">
        <v>626</v>
      </c>
      <c r="H1682" s="105" t="n">
        <f aca="false">'[2]$ лето'!j1682-'[2]$ лето'!au1682-'[2]$ лето'!at1682-'[2]$ лето'!as1682-'[2]$ лето'!ar1682-'[2]$ лето'!aq1682-'[2]$ лето'!ap1682-'[2]$ лето'!an1682-'[2]$ лето'!am1682-'[2]$ лето'!al1682-'[2]$ лето'!ak1682-'[2]$ лето'!aj1682-'[2]$ лето'!ah1682-'[2]$ лето'!ag1682-'[2]$ лето'!af1682-'[2]$ лето'!ae1682-'[2]$ лето'!ad1682-'[2]$ лето'!ab1682-'[2]$ лето'!aa1682-'[2]$ лето'!z1682-'[2]$ лето'!y1682-'[2]$ лето'!x1682-'[2]$ лето'!v1682-'[2]$ лето'!u1682-'[2]$ лето'!t1682-'[2]$ лето'!s1682-'[2]$ лето'!r1682-'[2]$ лето'!p1682-'[2]$ лето'!o1682-'[2]$ лето'!n1682-'[2]$ лето'!m1682-'[2]$ лето'!l1682+'[2]$ лето'!k1682+'[2]$ лето'!q1682+'[2]$ лето'!w1682+'[2]$ лето'!ac1682+'[2]$ лето'!ai1682+'[2]$ лето'!ao1682</f>
        <v>0</v>
      </c>
      <c r="I1682" s="109" t="n">
        <f aca="false">'[2]$ лето'!ay1682*1.1</f>
        <v>5236</v>
      </c>
      <c r="J1682" s="113" t="n">
        <v>2013</v>
      </c>
    </row>
    <row r="1683" customFormat="false" ht="15" hidden="false" customHeight="false" outlineLevel="0" collapsed="false">
      <c r="A1683" s="115" t="s">
        <v>2278</v>
      </c>
      <c r="B1683" s="115" t="s">
        <v>658</v>
      </c>
      <c r="C1683" s="116" t="s">
        <v>2280</v>
      </c>
      <c r="D1683" s="116"/>
      <c r="E1683" s="116"/>
      <c r="F1683" s="116"/>
      <c r="G1683" s="108"/>
      <c r="H1683" s="105" t="n">
        <f aca="false">'[2]$ лето'!j1683-'[2]$ лето'!au1683-'[2]$ лето'!at1683-'[2]$ лето'!as1683-'[2]$ лето'!ar1683-'[2]$ лето'!aq1683-'[2]$ лето'!ap1683-'[2]$ лето'!an1683-'[2]$ лето'!am1683-'[2]$ лето'!al1683-'[2]$ лето'!ak1683-'[2]$ лето'!aj1683-'[2]$ лето'!ah1683-'[2]$ лето'!ag1683-'[2]$ лето'!af1683-'[2]$ лето'!ae1683-'[2]$ лето'!ad1683-'[2]$ лето'!ab1683-'[2]$ лето'!aa1683-'[2]$ лето'!z1683-'[2]$ лето'!y1683-'[2]$ лето'!x1683-'[2]$ лето'!v1683-'[2]$ лето'!u1683-'[2]$ лето'!t1683-'[2]$ лето'!s1683-'[2]$ лето'!r1683-'[2]$ лето'!p1683-'[2]$ лето'!o1683-'[2]$ лето'!n1683-'[2]$ лето'!m1683-'[2]$ лето'!l1683+'[2]$ лето'!k1683+'[2]$ лето'!q1683+'[2]$ лето'!w1683+'[2]$ лето'!ac1683+'[2]$ лето'!ai1683+'[2]$ лето'!ao1683</f>
        <v>4</v>
      </c>
      <c r="I1683" s="109" t="n">
        <f aca="false">'[2]$ лето'!ay1683*1.1</f>
        <v>5790.4</v>
      </c>
      <c r="J1683" s="113" t="n">
        <v>2017</v>
      </c>
    </row>
    <row r="1684" customFormat="false" ht="15" hidden="false" customHeight="false" outlineLevel="0" collapsed="false">
      <c r="A1684" s="115" t="s">
        <v>2278</v>
      </c>
      <c r="B1684" s="115" t="s">
        <v>707</v>
      </c>
      <c r="C1684" s="116" t="s">
        <v>2281</v>
      </c>
      <c r="D1684" s="116"/>
      <c r="E1684" s="116"/>
      <c r="F1684" s="116"/>
      <c r="G1684" s="108" t="s">
        <v>843</v>
      </c>
      <c r="H1684" s="105" t="n">
        <f aca="false">'[2]$ лето'!j1684-'[2]$ лето'!au1684-'[2]$ лето'!at1684-'[2]$ лето'!as1684-'[2]$ лето'!ar1684-'[2]$ лето'!aq1684-'[2]$ лето'!ap1684-'[2]$ лето'!an1684-'[2]$ лето'!am1684-'[2]$ лето'!al1684-'[2]$ лето'!ak1684-'[2]$ лето'!aj1684-'[2]$ лето'!ah1684-'[2]$ лето'!ag1684-'[2]$ лето'!af1684-'[2]$ лето'!ae1684-'[2]$ лето'!ad1684-'[2]$ лето'!ab1684-'[2]$ лето'!aa1684-'[2]$ лето'!z1684-'[2]$ лето'!y1684-'[2]$ лето'!x1684-'[2]$ лето'!v1684-'[2]$ лето'!u1684-'[2]$ лето'!t1684-'[2]$ лето'!s1684-'[2]$ лето'!r1684-'[2]$ лето'!p1684-'[2]$ лето'!o1684-'[2]$ лето'!n1684-'[2]$ лето'!m1684-'[2]$ лето'!l1684+'[2]$ лето'!k1684+'[2]$ лето'!q1684+'[2]$ лето'!w1684+'[2]$ лето'!ac1684+'[2]$ лето'!ai1684+'[2]$ лето'!ao1684</f>
        <v>4</v>
      </c>
      <c r="I1684" s="109" t="n">
        <f aca="false">'[2]$ лето'!ay1684*1.1</f>
        <v>4774</v>
      </c>
      <c r="J1684" s="85" t="n">
        <v>2015</v>
      </c>
    </row>
    <row r="1685" customFormat="false" ht="15" hidden="false" customHeight="false" outlineLevel="0" collapsed="false">
      <c r="A1685" s="115" t="s">
        <v>2278</v>
      </c>
      <c r="B1685" s="115" t="s">
        <v>557</v>
      </c>
      <c r="C1685" s="116" t="s">
        <v>2282</v>
      </c>
      <c r="D1685" s="116"/>
      <c r="E1685" s="116"/>
      <c r="F1685" s="116"/>
      <c r="G1685" s="108"/>
      <c r="H1685" s="105" t="n">
        <f aca="false">'[2]$ лето'!j1685-'[2]$ лето'!au1685-'[2]$ лето'!at1685-'[2]$ лето'!as1685-'[2]$ лето'!ar1685-'[2]$ лето'!aq1685-'[2]$ лето'!ap1685-'[2]$ лето'!an1685-'[2]$ лето'!am1685-'[2]$ лето'!al1685-'[2]$ лето'!ak1685-'[2]$ лето'!aj1685-'[2]$ лето'!ah1685-'[2]$ лето'!ag1685-'[2]$ лето'!af1685-'[2]$ лето'!ae1685-'[2]$ лето'!ad1685-'[2]$ лето'!ab1685-'[2]$ лето'!aa1685-'[2]$ лето'!z1685-'[2]$ лето'!y1685-'[2]$ лето'!x1685-'[2]$ лето'!v1685-'[2]$ лето'!u1685-'[2]$ лето'!t1685-'[2]$ лето'!s1685-'[2]$ лето'!r1685-'[2]$ лето'!p1685-'[2]$ лето'!o1685-'[2]$ лето'!n1685-'[2]$ лето'!m1685-'[2]$ лето'!l1685+'[2]$ лето'!k1685+'[2]$ лето'!q1685+'[2]$ лето'!w1685+'[2]$ лето'!ac1685+'[2]$ лето'!ai1685+'[2]$ лето'!ao1685</f>
        <v>4</v>
      </c>
      <c r="I1685" s="109" t="n">
        <f aca="false">'[2]$ лето'!ay1685*1.1</f>
        <v>3788.4</v>
      </c>
      <c r="J1685" s="113" t="n">
        <v>2017</v>
      </c>
    </row>
    <row r="1686" customFormat="false" ht="15" hidden="false" customHeight="false" outlineLevel="0" collapsed="false">
      <c r="A1686" s="115" t="s">
        <v>2278</v>
      </c>
      <c r="B1686" s="115" t="s">
        <v>606</v>
      </c>
      <c r="C1686" s="116" t="s">
        <v>2283</v>
      </c>
      <c r="D1686" s="116"/>
      <c r="E1686" s="116"/>
      <c r="F1686" s="116"/>
      <c r="G1686" s="108"/>
      <c r="H1686" s="105" t="n">
        <f aca="false">'[2]$ лето'!j1686-'[2]$ лето'!au1686-'[2]$ лето'!at1686-'[2]$ лето'!as1686-'[2]$ лето'!ar1686-'[2]$ лето'!aq1686-'[2]$ лето'!ap1686-'[2]$ лето'!an1686-'[2]$ лето'!am1686-'[2]$ лето'!al1686-'[2]$ лето'!ak1686-'[2]$ лето'!aj1686-'[2]$ лето'!ah1686-'[2]$ лето'!ag1686-'[2]$ лето'!af1686-'[2]$ лето'!ae1686-'[2]$ лето'!ad1686-'[2]$ лето'!ab1686-'[2]$ лето'!aa1686-'[2]$ лето'!z1686-'[2]$ лето'!y1686-'[2]$ лето'!x1686-'[2]$ лето'!v1686-'[2]$ лето'!u1686-'[2]$ лето'!t1686-'[2]$ лето'!s1686-'[2]$ лето'!r1686-'[2]$ лето'!p1686-'[2]$ лето'!o1686-'[2]$ лето'!n1686-'[2]$ лето'!m1686-'[2]$ лето'!l1686+'[2]$ лето'!k1686+'[2]$ лето'!q1686+'[2]$ лето'!w1686+'[2]$ лето'!ac1686+'[2]$ лето'!ai1686+'[2]$ лето'!ao1686</f>
        <v>4</v>
      </c>
      <c r="I1686" s="109" t="n">
        <f aca="false">'[2]$ лето'!ay1686*1.1</f>
        <v>5082</v>
      </c>
      <c r="J1686" s="113" t="n">
        <v>2018</v>
      </c>
    </row>
    <row r="1687" customFormat="false" ht="15" hidden="true" customHeight="false" outlineLevel="0" collapsed="false">
      <c r="A1687" s="115" t="s">
        <v>2278</v>
      </c>
      <c r="B1687" s="115" t="s">
        <v>593</v>
      </c>
      <c r="C1687" s="116" t="s">
        <v>2284</v>
      </c>
      <c r="D1687" s="116"/>
      <c r="E1687" s="116"/>
      <c r="F1687" s="116"/>
      <c r="G1687" s="108" t="s">
        <v>1037</v>
      </c>
      <c r="H1687" s="105" t="n">
        <f aca="false">'[2]$ лето'!j1687-'[2]$ лето'!au1687-'[2]$ лето'!at1687-'[2]$ лето'!as1687-'[2]$ лето'!ar1687-'[2]$ лето'!aq1687-'[2]$ лето'!ap1687-'[2]$ лето'!an1687-'[2]$ лето'!am1687-'[2]$ лето'!al1687-'[2]$ лето'!ak1687-'[2]$ лето'!aj1687-'[2]$ лето'!ah1687-'[2]$ лето'!ag1687-'[2]$ лето'!af1687-'[2]$ лето'!ae1687-'[2]$ лето'!ad1687-'[2]$ лето'!ab1687-'[2]$ лето'!aa1687-'[2]$ лето'!z1687-'[2]$ лето'!y1687-'[2]$ лето'!x1687-'[2]$ лето'!v1687-'[2]$ лето'!u1687-'[2]$ лето'!t1687-'[2]$ лето'!s1687-'[2]$ лето'!r1687-'[2]$ лето'!p1687-'[2]$ лето'!o1687-'[2]$ лето'!n1687-'[2]$ лето'!m1687-'[2]$ лето'!l1687+'[2]$ лето'!k1687+'[2]$ лето'!q1687+'[2]$ лето'!w1687+'[2]$ лето'!ac1687+'[2]$ лето'!ai1687+'[2]$ лето'!ao1687</f>
        <v>0</v>
      </c>
      <c r="I1687" s="109" t="n">
        <f aca="false">'[2]$ лето'!ay1687*1.1</f>
        <v>7084</v>
      </c>
      <c r="J1687" s="113" t="n">
        <v>2018</v>
      </c>
    </row>
    <row r="1688" customFormat="false" ht="15" hidden="true" customHeight="false" outlineLevel="0" collapsed="false">
      <c r="A1688" s="115" t="s">
        <v>2278</v>
      </c>
      <c r="B1688" s="115" t="s">
        <v>589</v>
      </c>
      <c r="C1688" s="116" t="s">
        <v>2073</v>
      </c>
      <c r="D1688" s="116"/>
      <c r="E1688" s="116"/>
      <c r="F1688" s="116"/>
      <c r="G1688" s="108"/>
      <c r="H1688" s="105" t="n">
        <f aca="false">'[2]$ лето'!j1688-'[2]$ лето'!au1688-'[2]$ лето'!at1688-'[2]$ лето'!as1688-'[2]$ лето'!ar1688-'[2]$ лето'!aq1688-'[2]$ лето'!ap1688-'[2]$ лето'!an1688-'[2]$ лето'!am1688-'[2]$ лето'!al1688-'[2]$ лето'!ak1688-'[2]$ лето'!aj1688-'[2]$ лето'!ah1688-'[2]$ лето'!ag1688-'[2]$ лето'!af1688-'[2]$ лето'!ae1688-'[2]$ лето'!ad1688-'[2]$ лето'!ab1688-'[2]$ лето'!aa1688-'[2]$ лето'!z1688-'[2]$ лето'!y1688-'[2]$ лето'!x1688-'[2]$ лето'!v1688-'[2]$ лето'!u1688-'[2]$ лето'!t1688-'[2]$ лето'!s1688-'[2]$ лето'!r1688-'[2]$ лето'!p1688-'[2]$ лето'!o1688-'[2]$ лето'!n1688-'[2]$ лето'!m1688-'[2]$ лето'!l1688+'[2]$ лето'!k1688+'[2]$ лето'!q1688+'[2]$ лето'!w1688+'[2]$ лето'!ac1688+'[2]$ лето'!ai1688+'[2]$ лето'!ao1688</f>
        <v>0</v>
      </c>
      <c r="I1688" s="109" t="n">
        <f aca="false">'[2]$ лето'!ay1688*1.1</f>
        <v>4743.2</v>
      </c>
      <c r="J1688" s="113"/>
    </row>
    <row r="1689" customFormat="false" ht="15" hidden="true" customHeight="false" outlineLevel="0" collapsed="false">
      <c r="A1689" s="115" t="s">
        <v>2285</v>
      </c>
      <c r="B1689" s="115" t="s">
        <v>2286</v>
      </c>
      <c r="C1689" s="116" t="s">
        <v>2287</v>
      </c>
      <c r="D1689" s="116"/>
      <c r="E1689" s="116"/>
      <c r="F1689" s="116"/>
      <c r="G1689" s="108"/>
      <c r="H1689" s="105" t="n">
        <f aca="false">'[2]$ лето'!j1689-'[2]$ лето'!au1689-'[2]$ лето'!at1689-'[2]$ лето'!as1689-'[2]$ лето'!ar1689-'[2]$ лето'!aq1689-'[2]$ лето'!ap1689-'[2]$ лето'!an1689-'[2]$ лето'!am1689-'[2]$ лето'!al1689-'[2]$ лето'!ak1689-'[2]$ лето'!aj1689-'[2]$ лето'!ah1689-'[2]$ лето'!ag1689-'[2]$ лето'!af1689-'[2]$ лето'!ae1689-'[2]$ лето'!ad1689-'[2]$ лето'!ab1689-'[2]$ лето'!aa1689-'[2]$ лето'!z1689-'[2]$ лето'!y1689-'[2]$ лето'!x1689-'[2]$ лето'!v1689-'[2]$ лето'!u1689-'[2]$ лето'!t1689-'[2]$ лето'!s1689-'[2]$ лето'!r1689-'[2]$ лето'!p1689-'[2]$ лето'!o1689-'[2]$ лето'!n1689-'[2]$ лето'!m1689-'[2]$ лето'!l1689+'[2]$ лето'!k1689+'[2]$ лето'!q1689+'[2]$ лето'!w1689+'[2]$ лето'!ac1689+'[2]$ лето'!ai1689+'[2]$ лето'!ao1689</f>
        <v>0</v>
      </c>
      <c r="I1689" s="109" t="n">
        <f aca="false">'[2]$ лето'!ay1689*1.1</f>
        <v>6149</v>
      </c>
      <c r="J1689" s="113" t="n">
        <v>2014</v>
      </c>
    </row>
    <row r="1690" customFormat="false" ht="15" hidden="true" customHeight="false" outlineLevel="0" collapsed="false">
      <c r="A1690" s="115" t="s">
        <v>2285</v>
      </c>
      <c r="B1690" s="115" t="s">
        <v>801</v>
      </c>
      <c r="C1690" s="116" t="s">
        <v>2288</v>
      </c>
      <c r="D1690" s="116"/>
      <c r="E1690" s="116"/>
      <c r="F1690" s="116"/>
      <c r="G1690" s="108"/>
      <c r="H1690" s="105" t="n">
        <f aca="false">'[2]$ лето'!j1690-'[2]$ лето'!au1690-'[2]$ лето'!at1690-'[2]$ лето'!as1690-'[2]$ лето'!ar1690-'[2]$ лето'!aq1690-'[2]$ лето'!ap1690-'[2]$ лето'!an1690-'[2]$ лето'!am1690-'[2]$ лето'!al1690-'[2]$ лето'!ak1690-'[2]$ лето'!aj1690-'[2]$ лето'!ah1690-'[2]$ лето'!ag1690-'[2]$ лето'!af1690-'[2]$ лето'!ae1690-'[2]$ лето'!ad1690-'[2]$ лето'!ab1690-'[2]$ лето'!aa1690-'[2]$ лето'!z1690-'[2]$ лето'!y1690-'[2]$ лето'!x1690-'[2]$ лето'!v1690-'[2]$ лето'!u1690-'[2]$ лето'!t1690-'[2]$ лето'!s1690-'[2]$ лето'!r1690-'[2]$ лето'!p1690-'[2]$ лето'!o1690-'[2]$ лето'!n1690-'[2]$ лето'!m1690-'[2]$ лето'!l1690+'[2]$ лето'!k1690+'[2]$ лето'!q1690+'[2]$ лето'!w1690+'[2]$ лето'!ac1690+'[2]$ лето'!ai1690+'[2]$ лето'!ao1690</f>
        <v>0</v>
      </c>
      <c r="I1690" s="109" t="n">
        <f aca="false">'[2]$ лето'!ay1690*1.1</f>
        <v>8624</v>
      </c>
      <c r="J1690" s="113"/>
    </row>
    <row r="1691" customFormat="false" ht="15" hidden="false" customHeight="false" outlineLevel="0" collapsed="false">
      <c r="A1691" s="115" t="s">
        <v>2289</v>
      </c>
      <c r="B1691" s="115" t="s">
        <v>792</v>
      </c>
      <c r="C1691" s="116" t="s">
        <v>2290</v>
      </c>
      <c r="D1691" s="116"/>
      <c r="E1691" s="116"/>
      <c r="F1691" s="116"/>
      <c r="G1691" s="108"/>
      <c r="H1691" s="105" t="n">
        <f aca="false">'[2]$ лето'!j1691-'[2]$ лето'!au1691-'[2]$ лето'!at1691-'[2]$ лето'!as1691-'[2]$ лето'!ar1691-'[2]$ лето'!aq1691-'[2]$ лето'!ap1691-'[2]$ лето'!an1691-'[2]$ лето'!am1691-'[2]$ лето'!al1691-'[2]$ лето'!ak1691-'[2]$ лето'!aj1691-'[2]$ лето'!ah1691-'[2]$ лето'!ag1691-'[2]$ лето'!af1691-'[2]$ лето'!ae1691-'[2]$ лето'!ad1691-'[2]$ лето'!ab1691-'[2]$ лето'!aa1691-'[2]$ лето'!z1691-'[2]$ лето'!y1691-'[2]$ лето'!x1691-'[2]$ лето'!v1691-'[2]$ лето'!u1691-'[2]$ лето'!t1691-'[2]$ лето'!s1691-'[2]$ лето'!r1691-'[2]$ лето'!p1691-'[2]$ лето'!o1691-'[2]$ лето'!n1691-'[2]$ лето'!m1691-'[2]$ лето'!l1691+'[2]$ лето'!k1691+'[2]$ лето'!q1691+'[2]$ лето'!w1691+'[2]$ лето'!ac1691+'[2]$ лето'!ai1691+'[2]$ лето'!ao1691</f>
        <v>2</v>
      </c>
      <c r="I1691" s="109" t="n">
        <f aca="false">'[2]$ лето'!ay1691*1.1</f>
        <v>2618</v>
      </c>
      <c r="J1691" s="113" t="n">
        <v>2018</v>
      </c>
    </row>
    <row r="1692" customFormat="false" ht="15" hidden="true" customHeight="false" outlineLevel="0" collapsed="false">
      <c r="A1692" s="115" t="s">
        <v>2289</v>
      </c>
      <c r="B1692" s="115" t="s">
        <v>658</v>
      </c>
      <c r="C1692" s="116" t="s">
        <v>2231</v>
      </c>
      <c r="D1692" s="116"/>
      <c r="E1692" s="116"/>
      <c r="F1692" s="116"/>
      <c r="G1692" s="108"/>
      <c r="H1692" s="105" t="n">
        <f aca="false">'[2]$ лето'!j1692-'[2]$ лето'!au1692-'[2]$ лето'!at1692-'[2]$ лето'!as1692-'[2]$ лето'!ar1692-'[2]$ лето'!aq1692-'[2]$ лето'!ap1692-'[2]$ лето'!an1692-'[2]$ лето'!am1692-'[2]$ лето'!al1692-'[2]$ лето'!ak1692-'[2]$ лето'!aj1692-'[2]$ лето'!ah1692-'[2]$ лето'!ag1692-'[2]$ лето'!af1692-'[2]$ лето'!ae1692-'[2]$ лето'!ad1692-'[2]$ лето'!ab1692-'[2]$ лето'!aa1692-'[2]$ лето'!z1692-'[2]$ лето'!y1692-'[2]$ лето'!x1692-'[2]$ лето'!v1692-'[2]$ лето'!u1692-'[2]$ лето'!t1692-'[2]$ лето'!s1692-'[2]$ лето'!r1692-'[2]$ лето'!p1692-'[2]$ лето'!o1692-'[2]$ лето'!n1692-'[2]$ лето'!m1692-'[2]$ лето'!l1692+'[2]$ лето'!k1692+'[2]$ лето'!q1692+'[2]$ лето'!w1692+'[2]$ лето'!ac1692+'[2]$ лето'!ai1692+'[2]$ лето'!ao1692</f>
        <v>0</v>
      </c>
      <c r="I1692" s="109" t="n">
        <f aca="false">'[2]$ лето'!ay1692*1.1</f>
        <v>5236</v>
      </c>
      <c r="J1692" s="113"/>
    </row>
    <row r="1693" customFormat="false" ht="15" hidden="true" customHeight="false" outlineLevel="0" collapsed="false">
      <c r="A1693" s="115" t="s">
        <v>2289</v>
      </c>
      <c r="B1693" s="115" t="s">
        <v>583</v>
      </c>
      <c r="C1693" s="116" t="s">
        <v>2291</v>
      </c>
      <c r="D1693" s="116"/>
      <c r="E1693" s="116"/>
      <c r="F1693" s="116"/>
      <c r="G1693" s="108" t="s">
        <v>570</v>
      </c>
      <c r="H1693" s="105" t="n">
        <f aca="false">'[2]$ лето'!j1693-'[2]$ лето'!au1693-'[2]$ лето'!at1693-'[2]$ лето'!as1693-'[2]$ лето'!ar1693-'[2]$ лето'!aq1693-'[2]$ лето'!ap1693-'[2]$ лето'!an1693-'[2]$ лето'!am1693-'[2]$ лето'!al1693-'[2]$ лето'!ak1693-'[2]$ лето'!aj1693-'[2]$ лето'!ah1693-'[2]$ лето'!ag1693-'[2]$ лето'!af1693-'[2]$ лето'!ae1693-'[2]$ лето'!ad1693-'[2]$ лето'!ab1693-'[2]$ лето'!aa1693-'[2]$ лето'!z1693-'[2]$ лето'!y1693-'[2]$ лето'!x1693-'[2]$ лето'!v1693-'[2]$ лето'!u1693-'[2]$ лето'!t1693-'[2]$ лето'!s1693-'[2]$ лето'!r1693-'[2]$ лето'!p1693-'[2]$ лето'!o1693-'[2]$ лето'!n1693-'[2]$ лето'!m1693-'[2]$ лето'!l1693+'[2]$ лето'!k1693+'[2]$ лето'!q1693+'[2]$ лето'!w1693+'[2]$ лето'!ac1693+'[2]$ лето'!ai1693+'[2]$ лето'!ao1693</f>
        <v>0</v>
      </c>
      <c r="I1693" s="109" t="n">
        <f aca="false">'[2]$ лето'!ay1693*1.1</f>
        <v>3572.8</v>
      </c>
      <c r="J1693" s="113" t="n">
        <v>2018</v>
      </c>
    </row>
    <row r="1694" customFormat="false" ht="15" hidden="true" customHeight="false" outlineLevel="0" collapsed="false">
      <c r="A1694" s="115" t="s">
        <v>2289</v>
      </c>
      <c r="B1694" s="115" t="s">
        <v>593</v>
      </c>
      <c r="C1694" s="116" t="s">
        <v>2292</v>
      </c>
      <c r="D1694" s="116"/>
      <c r="E1694" s="116"/>
      <c r="F1694" s="116"/>
      <c r="G1694" s="108"/>
      <c r="H1694" s="105" t="n">
        <f aca="false">'[2]$ лето'!j1694-'[2]$ лето'!au1694-'[2]$ лето'!at1694-'[2]$ лето'!as1694-'[2]$ лето'!ar1694-'[2]$ лето'!aq1694-'[2]$ лето'!ap1694-'[2]$ лето'!an1694-'[2]$ лето'!am1694-'[2]$ лето'!al1694-'[2]$ лето'!ak1694-'[2]$ лето'!aj1694-'[2]$ лето'!ah1694-'[2]$ лето'!ag1694-'[2]$ лето'!af1694-'[2]$ лето'!ae1694-'[2]$ лето'!ad1694-'[2]$ лето'!ab1694-'[2]$ лето'!aa1694-'[2]$ лето'!z1694-'[2]$ лето'!y1694-'[2]$ лето'!x1694-'[2]$ лето'!v1694-'[2]$ лето'!u1694-'[2]$ лето'!t1694-'[2]$ лето'!s1694-'[2]$ лето'!r1694-'[2]$ лето'!p1694-'[2]$ лето'!o1694-'[2]$ лето'!n1694-'[2]$ лето'!m1694-'[2]$ лето'!l1694+'[2]$ лето'!k1694+'[2]$ лето'!q1694+'[2]$ лето'!w1694+'[2]$ лето'!ac1694+'[2]$ лето'!ai1694+'[2]$ лето'!ao1694</f>
        <v>0</v>
      </c>
      <c r="I1694" s="109" t="n">
        <f aca="false">'[2]$ лето'!ay1694*1.1</f>
        <v>5544</v>
      </c>
      <c r="J1694" s="113"/>
    </row>
    <row r="1695" customFormat="false" ht="15" hidden="true" customHeight="false" outlineLevel="0" collapsed="false">
      <c r="A1695" s="115" t="s">
        <v>2289</v>
      </c>
      <c r="B1695" s="115" t="s">
        <v>593</v>
      </c>
      <c r="C1695" s="116" t="s">
        <v>2293</v>
      </c>
      <c r="D1695" s="116"/>
      <c r="E1695" s="116"/>
      <c r="F1695" s="116"/>
      <c r="G1695" s="108" t="s">
        <v>1240</v>
      </c>
      <c r="H1695" s="105" t="n">
        <f aca="false">'[2]$ лето'!j1695-'[2]$ лето'!au1695-'[2]$ лето'!at1695-'[2]$ лето'!as1695-'[2]$ лето'!ar1695-'[2]$ лето'!aq1695-'[2]$ лето'!ap1695-'[2]$ лето'!an1695-'[2]$ лето'!am1695-'[2]$ лето'!al1695-'[2]$ лето'!ak1695-'[2]$ лето'!aj1695-'[2]$ лето'!ah1695-'[2]$ лето'!ag1695-'[2]$ лето'!af1695-'[2]$ лето'!ae1695-'[2]$ лето'!ad1695-'[2]$ лето'!ab1695-'[2]$ лето'!aa1695-'[2]$ лето'!z1695-'[2]$ лето'!y1695-'[2]$ лето'!x1695-'[2]$ лето'!v1695-'[2]$ лето'!u1695-'[2]$ лето'!t1695-'[2]$ лето'!s1695-'[2]$ лето'!r1695-'[2]$ лето'!p1695-'[2]$ лето'!o1695-'[2]$ лето'!n1695-'[2]$ лето'!m1695-'[2]$ лето'!l1695+'[2]$ лето'!k1695+'[2]$ лето'!q1695+'[2]$ лето'!w1695+'[2]$ лето'!ac1695+'[2]$ лето'!ai1695+'[2]$ лето'!ao1695</f>
        <v>0</v>
      </c>
      <c r="I1695" s="109" t="n">
        <f aca="false">'[2]$ лето'!ay1695*1.1</f>
        <v>6006</v>
      </c>
      <c r="J1695" s="113" t="n">
        <v>2016</v>
      </c>
    </row>
    <row r="1696" customFormat="false" ht="15" hidden="true" customHeight="false" outlineLevel="0" collapsed="false">
      <c r="A1696" s="115" t="s">
        <v>2289</v>
      </c>
      <c r="B1696" s="115" t="s">
        <v>615</v>
      </c>
      <c r="C1696" s="119" t="s">
        <v>2294</v>
      </c>
      <c r="D1696" s="119"/>
      <c r="E1696" s="119"/>
      <c r="F1696" s="119"/>
      <c r="G1696" s="108"/>
      <c r="H1696" s="105" t="n">
        <f aca="false">'[2]$ лето'!j1696-'[2]$ лето'!au1696-'[2]$ лето'!at1696-'[2]$ лето'!as1696-'[2]$ лето'!ar1696-'[2]$ лето'!aq1696-'[2]$ лето'!ap1696-'[2]$ лето'!an1696-'[2]$ лето'!am1696-'[2]$ лето'!al1696-'[2]$ лето'!ak1696-'[2]$ лето'!aj1696-'[2]$ лето'!ah1696-'[2]$ лето'!ag1696-'[2]$ лето'!af1696-'[2]$ лето'!ae1696-'[2]$ лето'!ad1696-'[2]$ лето'!ab1696-'[2]$ лето'!aa1696-'[2]$ лето'!z1696-'[2]$ лето'!y1696-'[2]$ лето'!x1696-'[2]$ лето'!v1696-'[2]$ лето'!u1696-'[2]$ лето'!t1696-'[2]$ лето'!s1696-'[2]$ лето'!r1696-'[2]$ лето'!p1696-'[2]$ лето'!o1696-'[2]$ лето'!n1696-'[2]$ лето'!m1696-'[2]$ лето'!l1696+'[2]$ лето'!k1696+'[2]$ лето'!q1696+'[2]$ лето'!w1696+'[2]$ лето'!ac1696+'[2]$ лето'!ai1696+'[2]$ лето'!ao1696</f>
        <v>0</v>
      </c>
      <c r="I1696" s="109" t="n">
        <f aca="false">'[2]$ лето'!ay1696*1.1</f>
        <v>3850</v>
      </c>
      <c r="J1696" s="113"/>
    </row>
    <row r="1697" customFormat="false" ht="15" hidden="true" customHeight="false" outlineLevel="0" collapsed="false">
      <c r="A1697" s="115" t="s">
        <v>2289</v>
      </c>
      <c r="B1697" s="115" t="s">
        <v>589</v>
      </c>
      <c r="C1697" s="116" t="s">
        <v>2295</v>
      </c>
      <c r="D1697" s="116"/>
      <c r="E1697" s="116"/>
      <c r="F1697" s="116"/>
      <c r="G1697" s="108"/>
      <c r="H1697" s="105" t="n">
        <f aca="false">'[2]$ лето'!j1697-'[2]$ лето'!au1697-'[2]$ лето'!at1697-'[2]$ лето'!as1697-'[2]$ лето'!ar1697-'[2]$ лето'!aq1697-'[2]$ лето'!ap1697-'[2]$ лето'!an1697-'[2]$ лето'!am1697-'[2]$ лето'!al1697-'[2]$ лето'!ak1697-'[2]$ лето'!aj1697-'[2]$ лето'!ah1697-'[2]$ лето'!ag1697-'[2]$ лето'!af1697-'[2]$ лето'!ae1697-'[2]$ лето'!ad1697-'[2]$ лето'!ab1697-'[2]$ лето'!aa1697-'[2]$ лето'!z1697-'[2]$ лето'!y1697-'[2]$ лето'!x1697-'[2]$ лето'!v1697-'[2]$ лето'!u1697-'[2]$ лето'!t1697-'[2]$ лето'!s1697-'[2]$ лето'!r1697-'[2]$ лето'!p1697-'[2]$ лето'!o1697-'[2]$ лето'!n1697-'[2]$ лето'!m1697-'[2]$ лето'!l1697+'[2]$ лето'!k1697+'[2]$ лето'!q1697+'[2]$ лето'!w1697+'[2]$ лето'!ac1697+'[2]$ лето'!ai1697+'[2]$ лето'!ao1697</f>
        <v>0</v>
      </c>
      <c r="I1697" s="109" t="n">
        <f aca="false">'[2]$ лето'!ay1697*1.1</f>
        <v>5236</v>
      </c>
    </row>
    <row r="1698" customFormat="false" ht="15" hidden="true" customHeight="false" outlineLevel="0" collapsed="false">
      <c r="A1698" s="115" t="s">
        <v>2296</v>
      </c>
      <c r="B1698" s="115" t="s">
        <v>801</v>
      </c>
      <c r="C1698" s="116" t="s">
        <v>2297</v>
      </c>
      <c r="D1698" s="116"/>
      <c r="E1698" s="116"/>
      <c r="F1698" s="116"/>
      <c r="G1698" s="108"/>
      <c r="H1698" s="105" t="n">
        <f aca="false">'[2]$ лето'!j1698-'[2]$ лето'!au1698-'[2]$ лето'!at1698-'[2]$ лето'!as1698-'[2]$ лето'!ar1698-'[2]$ лето'!aq1698-'[2]$ лето'!ap1698-'[2]$ лето'!an1698-'[2]$ лето'!am1698-'[2]$ лето'!al1698-'[2]$ лето'!ak1698-'[2]$ лето'!aj1698-'[2]$ лето'!ah1698-'[2]$ лето'!ag1698-'[2]$ лето'!af1698-'[2]$ лето'!ae1698-'[2]$ лето'!ad1698-'[2]$ лето'!ab1698-'[2]$ лето'!aa1698-'[2]$ лето'!z1698-'[2]$ лето'!y1698-'[2]$ лето'!x1698-'[2]$ лето'!v1698-'[2]$ лето'!u1698-'[2]$ лето'!t1698-'[2]$ лето'!s1698-'[2]$ лето'!r1698-'[2]$ лето'!p1698-'[2]$ лето'!o1698-'[2]$ лето'!n1698-'[2]$ лето'!m1698-'[2]$ лето'!l1698+'[2]$ лето'!k1698+'[2]$ лето'!q1698+'[2]$ лето'!w1698+'[2]$ лето'!ac1698+'[2]$ лето'!ai1698+'[2]$ лето'!ao1698</f>
        <v>0</v>
      </c>
      <c r="I1698" s="109" t="n">
        <f aca="false">'[2]$ лето'!ay1698*1.1</f>
        <v>8531.6</v>
      </c>
    </row>
    <row r="1699" customFormat="false" ht="15" hidden="false" customHeight="false" outlineLevel="0" collapsed="false">
      <c r="A1699" s="120" t="s">
        <v>2298</v>
      </c>
      <c r="B1699" s="121"/>
      <c r="C1699" s="122"/>
      <c r="D1699" s="122"/>
      <c r="E1699" s="122"/>
      <c r="F1699" s="122"/>
      <c r="G1699" s="104"/>
      <c r="H1699" s="105"/>
      <c r="I1699" s="105" t="n">
        <f aca="false">'[2]$ лето'!ay1699*1.1</f>
        <v>0</v>
      </c>
    </row>
    <row r="1700" customFormat="false" ht="15" hidden="true" customHeight="false" outlineLevel="0" collapsed="false">
      <c r="A1700" s="123" t="s">
        <v>2299</v>
      </c>
      <c r="B1700" s="115" t="s">
        <v>1028</v>
      </c>
      <c r="C1700" s="119" t="s">
        <v>2300</v>
      </c>
      <c r="D1700" s="119"/>
      <c r="E1700" s="119"/>
      <c r="F1700" s="119"/>
      <c r="G1700" s="108" t="s">
        <v>876</v>
      </c>
      <c r="H1700" s="105" t="n">
        <f aca="false">'[2]$ лето'!j1700-'[2]$ лето'!au1700-'[2]$ лето'!at1700-'[2]$ лето'!as1700-'[2]$ лето'!ar1700-'[2]$ лето'!aq1700-'[2]$ лето'!ap1700-'[2]$ лето'!an1700-'[2]$ лето'!am1700-'[2]$ лето'!al1700-'[2]$ лето'!ak1700-'[2]$ лето'!aj1700-'[2]$ лето'!ah1700-'[2]$ лето'!ag1700-'[2]$ лето'!af1700-'[2]$ лето'!ae1700-'[2]$ лето'!ad1700-'[2]$ лето'!ab1700-'[2]$ лето'!aa1700-'[2]$ лето'!z1700-'[2]$ лето'!y1700-'[2]$ лето'!x1700-'[2]$ лето'!v1700-'[2]$ лето'!u1700-'[2]$ лето'!t1700-'[2]$ лето'!s1700-'[2]$ лето'!r1700-'[2]$ лето'!p1700-'[2]$ лето'!o1700-'[2]$ лето'!n1700-'[2]$ лето'!m1700-'[2]$ лето'!l1700+'[2]$ лето'!k1700+'[2]$ лето'!q1700+'[2]$ лето'!w1700+'[2]$ лето'!ac1700+'[2]$ лето'!ai1700+'[2]$ лето'!ao1700</f>
        <v>0</v>
      </c>
      <c r="I1700" s="109" t="n">
        <f aca="false">'[2]$ лето'!ay1700*1.1</f>
        <v>4158</v>
      </c>
      <c r="J1700" s="85" t="n">
        <v>2016</v>
      </c>
    </row>
    <row r="1701" customFormat="false" ht="15" hidden="true" customHeight="false" outlineLevel="0" collapsed="false">
      <c r="A1701" s="123" t="s">
        <v>2301</v>
      </c>
      <c r="B1701" s="115" t="s">
        <v>601</v>
      </c>
      <c r="C1701" s="119" t="s">
        <v>2302</v>
      </c>
      <c r="D1701" s="119"/>
      <c r="E1701" s="119"/>
      <c r="F1701" s="119"/>
      <c r="G1701" s="108"/>
      <c r="H1701" s="105" t="n">
        <f aca="false">'[2]$ лето'!j1701-'[2]$ лето'!au1701-'[2]$ лето'!at1701-'[2]$ лето'!as1701-'[2]$ лето'!ar1701-'[2]$ лето'!aq1701-'[2]$ лето'!ap1701-'[2]$ лето'!an1701-'[2]$ лето'!am1701-'[2]$ лето'!al1701-'[2]$ лето'!ak1701-'[2]$ лето'!aj1701-'[2]$ лето'!ah1701-'[2]$ лето'!ag1701-'[2]$ лето'!af1701-'[2]$ лето'!ae1701-'[2]$ лето'!ad1701-'[2]$ лето'!ab1701-'[2]$ лето'!aa1701-'[2]$ лето'!z1701-'[2]$ лето'!y1701-'[2]$ лето'!x1701-'[2]$ лето'!v1701-'[2]$ лето'!u1701-'[2]$ лето'!t1701-'[2]$ лето'!s1701-'[2]$ лето'!r1701-'[2]$ лето'!p1701-'[2]$ лето'!o1701-'[2]$ лето'!n1701-'[2]$ лето'!m1701-'[2]$ лето'!l1701+'[2]$ лето'!k1701+'[2]$ лето'!q1701+'[2]$ лето'!w1701+'[2]$ лето'!ac1701+'[2]$ лето'!ai1701+'[2]$ лето'!ao1701</f>
        <v>0</v>
      </c>
      <c r="I1701" s="109" t="n">
        <f aca="false">'[2]$ лето'!ay1701*1.1</f>
        <v>6776</v>
      </c>
      <c r="J1701" s="85" t="n">
        <v>2016</v>
      </c>
    </row>
    <row r="1702" customFormat="false" ht="15" hidden="true" customHeight="false" outlineLevel="0" collapsed="false">
      <c r="A1702" s="123" t="s">
        <v>2303</v>
      </c>
      <c r="B1702" s="123" t="s">
        <v>589</v>
      </c>
      <c r="C1702" s="116" t="s">
        <v>2304</v>
      </c>
      <c r="D1702" s="116"/>
      <c r="E1702" s="116"/>
      <c r="F1702" s="116"/>
      <c r="G1702" s="108"/>
      <c r="H1702" s="105" t="n">
        <f aca="false">'[2]$ лето'!j1702-'[2]$ лето'!au1702-'[2]$ лето'!at1702-'[2]$ лето'!as1702-'[2]$ лето'!ar1702-'[2]$ лето'!aq1702-'[2]$ лето'!ap1702-'[2]$ лето'!an1702-'[2]$ лето'!am1702-'[2]$ лето'!al1702-'[2]$ лето'!ak1702-'[2]$ лето'!aj1702-'[2]$ лето'!ah1702-'[2]$ лето'!ag1702-'[2]$ лето'!af1702-'[2]$ лето'!ae1702-'[2]$ лето'!ad1702-'[2]$ лето'!ab1702-'[2]$ лето'!aa1702-'[2]$ лето'!z1702-'[2]$ лето'!y1702-'[2]$ лето'!x1702-'[2]$ лето'!v1702-'[2]$ лето'!u1702-'[2]$ лето'!t1702-'[2]$ лето'!s1702-'[2]$ лето'!r1702-'[2]$ лето'!p1702-'[2]$ лето'!o1702-'[2]$ лето'!n1702-'[2]$ лето'!m1702-'[2]$ лето'!l1702+'[2]$ лето'!k1702+'[2]$ лето'!q1702+'[2]$ лето'!w1702+'[2]$ лето'!ac1702+'[2]$ лето'!ai1702+'[2]$ лето'!ao1702</f>
        <v>0</v>
      </c>
      <c r="I1702" s="109" t="n">
        <f aca="false">'[2]$ лето'!ay1702*1.1</f>
        <v>3696</v>
      </c>
    </row>
    <row r="1703" customFormat="false" ht="15" hidden="true" customHeight="false" outlineLevel="0" collapsed="false">
      <c r="A1703" s="123" t="s">
        <v>2305</v>
      </c>
      <c r="B1703" s="123" t="s">
        <v>658</v>
      </c>
      <c r="C1703" s="116" t="s">
        <v>2306</v>
      </c>
      <c r="D1703" s="116"/>
      <c r="E1703" s="116"/>
      <c r="F1703" s="116"/>
      <c r="G1703" s="108"/>
      <c r="H1703" s="105" t="n">
        <f aca="false">'[2]$ лето'!j1703-'[2]$ лето'!au1703-'[2]$ лето'!at1703-'[2]$ лето'!as1703-'[2]$ лето'!ar1703-'[2]$ лето'!aq1703-'[2]$ лето'!ap1703-'[2]$ лето'!an1703-'[2]$ лето'!am1703-'[2]$ лето'!al1703-'[2]$ лето'!ak1703-'[2]$ лето'!aj1703-'[2]$ лето'!ah1703-'[2]$ лето'!ag1703-'[2]$ лето'!af1703-'[2]$ лето'!ae1703-'[2]$ лето'!ad1703-'[2]$ лето'!ab1703-'[2]$ лето'!aa1703-'[2]$ лето'!z1703-'[2]$ лето'!y1703-'[2]$ лето'!x1703-'[2]$ лето'!v1703-'[2]$ лето'!u1703-'[2]$ лето'!t1703-'[2]$ лето'!s1703-'[2]$ лето'!r1703-'[2]$ лето'!p1703-'[2]$ лето'!o1703-'[2]$ лето'!n1703-'[2]$ лето'!m1703-'[2]$ лето'!l1703+'[2]$ лето'!k1703+'[2]$ лето'!q1703+'[2]$ лето'!w1703+'[2]$ лето'!ac1703+'[2]$ лето'!ai1703+'[2]$ лето'!ao1703</f>
        <v>0</v>
      </c>
      <c r="I1703" s="109" t="n">
        <f aca="false">'[2]$ лето'!ay1703*1.1</f>
        <v>6160</v>
      </c>
    </row>
    <row r="1704" customFormat="false" ht="15" hidden="true" customHeight="false" outlineLevel="0" collapsed="false">
      <c r="A1704" s="123" t="s">
        <v>2307</v>
      </c>
      <c r="B1704" s="123" t="s">
        <v>658</v>
      </c>
      <c r="C1704" s="116" t="s">
        <v>2308</v>
      </c>
      <c r="D1704" s="116"/>
      <c r="E1704" s="116"/>
      <c r="F1704" s="116"/>
      <c r="G1704" s="108"/>
      <c r="H1704" s="105" t="n">
        <f aca="false">'[2]$ лето'!j1704-'[2]$ лето'!au1704-'[2]$ лето'!at1704-'[2]$ лето'!as1704-'[2]$ лето'!ar1704-'[2]$ лето'!aq1704-'[2]$ лето'!ap1704-'[2]$ лето'!an1704-'[2]$ лето'!am1704-'[2]$ лето'!al1704-'[2]$ лето'!ak1704-'[2]$ лето'!aj1704-'[2]$ лето'!ah1704-'[2]$ лето'!ag1704-'[2]$ лето'!af1704-'[2]$ лето'!ae1704-'[2]$ лето'!ad1704-'[2]$ лето'!ab1704-'[2]$ лето'!aa1704-'[2]$ лето'!z1704-'[2]$ лето'!y1704-'[2]$ лето'!x1704-'[2]$ лето'!v1704-'[2]$ лето'!u1704-'[2]$ лето'!t1704-'[2]$ лето'!s1704-'[2]$ лето'!r1704-'[2]$ лето'!p1704-'[2]$ лето'!o1704-'[2]$ лето'!n1704-'[2]$ лето'!m1704-'[2]$ лето'!l1704+'[2]$ лето'!k1704+'[2]$ лето'!q1704+'[2]$ лето'!w1704+'[2]$ лето'!ac1704+'[2]$ лето'!ai1704+'[2]$ лето'!ao1704</f>
        <v>0</v>
      </c>
      <c r="I1704" s="109" t="n">
        <f aca="false">'[2]$ лето'!ay1704*1.1</f>
        <v>9240</v>
      </c>
      <c r="J1704" s="85" t="s">
        <v>1827</v>
      </c>
    </row>
    <row r="1705" customFormat="false" ht="15" hidden="true" customHeight="false" outlineLevel="0" collapsed="false">
      <c r="A1705" s="123" t="s">
        <v>2307</v>
      </c>
      <c r="B1705" s="115" t="s">
        <v>606</v>
      </c>
      <c r="C1705" s="116" t="s">
        <v>2309</v>
      </c>
      <c r="D1705" s="116"/>
      <c r="E1705" s="116"/>
      <c r="F1705" s="116"/>
      <c r="G1705" s="108" t="s">
        <v>857</v>
      </c>
      <c r="H1705" s="105" t="n">
        <f aca="false">'[2]$ лето'!j1705-'[2]$ лето'!au1705-'[2]$ лето'!at1705-'[2]$ лето'!as1705-'[2]$ лето'!ar1705-'[2]$ лето'!aq1705-'[2]$ лето'!ap1705-'[2]$ лето'!an1705-'[2]$ лето'!am1705-'[2]$ лето'!al1705-'[2]$ лето'!ak1705-'[2]$ лето'!aj1705-'[2]$ лето'!ah1705-'[2]$ лето'!ag1705-'[2]$ лето'!af1705-'[2]$ лето'!ae1705-'[2]$ лето'!ad1705-'[2]$ лето'!ab1705-'[2]$ лето'!aa1705-'[2]$ лето'!z1705-'[2]$ лето'!y1705-'[2]$ лето'!x1705-'[2]$ лето'!v1705-'[2]$ лето'!u1705-'[2]$ лето'!t1705-'[2]$ лето'!s1705-'[2]$ лето'!r1705-'[2]$ лето'!p1705-'[2]$ лето'!o1705-'[2]$ лето'!n1705-'[2]$ лето'!m1705-'[2]$ лето'!l1705+'[2]$ лето'!k1705+'[2]$ лето'!q1705+'[2]$ лето'!w1705+'[2]$ лето'!ac1705+'[2]$ лето'!ai1705+'[2]$ лето'!ao1705</f>
        <v>0</v>
      </c>
      <c r="I1705" s="109" t="n">
        <f aca="false">'[2]$ лето'!ay1705*1.1</f>
        <v>3911.6</v>
      </c>
    </row>
    <row r="1706" customFormat="false" ht="15" hidden="true" customHeight="false" outlineLevel="0" collapsed="false">
      <c r="A1706" s="123" t="s">
        <v>2307</v>
      </c>
      <c r="B1706" s="123" t="s">
        <v>593</v>
      </c>
      <c r="C1706" s="116" t="s">
        <v>2310</v>
      </c>
      <c r="D1706" s="116"/>
      <c r="E1706" s="116"/>
      <c r="F1706" s="116"/>
      <c r="G1706" s="108" t="s">
        <v>1062</v>
      </c>
      <c r="H1706" s="105" t="n">
        <f aca="false">'[2]$ лето'!j1706-'[2]$ лето'!au1706-'[2]$ лето'!at1706-'[2]$ лето'!as1706-'[2]$ лето'!ar1706-'[2]$ лето'!aq1706-'[2]$ лето'!ap1706-'[2]$ лето'!an1706-'[2]$ лето'!am1706-'[2]$ лето'!al1706-'[2]$ лето'!ak1706-'[2]$ лето'!aj1706-'[2]$ лето'!ah1706-'[2]$ лето'!ag1706-'[2]$ лето'!af1706-'[2]$ лето'!ae1706-'[2]$ лето'!ad1706-'[2]$ лето'!ab1706-'[2]$ лето'!aa1706-'[2]$ лето'!z1706-'[2]$ лето'!y1706-'[2]$ лето'!x1706-'[2]$ лето'!v1706-'[2]$ лето'!u1706-'[2]$ лето'!t1706-'[2]$ лето'!s1706-'[2]$ лето'!r1706-'[2]$ лето'!p1706-'[2]$ лето'!o1706-'[2]$ лето'!n1706-'[2]$ лето'!m1706-'[2]$ лето'!l1706+'[2]$ лето'!k1706+'[2]$ лето'!q1706+'[2]$ лето'!w1706+'[2]$ лето'!ac1706+'[2]$ лето'!ai1706+'[2]$ лето'!ao1706</f>
        <v>0</v>
      </c>
      <c r="I1706" s="109" t="n">
        <f aca="false">'[2]$ лето'!ay1706*1.1</f>
        <v>4620</v>
      </c>
    </row>
    <row r="1707" customFormat="false" ht="15" hidden="false" customHeight="false" outlineLevel="0" collapsed="false">
      <c r="A1707" s="123" t="s">
        <v>2307</v>
      </c>
      <c r="B1707" s="123" t="s">
        <v>615</v>
      </c>
      <c r="C1707" s="116" t="s">
        <v>2311</v>
      </c>
      <c r="D1707" s="116"/>
      <c r="E1707" s="116" t="n">
        <v>109</v>
      </c>
      <c r="F1707" s="116" t="s">
        <v>970</v>
      </c>
      <c r="G1707" s="108"/>
      <c r="H1707" s="105" t="n">
        <f aca="false">'[2]$ лето'!j1707-'[2]$ лето'!au1707-'[2]$ лето'!at1707-'[2]$ лето'!as1707-'[2]$ лето'!ar1707-'[2]$ лето'!aq1707-'[2]$ лето'!ap1707-'[2]$ лето'!an1707-'[2]$ лето'!am1707-'[2]$ лето'!al1707-'[2]$ лето'!ak1707-'[2]$ лето'!aj1707-'[2]$ лето'!ah1707-'[2]$ лето'!ag1707-'[2]$ лето'!af1707-'[2]$ лето'!ae1707-'[2]$ лето'!ad1707-'[2]$ лето'!ab1707-'[2]$ лето'!aa1707-'[2]$ лето'!z1707-'[2]$ лето'!y1707-'[2]$ лето'!x1707-'[2]$ лето'!v1707-'[2]$ лето'!u1707-'[2]$ лето'!t1707-'[2]$ лето'!s1707-'[2]$ лето'!r1707-'[2]$ лето'!p1707-'[2]$ лето'!o1707-'[2]$ лето'!n1707-'[2]$ лето'!m1707-'[2]$ лето'!l1707+'[2]$ лето'!k1707+'[2]$ лето'!q1707+'[2]$ лето'!w1707+'[2]$ лето'!ac1707+'[2]$ лето'!ai1707+'[2]$ лето'!ao1707</f>
        <v>4</v>
      </c>
      <c r="I1707" s="109" t="n">
        <f aca="false">'[2]$ лето'!ay1707*1.1</f>
        <v>3080</v>
      </c>
    </row>
    <row r="1708" customFormat="false" ht="15" hidden="true" customHeight="false" outlineLevel="0" collapsed="false">
      <c r="A1708" s="123" t="s">
        <v>2307</v>
      </c>
      <c r="B1708" s="123" t="s">
        <v>589</v>
      </c>
      <c r="C1708" s="116" t="s">
        <v>2312</v>
      </c>
      <c r="D1708" s="116"/>
      <c r="E1708" s="116"/>
      <c r="F1708" s="116"/>
      <c r="G1708" s="108"/>
      <c r="H1708" s="105" t="n">
        <f aca="false">'[2]$ лето'!j1708-'[2]$ лето'!au1708-'[2]$ лето'!at1708-'[2]$ лето'!as1708-'[2]$ лето'!ar1708-'[2]$ лето'!aq1708-'[2]$ лето'!ap1708-'[2]$ лето'!an1708-'[2]$ лето'!am1708-'[2]$ лето'!al1708-'[2]$ лето'!ak1708-'[2]$ лето'!aj1708-'[2]$ лето'!ah1708-'[2]$ лето'!ag1708-'[2]$ лето'!af1708-'[2]$ лето'!ae1708-'[2]$ лето'!ad1708-'[2]$ лето'!ab1708-'[2]$ лето'!aa1708-'[2]$ лето'!z1708-'[2]$ лето'!y1708-'[2]$ лето'!x1708-'[2]$ лето'!v1708-'[2]$ лето'!u1708-'[2]$ лето'!t1708-'[2]$ лето'!s1708-'[2]$ лето'!r1708-'[2]$ лето'!p1708-'[2]$ лето'!o1708-'[2]$ лето'!n1708-'[2]$ лето'!m1708-'[2]$ лето'!l1708+'[2]$ лето'!k1708+'[2]$ лето'!q1708+'[2]$ лето'!w1708+'[2]$ лето'!ac1708+'[2]$ лето'!ai1708+'[2]$ лето'!ao1708</f>
        <v>0</v>
      </c>
      <c r="I1708" s="109" t="n">
        <f aca="false">'[2]$ лето'!ay1708*1.1</f>
        <v>4928</v>
      </c>
      <c r="J1708" s="85" t="n">
        <v>2016</v>
      </c>
    </row>
    <row r="1709" customFormat="false" ht="15" hidden="false" customHeight="false" outlineLevel="0" collapsed="false">
      <c r="A1709" s="123" t="s">
        <v>2313</v>
      </c>
      <c r="B1709" s="123" t="s">
        <v>658</v>
      </c>
      <c r="C1709" s="116" t="s">
        <v>2314</v>
      </c>
      <c r="D1709" s="116"/>
      <c r="E1709" s="116"/>
      <c r="F1709" s="116"/>
      <c r="G1709" s="108" t="s">
        <v>585</v>
      </c>
      <c r="H1709" s="105" t="n">
        <f aca="false">'[2]$ лето'!j1709-'[2]$ лето'!au1709-'[2]$ лето'!at1709-'[2]$ лето'!as1709-'[2]$ лето'!ar1709-'[2]$ лето'!aq1709-'[2]$ лето'!ap1709-'[2]$ лето'!an1709-'[2]$ лето'!am1709-'[2]$ лето'!al1709-'[2]$ лето'!ak1709-'[2]$ лето'!aj1709-'[2]$ лето'!ah1709-'[2]$ лето'!ag1709-'[2]$ лето'!af1709-'[2]$ лето'!ae1709-'[2]$ лето'!ad1709-'[2]$ лето'!ab1709-'[2]$ лето'!aa1709-'[2]$ лето'!z1709-'[2]$ лето'!y1709-'[2]$ лето'!x1709-'[2]$ лето'!v1709-'[2]$ лето'!u1709-'[2]$ лето'!t1709-'[2]$ лето'!s1709-'[2]$ лето'!r1709-'[2]$ лето'!p1709-'[2]$ лето'!o1709-'[2]$ лето'!n1709-'[2]$ лето'!m1709-'[2]$ лето'!l1709+'[2]$ лето'!k1709+'[2]$ лето'!q1709+'[2]$ лето'!w1709+'[2]$ лето'!ac1709+'[2]$ лето'!ai1709+'[2]$ лето'!ao1709</f>
        <v>4</v>
      </c>
      <c r="I1709" s="109" t="n">
        <f aca="false">'[2]$ лето'!ay1709*1.1</f>
        <v>8008</v>
      </c>
      <c r="J1709" s="85" t="n">
        <v>2017</v>
      </c>
    </row>
    <row r="1710" customFormat="false" ht="15" hidden="false" customHeight="false" outlineLevel="0" collapsed="false">
      <c r="A1710" s="123" t="s">
        <v>2313</v>
      </c>
      <c r="B1710" s="123" t="s">
        <v>668</v>
      </c>
      <c r="C1710" s="116" t="s">
        <v>1312</v>
      </c>
      <c r="D1710" s="116"/>
      <c r="E1710" s="116"/>
      <c r="F1710" s="116"/>
      <c r="G1710" s="108" t="s">
        <v>609</v>
      </c>
      <c r="H1710" s="105" t="n">
        <f aca="false">'[2]$ лето'!j1710-'[2]$ лето'!au1710-'[2]$ лето'!at1710-'[2]$ лето'!as1710-'[2]$ лето'!ar1710-'[2]$ лето'!aq1710-'[2]$ лето'!ap1710-'[2]$ лето'!an1710-'[2]$ лето'!am1710-'[2]$ лето'!al1710-'[2]$ лето'!ak1710-'[2]$ лето'!aj1710-'[2]$ лето'!ah1710-'[2]$ лето'!ag1710-'[2]$ лето'!af1710-'[2]$ лето'!ae1710-'[2]$ лето'!ad1710-'[2]$ лето'!ab1710-'[2]$ лето'!aa1710-'[2]$ лето'!z1710-'[2]$ лето'!y1710-'[2]$ лето'!x1710-'[2]$ лето'!v1710-'[2]$ лето'!u1710-'[2]$ лето'!t1710-'[2]$ лето'!s1710-'[2]$ лето'!r1710-'[2]$ лето'!p1710-'[2]$ лето'!o1710-'[2]$ лето'!n1710-'[2]$ лето'!m1710-'[2]$ лето'!l1710+'[2]$ лето'!k1710+'[2]$ лето'!q1710+'[2]$ лето'!w1710+'[2]$ лето'!ac1710+'[2]$ лето'!ai1710+'[2]$ лето'!ao1710</f>
        <v>4</v>
      </c>
      <c r="I1710" s="109" t="n">
        <f aca="false">'[2]$ лето'!ay1710*1.1</f>
        <v>4510</v>
      </c>
      <c r="J1710" s="85" t="n">
        <v>2017</v>
      </c>
    </row>
    <row r="1711" customFormat="false" ht="15" hidden="true" customHeight="false" outlineLevel="0" collapsed="false">
      <c r="A1711" s="123" t="s">
        <v>2313</v>
      </c>
      <c r="B1711" s="123" t="s">
        <v>593</v>
      </c>
      <c r="C1711" s="116" t="s">
        <v>2315</v>
      </c>
      <c r="D1711" s="116"/>
      <c r="E1711" s="116"/>
      <c r="F1711" s="116"/>
      <c r="G1711" s="108" t="s">
        <v>1037</v>
      </c>
      <c r="H1711" s="105" t="n">
        <f aca="false">'[2]$ лето'!j1711-'[2]$ лето'!au1711-'[2]$ лето'!at1711-'[2]$ лето'!as1711-'[2]$ лето'!ar1711-'[2]$ лето'!aq1711-'[2]$ лето'!ap1711-'[2]$ лето'!an1711-'[2]$ лето'!am1711-'[2]$ лето'!al1711-'[2]$ лето'!ak1711-'[2]$ лето'!aj1711-'[2]$ лето'!ah1711-'[2]$ лето'!ag1711-'[2]$ лето'!af1711-'[2]$ лето'!ae1711-'[2]$ лето'!ad1711-'[2]$ лето'!ab1711-'[2]$ лето'!aa1711-'[2]$ лето'!z1711-'[2]$ лето'!y1711-'[2]$ лето'!x1711-'[2]$ лето'!v1711-'[2]$ лето'!u1711-'[2]$ лето'!t1711-'[2]$ лето'!s1711-'[2]$ лето'!r1711-'[2]$ лето'!p1711-'[2]$ лето'!o1711-'[2]$ лето'!n1711-'[2]$ лето'!m1711-'[2]$ лето'!l1711+'[2]$ лето'!k1711+'[2]$ лето'!q1711+'[2]$ лето'!w1711+'[2]$ лето'!ac1711+'[2]$ лето'!ai1711+'[2]$ лето'!ao1711</f>
        <v>0</v>
      </c>
      <c r="I1711" s="109" t="n">
        <f aca="false">'[2]$ лето'!ay1711*1.1</f>
        <v>7176.4</v>
      </c>
      <c r="J1711" s="85" t="n">
        <v>2017</v>
      </c>
    </row>
    <row r="1712" customFormat="false" ht="15" hidden="false" customHeight="false" outlineLevel="0" collapsed="false">
      <c r="A1712" s="123" t="s">
        <v>2313</v>
      </c>
      <c r="B1712" s="123" t="s">
        <v>619</v>
      </c>
      <c r="C1712" s="116" t="s">
        <v>2316</v>
      </c>
      <c r="D1712" s="116"/>
      <c r="E1712" s="116"/>
      <c r="F1712" s="116"/>
      <c r="G1712" s="108"/>
      <c r="H1712" s="105" t="n">
        <f aca="false">'[2]$ лето'!j1712-'[2]$ лето'!au1712-'[2]$ лето'!at1712-'[2]$ лето'!as1712-'[2]$ лето'!ar1712-'[2]$ лето'!aq1712-'[2]$ лето'!ap1712-'[2]$ лето'!an1712-'[2]$ лето'!am1712-'[2]$ лето'!al1712-'[2]$ лето'!ak1712-'[2]$ лето'!aj1712-'[2]$ лето'!ah1712-'[2]$ лето'!ag1712-'[2]$ лето'!af1712-'[2]$ лето'!ae1712-'[2]$ лето'!ad1712-'[2]$ лето'!ab1712-'[2]$ лето'!aa1712-'[2]$ лето'!z1712-'[2]$ лето'!y1712-'[2]$ лето'!x1712-'[2]$ лето'!v1712-'[2]$ лето'!u1712-'[2]$ лето'!t1712-'[2]$ лето'!s1712-'[2]$ лето'!r1712-'[2]$ лето'!p1712-'[2]$ лето'!o1712-'[2]$ лето'!n1712-'[2]$ лето'!m1712-'[2]$ лето'!l1712+'[2]$ лето'!k1712+'[2]$ лето'!q1712+'[2]$ лето'!w1712+'[2]$ лето'!ac1712+'[2]$ лето'!ai1712+'[2]$ лето'!ao1712</f>
        <v>8</v>
      </c>
      <c r="I1712" s="109" t="n">
        <f aca="false">'[2]$ лето'!ay1712*1.1</f>
        <v>3942.4</v>
      </c>
    </row>
    <row r="1713" customFormat="false" ht="15" hidden="false" customHeight="false" outlineLevel="0" collapsed="false">
      <c r="A1713" s="123" t="s">
        <v>2317</v>
      </c>
      <c r="B1713" s="123" t="s">
        <v>658</v>
      </c>
      <c r="C1713" s="116" t="s">
        <v>2318</v>
      </c>
      <c r="D1713" s="116"/>
      <c r="E1713" s="116"/>
      <c r="F1713" s="116"/>
      <c r="G1713" s="108" t="s">
        <v>570</v>
      </c>
      <c r="H1713" s="105" t="n">
        <f aca="false">'[2]$ лето'!j1713-'[2]$ лето'!au1713-'[2]$ лето'!at1713-'[2]$ лето'!as1713-'[2]$ лето'!ar1713-'[2]$ лето'!aq1713-'[2]$ лето'!ap1713-'[2]$ лето'!an1713-'[2]$ лето'!am1713-'[2]$ лето'!al1713-'[2]$ лето'!ak1713-'[2]$ лето'!aj1713-'[2]$ лето'!ah1713-'[2]$ лето'!ag1713-'[2]$ лето'!af1713-'[2]$ лето'!ae1713-'[2]$ лето'!ad1713-'[2]$ лето'!ab1713-'[2]$ лето'!aa1713-'[2]$ лето'!z1713-'[2]$ лето'!y1713-'[2]$ лето'!x1713-'[2]$ лето'!v1713-'[2]$ лето'!u1713-'[2]$ лето'!t1713-'[2]$ лето'!s1713-'[2]$ лето'!r1713-'[2]$ лето'!p1713-'[2]$ лето'!o1713-'[2]$ лето'!n1713-'[2]$ лето'!m1713-'[2]$ лето'!l1713+'[2]$ лето'!k1713+'[2]$ лето'!q1713+'[2]$ лето'!w1713+'[2]$ лето'!ac1713+'[2]$ лето'!ai1713+'[2]$ лето'!ao1713</f>
        <v>4</v>
      </c>
      <c r="I1713" s="109" t="n">
        <f aca="false">'[2]$ лето'!ay1713*1.1</f>
        <v>6930</v>
      </c>
    </row>
    <row r="1714" customFormat="false" ht="15" hidden="true" customHeight="false" outlineLevel="0" collapsed="false">
      <c r="A1714" s="123" t="s">
        <v>2319</v>
      </c>
      <c r="B1714" s="123" t="s">
        <v>658</v>
      </c>
      <c r="C1714" s="116" t="s">
        <v>2320</v>
      </c>
      <c r="D1714" s="116"/>
      <c r="E1714" s="116"/>
      <c r="F1714" s="116"/>
      <c r="G1714" s="108" t="s">
        <v>640</v>
      </c>
      <c r="H1714" s="105" t="n">
        <f aca="false">'[2]$ лето'!j1714-'[2]$ лето'!au1714-'[2]$ лето'!at1714-'[2]$ лето'!as1714-'[2]$ лето'!ar1714-'[2]$ лето'!aq1714-'[2]$ лето'!ap1714-'[2]$ лето'!an1714-'[2]$ лето'!am1714-'[2]$ лето'!al1714-'[2]$ лето'!ak1714-'[2]$ лето'!aj1714-'[2]$ лето'!ah1714-'[2]$ лето'!ag1714-'[2]$ лето'!af1714-'[2]$ лето'!ae1714-'[2]$ лето'!ad1714-'[2]$ лето'!ab1714-'[2]$ лето'!aa1714-'[2]$ лето'!z1714-'[2]$ лето'!y1714-'[2]$ лето'!x1714-'[2]$ лето'!v1714-'[2]$ лето'!u1714-'[2]$ лето'!t1714-'[2]$ лето'!s1714-'[2]$ лето'!r1714-'[2]$ лето'!p1714-'[2]$ лето'!o1714-'[2]$ лето'!n1714-'[2]$ лето'!m1714-'[2]$ лето'!l1714+'[2]$ лето'!k1714+'[2]$ лето'!q1714+'[2]$ лето'!w1714+'[2]$ лето'!ac1714+'[2]$ лето'!ai1714+'[2]$ лето'!ao1714</f>
        <v>0</v>
      </c>
      <c r="I1714" s="109" t="n">
        <f aca="false">'[2]$ лето'!ay1714*1.1</f>
        <v>8316</v>
      </c>
      <c r="J1714" s="85" t="n">
        <v>2018</v>
      </c>
    </row>
    <row r="1715" customFormat="false" ht="15" hidden="false" customHeight="false" outlineLevel="0" collapsed="false">
      <c r="A1715" s="129" t="s">
        <v>2319</v>
      </c>
      <c r="B1715" s="129" t="s">
        <v>2286</v>
      </c>
      <c r="C1715" s="131"/>
      <c r="D1715" s="131"/>
      <c r="E1715" s="131"/>
      <c r="F1715" s="131"/>
      <c r="G1715" s="132"/>
      <c r="H1715" s="105" t="n">
        <f aca="false">'[2]$ лето'!j1715-'[2]$ лето'!au1715-'[2]$ лето'!at1715-'[2]$ лето'!as1715-'[2]$ лето'!ar1715-'[2]$ лето'!aq1715-'[2]$ лето'!ap1715-'[2]$ лето'!an1715-'[2]$ лето'!am1715-'[2]$ лето'!al1715-'[2]$ лето'!ak1715-'[2]$ лето'!aj1715-'[2]$ лето'!ah1715-'[2]$ лето'!ag1715-'[2]$ лето'!af1715-'[2]$ лето'!ae1715-'[2]$ лето'!ad1715-'[2]$ лето'!ab1715-'[2]$ лето'!aa1715-'[2]$ лето'!z1715-'[2]$ лето'!y1715-'[2]$ лето'!x1715-'[2]$ лето'!v1715-'[2]$ лето'!u1715-'[2]$ лето'!t1715-'[2]$ лето'!s1715-'[2]$ лето'!r1715-'[2]$ лето'!p1715-'[2]$ лето'!o1715-'[2]$ лето'!n1715-'[2]$ лето'!m1715-'[2]$ лето'!l1715+'[2]$ лето'!k1715+'[2]$ лето'!q1715+'[2]$ лето'!w1715+'[2]$ лето'!ac1715+'[2]$ лето'!ai1715+'[2]$ лето'!ao1715</f>
        <v>1</v>
      </c>
      <c r="I1715" s="109" t="n">
        <f aca="false">'[2]$ лето'!ay1715*1.1</f>
        <v>825</v>
      </c>
    </row>
    <row r="1716" customFormat="false" ht="15" hidden="true" customHeight="false" outlineLevel="0" collapsed="false">
      <c r="A1716" s="123" t="s">
        <v>2319</v>
      </c>
      <c r="B1716" s="115" t="s">
        <v>606</v>
      </c>
      <c r="C1716" s="116" t="s">
        <v>2321</v>
      </c>
      <c r="D1716" s="116"/>
      <c r="E1716" s="116"/>
      <c r="F1716" s="116"/>
      <c r="G1716" s="108"/>
      <c r="H1716" s="105" t="n">
        <f aca="false">'[2]$ лето'!j1716-'[2]$ лето'!au1716-'[2]$ лето'!at1716-'[2]$ лето'!as1716-'[2]$ лето'!ar1716-'[2]$ лето'!aq1716-'[2]$ лето'!ap1716-'[2]$ лето'!an1716-'[2]$ лето'!am1716-'[2]$ лето'!al1716-'[2]$ лето'!ak1716-'[2]$ лето'!aj1716-'[2]$ лето'!ah1716-'[2]$ лето'!ag1716-'[2]$ лето'!af1716-'[2]$ лето'!ae1716-'[2]$ лето'!ad1716-'[2]$ лето'!ab1716-'[2]$ лето'!aa1716-'[2]$ лето'!z1716-'[2]$ лето'!y1716-'[2]$ лето'!x1716-'[2]$ лето'!v1716-'[2]$ лето'!u1716-'[2]$ лето'!t1716-'[2]$ лето'!s1716-'[2]$ лето'!r1716-'[2]$ лето'!p1716-'[2]$ лето'!o1716-'[2]$ лето'!n1716-'[2]$ лето'!m1716-'[2]$ лето'!l1716+'[2]$ лето'!k1716+'[2]$ лето'!q1716+'[2]$ лето'!w1716+'[2]$ лето'!ac1716+'[2]$ лето'!ai1716+'[2]$ лето'!ao1716</f>
        <v>0</v>
      </c>
      <c r="I1716" s="109" t="n">
        <f aca="false">'[2]$ лето'!ay1716*1.1</f>
        <v>4804.8</v>
      </c>
      <c r="J1716" s="85" t="n">
        <v>2018</v>
      </c>
    </row>
    <row r="1717" customFormat="false" ht="15" hidden="false" customHeight="false" outlineLevel="0" collapsed="false">
      <c r="A1717" s="129" t="s">
        <v>2319</v>
      </c>
      <c r="B1717" s="129" t="s">
        <v>593</v>
      </c>
      <c r="C1717" s="131" t="s">
        <v>2322</v>
      </c>
      <c r="D1717" s="131"/>
      <c r="E1717" s="131"/>
      <c r="F1717" s="131"/>
      <c r="G1717" s="132"/>
      <c r="H1717" s="105" t="n">
        <f aca="false">'[2]$ лето'!j1717-'[2]$ лето'!au1717-'[2]$ лето'!at1717-'[2]$ лето'!as1717-'[2]$ лето'!ar1717-'[2]$ лето'!aq1717-'[2]$ лето'!ap1717-'[2]$ лето'!an1717-'[2]$ лето'!am1717-'[2]$ лето'!al1717-'[2]$ лето'!ak1717-'[2]$ лето'!aj1717-'[2]$ лето'!ah1717-'[2]$ лето'!ag1717-'[2]$ лето'!af1717-'[2]$ лето'!ae1717-'[2]$ лето'!ad1717-'[2]$ лето'!ab1717-'[2]$ лето'!aa1717-'[2]$ лето'!z1717-'[2]$ лето'!y1717-'[2]$ лето'!x1717-'[2]$ лето'!v1717-'[2]$ лето'!u1717-'[2]$ лето'!t1717-'[2]$ лето'!s1717-'[2]$ лето'!r1717-'[2]$ лето'!p1717-'[2]$ лето'!o1717-'[2]$ лето'!n1717-'[2]$ лето'!m1717-'[2]$ лето'!l1717+'[2]$ лето'!k1717+'[2]$ лето'!q1717+'[2]$ лето'!w1717+'[2]$ лето'!ac1717+'[2]$ лето'!ai1717+'[2]$ лето'!ao1717</f>
        <v>2</v>
      </c>
      <c r="I1717" s="133" t="n">
        <f aca="false">'[2]$ лето'!ay1717*1.1</f>
        <v>0</v>
      </c>
      <c r="J1717" s="85" t="n">
        <v>2016</v>
      </c>
    </row>
    <row r="1718" customFormat="false" ht="15" hidden="false" customHeight="false" outlineLevel="0" collapsed="false">
      <c r="A1718" s="115" t="s">
        <v>2319</v>
      </c>
      <c r="B1718" s="115" t="s">
        <v>593</v>
      </c>
      <c r="C1718" s="116" t="s">
        <v>2323</v>
      </c>
      <c r="D1718" s="116"/>
      <c r="E1718" s="116"/>
      <c r="F1718" s="116"/>
      <c r="G1718" s="108" t="s">
        <v>849</v>
      </c>
      <c r="H1718" s="105" t="n">
        <f aca="false">'[2]$ лето'!j1718-'[2]$ лето'!au1718-'[2]$ лето'!at1718-'[2]$ лето'!as1718-'[2]$ лето'!ar1718-'[2]$ лето'!aq1718-'[2]$ лето'!ap1718-'[2]$ лето'!an1718-'[2]$ лето'!am1718-'[2]$ лето'!al1718-'[2]$ лето'!ak1718-'[2]$ лето'!aj1718-'[2]$ лето'!ah1718-'[2]$ лето'!ag1718-'[2]$ лето'!af1718-'[2]$ лето'!ae1718-'[2]$ лето'!ad1718-'[2]$ лето'!ab1718-'[2]$ лето'!aa1718-'[2]$ лето'!z1718-'[2]$ лето'!y1718-'[2]$ лето'!x1718-'[2]$ лето'!v1718-'[2]$ лето'!u1718-'[2]$ лето'!t1718-'[2]$ лето'!s1718-'[2]$ лето'!r1718-'[2]$ лето'!p1718-'[2]$ лето'!o1718-'[2]$ лето'!n1718-'[2]$ лето'!m1718-'[2]$ лето'!l1718+'[2]$ лето'!k1718+'[2]$ лето'!q1718+'[2]$ лето'!w1718+'[2]$ лето'!ac1718+'[2]$ лето'!ai1718+'[2]$ лето'!ao1718</f>
        <v>6</v>
      </c>
      <c r="I1718" s="109" t="n">
        <f aca="false">'[2]$ лето'!ay1718*1.1</f>
        <v>8008</v>
      </c>
      <c r="J1718" s="85" t="n">
        <v>2018</v>
      </c>
    </row>
    <row r="1719" customFormat="false" ht="15" hidden="true" customHeight="false" outlineLevel="0" collapsed="false">
      <c r="A1719" s="123" t="s">
        <v>2319</v>
      </c>
      <c r="B1719" s="123" t="s">
        <v>615</v>
      </c>
      <c r="C1719" s="107" t="s">
        <v>2324</v>
      </c>
      <c r="D1719" s="107"/>
      <c r="E1719" s="107"/>
      <c r="F1719" s="107"/>
      <c r="G1719" s="108"/>
      <c r="H1719" s="105" t="n">
        <f aca="false">'[2]$ лето'!j1719-'[2]$ лето'!au1719-'[2]$ лето'!at1719-'[2]$ лето'!as1719-'[2]$ лето'!ar1719-'[2]$ лето'!aq1719-'[2]$ лето'!ap1719-'[2]$ лето'!an1719-'[2]$ лето'!am1719-'[2]$ лето'!al1719-'[2]$ лето'!ak1719-'[2]$ лето'!aj1719-'[2]$ лето'!ah1719-'[2]$ лето'!ag1719-'[2]$ лето'!af1719-'[2]$ лето'!ae1719-'[2]$ лето'!ad1719-'[2]$ лето'!ab1719-'[2]$ лето'!aa1719-'[2]$ лето'!z1719-'[2]$ лето'!y1719-'[2]$ лето'!x1719-'[2]$ лето'!v1719-'[2]$ лето'!u1719-'[2]$ лето'!t1719-'[2]$ лето'!s1719-'[2]$ лето'!r1719-'[2]$ лето'!p1719-'[2]$ лето'!o1719-'[2]$ лето'!n1719-'[2]$ лето'!m1719-'[2]$ лето'!l1719+'[2]$ лето'!k1719+'[2]$ лето'!q1719+'[2]$ лето'!w1719+'[2]$ лето'!ac1719+'[2]$ лето'!ai1719+'[2]$ лето'!ao1719</f>
        <v>0</v>
      </c>
      <c r="I1719" s="109" t="n">
        <f aca="false">'[2]$ лето'!ay1719*1.1</f>
        <v>3696</v>
      </c>
    </row>
    <row r="1720" customFormat="false" ht="15" hidden="true" customHeight="false" outlineLevel="0" collapsed="false">
      <c r="A1720" s="123" t="s">
        <v>2319</v>
      </c>
      <c r="B1720" s="123" t="s">
        <v>619</v>
      </c>
      <c r="C1720" s="107" t="s">
        <v>2316</v>
      </c>
      <c r="D1720" s="107"/>
      <c r="E1720" s="107"/>
      <c r="F1720" s="107"/>
      <c r="G1720" s="108"/>
      <c r="H1720" s="105" t="n">
        <f aca="false">'[2]$ лето'!j1720-'[2]$ лето'!au1720-'[2]$ лето'!at1720-'[2]$ лето'!as1720-'[2]$ лето'!ar1720-'[2]$ лето'!aq1720-'[2]$ лето'!ap1720-'[2]$ лето'!an1720-'[2]$ лето'!am1720-'[2]$ лето'!al1720-'[2]$ лето'!ak1720-'[2]$ лето'!aj1720-'[2]$ лето'!ah1720-'[2]$ лето'!ag1720-'[2]$ лето'!af1720-'[2]$ лето'!ae1720-'[2]$ лето'!ad1720-'[2]$ лето'!ab1720-'[2]$ лето'!aa1720-'[2]$ лето'!z1720-'[2]$ лето'!y1720-'[2]$ лето'!x1720-'[2]$ лето'!v1720-'[2]$ лето'!u1720-'[2]$ лето'!t1720-'[2]$ лето'!s1720-'[2]$ лето'!r1720-'[2]$ лето'!p1720-'[2]$ лето'!o1720-'[2]$ лето'!n1720-'[2]$ лето'!m1720-'[2]$ лето'!l1720+'[2]$ лето'!k1720+'[2]$ лето'!q1720+'[2]$ лето'!w1720+'[2]$ лето'!ac1720+'[2]$ лето'!ai1720+'[2]$ лето'!ao1720</f>
        <v>0</v>
      </c>
      <c r="I1720" s="109" t="n">
        <f aca="false">'[2]$ лето'!ay1720*1.1</f>
        <v>3388</v>
      </c>
    </row>
    <row r="1721" customFormat="false" ht="15" hidden="true" customHeight="false" outlineLevel="0" collapsed="false">
      <c r="A1721" s="123" t="s">
        <v>2319</v>
      </c>
      <c r="B1721" s="123" t="s">
        <v>589</v>
      </c>
      <c r="C1721" s="116" t="s">
        <v>2325</v>
      </c>
      <c r="D1721" s="116"/>
      <c r="E1721" s="116"/>
      <c r="F1721" s="116"/>
      <c r="G1721" s="108"/>
      <c r="H1721" s="105" t="n">
        <f aca="false">'[2]$ лето'!j1721-'[2]$ лето'!au1721-'[2]$ лето'!at1721-'[2]$ лето'!as1721-'[2]$ лето'!ar1721-'[2]$ лето'!aq1721-'[2]$ лето'!ap1721-'[2]$ лето'!an1721-'[2]$ лето'!am1721-'[2]$ лето'!al1721-'[2]$ лето'!ak1721-'[2]$ лето'!aj1721-'[2]$ лето'!ah1721-'[2]$ лето'!ag1721-'[2]$ лето'!af1721-'[2]$ лето'!ae1721-'[2]$ лето'!ad1721-'[2]$ лето'!ab1721-'[2]$ лето'!aa1721-'[2]$ лето'!z1721-'[2]$ лето'!y1721-'[2]$ лето'!x1721-'[2]$ лето'!v1721-'[2]$ лето'!u1721-'[2]$ лето'!t1721-'[2]$ лето'!s1721-'[2]$ лето'!r1721-'[2]$ лето'!p1721-'[2]$ лето'!o1721-'[2]$ лето'!n1721-'[2]$ лето'!m1721-'[2]$ лето'!l1721+'[2]$ лето'!k1721+'[2]$ лето'!q1721+'[2]$ лето'!w1721+'[2]$ лето'!ac1721+'[2]$ лето'!ai1721+'[2]$ лето'!ao1721</f>
        <v>0</v>
      </c>
      <c r="I1721" s="109" t="n">
        <f aca="false">'[2]$ лето'!ay1721*1.1</f>
        <v>5852</v>
      </c>
    </row>
    <row r="1722" customFormat="false" ht="15" hidden="true" customHeight="false" outlineLevel="0" collapsed="false">
      <c r="A1722" s="123" t="s">
        <v>2319</v>
      </c>
      <c r="B1722" s="123" t="s">
        <v>589</v>
      </c>
      <c r="C1722" s="116" t="s">
        <v>2326</v>
      </c>
      <c r="D1722" s="116"/>
      <c r="E1722" s="116"/>
      <c r="F1722" s="116"/>
      <c r="G1722" s="108"/>
      <c r="H1722" s="105" t="n">
        <f aca="false">'[2]$ лето'!j1722-'[2]$ лето'!au1722-'[2]$ лето'!at1722-'[2]$ лето'!as1722-'[2]$ лето'!ar1722-'[2]$ лето'!aq1722-'[2]$ лето'!ap1722-'[2]$ лето'!an1722-'[2]$ лето'!am1722-'[2]$ лето'!al1722-'[2]$ лето'!ak1722-'[2]$ лето'!aj1722-'[2]$ лето'!ah1722-'[2]$ лето'!ag1722-'[2]$ лето'!af1722-'[2]$ лето'!ae1722-'[2]$ лето'!ad1722-'[2]$ лето'!ab1722-'[2]$ лето'!aa1722-'[2]$ лето'!z1722-'[2]$ лето'!y1722-'[2]$ лето'!x1722-'[2]$ лето'!v1722-'[2]$ лето'!u1722-'[2]$ лето'!t1722-'[2]$ лето'!s1722-'[2]$ лето'!r1722-'[2]$ лето'!p1722-'[2]$ лето'!o1722-'[2]$ лето'!n1722-'[2]$ лето'!m1722-'[2]$ лето'!l1722+'[2]$ лето'!k1722+'[2]$ лето'!q1722+'[2]$ лето'!w1722+'[2]$ лето'!ac1722+'[2]$ лето'!ai1722+'[2]$ лето'!ao1722</f>
        <v>0</v>
      </c>
      <c r="I1722" s="109" t="n">
        <f aca="false">'[2]$ лето'!ay1722*1.1</f>
        <v>4928</v>
      </c>
    </row>
    <row r="1723" customFormat="false" ht="15" hidden="true" customHeight="false" outlineLevel="0" collapsed="false">
      <c r="A1723" s="123" t="s">
        <v>2319</v>
      </c>
      <c r="B1723" s="123" t="s">
        <v>1028</v>
      </c>
      <c r="C1723" s="116" t="s">
        <v>2327</v>
      </c>
      <c r="D1723" s="116"/>
      <c r="E1723" s="116"/>
      <c r="F1723" s="116"/>
      <c r="G1723" s="108" t="s">
        <v>876</v>
      </c>
      <c r="H1723" s="105" t="n">
        <f aca="false">'[2]$ лето'!j1723-'[2]$ лето'!au1723-'[2]$ лето'!at1723-'[2]$ лето'!as1723-'[2]$ лето'!ar1723-'[2]$ лето'!aq1723-'[2]$ лето'!ap1723-'[2]$ лето'!an1723-'[2]$ лето'!am1723-'[2]$ лето'!al1723-'[2]$ лето'!ak1723-'[2]$ лето'!aj1723-'[2]$ лето'!ah1723-'[2]$ лето'!ag1723-'[2]$ лето'!af1723-'[2]$ лето'!ae1723-'[2]$ лето'!ad1723-'[2]$ лето'!ab1723-'[2]$ лето'!aa1723-'[2]$ лето'!z1723-'[2]$ лето'!y1723-'[2]$ лето'!x1723-'[2]$ лето'!v1723-'[2]$ лето'!u1723-'[2]$ лето'!t1723-'[2]$ лето'!s1723-'[2]$ лето'!r1723-'[2]$ лето'!p1723-'[2]$ лето'!o1723-'[2]$ лето'!n1723-'[2]$ лето'!m1723-'[2]$ лето'!l1723+'[2]$ лето'!k1723+'[2]$ лето'!q1723+'[2]$ лето'!w1723+'[2]$ лето'!ac1723+'[2]$ лето'!ai1723+'[2]$ лето'!ao1723</f>
        <v>0</v>
      </c>
      <c r="I1723" s="109" t="n">
        <f aca="false">'[2]$ лето'!ay1723*1.1</f>
        <v>5082</v>
      </c>
      <c r="J1723" s="85" t="n">
        <v>2016</v>
      </c>
    </row>
    <row r="1724" customFormat="false" ht="15" hidden="false" customHeight="false" outlineLevel="0" collapsed="false">
      <c r="A1724" s="123" t="s">
        <v>2328</v>
      </c>
      <c r="B1724" s="123" t="s">
        <v>566</v>
      </c>
      <c r="C1724" s="116" t="s">
        <v>2329</v>
      </c>
      <c r="D1724" s="116"/>
      <c r="E1724" s="116"/>
      <c r="F1724" s="116"/>
      <c r="G1724" s="108" t="s">
        <v>563</v>
      </c>
      <c r="H1724" s="105" t="n">
        <f aca="false">'[2]$ лето'!j1724-'[2]$ лето'!au1724-'[2]$ лето'!at1724-'[2]$ лето'!as1724-'[2]$ лето'!ar1724-'[2]$ лето'!aq1724-'[2]$ лето'!ap1724-'[2]$ лето'!an1724-'[2]$ лето'!am1724-'[2]$ лето'!al1724-'[2]$ лето'!ak1724-'[2]$ лето'!aj1724-'[2]$ лето'!ah1724-'[2]$ лето'!ag1724-'[2]$ лето'!af1724-'[2]$ лето'!ae1724-'[2]$ лето'!ad1724-'[2]$ лето'!ab1724-'[2]$ лето'!aa1724-'[2]$ лето'!z1724-'[2]$ лето'!y1724-'[2]$ лето'!x1724-'[2]$ лето'!v1724-'[2]$ лето'!u1724-'[2]$ лето'!t1724-'[2]$ лето'!s1724-'[2]$ лето'!r1724-'[2]$ лето'!p1724-'[2]$ лето'!o1724-'[2]$ лето'!n1724-'[2]$ лето'!m1724-'[2]$ лето'!l1724+'[2]$ лето'!k1724+'[2]$ лето'!q1724+'[2]$ лето'!w1724+'[2]$ лето'!ac1724+'[2]$ лето'!ai1724+'[2]$ лето'!ao1724</f>
        <v>4</v>
      </c>
      <c r="I1724" s="109" t="n">
        <f aca="false">'[2]$ лето'!ay1724*1.1</f>
        <v>2772</v>
      </c>
      <c r="J1724" s="85" t="n">
        <v>2017</v>
      </c>
    </row>
    <row r="1725" customFormat="false" ht="15" hidden="false" customHeight="false" outlineLevel="0" collapsed="false">
      <c r="A1725" s="129" t="s">
        <v>2328</v>
      </c>
      <c r="B1725" s="129" t="s">
        <v>601</v>
      </c>
      <c r="C1725" s="131" t="s">
        <v>2330</v>
      </c>
      <c r="D1725" s="131"/>
      <c r="E1725" s="131"/>
      <c r="F1725" s="131"/>
      <c r="G1725" s="132"/>
      <c r="H1725" s="105" t="n">
        <f aca="false">'[2]$ лето'!j1725-'[2]$ лето'!au1725-'[2]$ лето'!at1725-'[2]$ лето'!as1725-'[2]$ лето'!ar1725-'[2]$ лето'!aq1725-'[2]$ лето'!ap1725-'[2]$ лето'!an1725-'[2]$ лето'!am1725-'[2]$ лето'!al1725-'[2]$ лето'!ak1725-'[2]$ лето'!aj1725-'[2]$ лето'!ah1725-'[2]$ лето'!ag1725-'[2]$ лето'!af1725-'[2]$ лето'!ae1725-'[2]$ лето'!ad1725-'[2]$ лето'!ab1725-'[2]$ лето'!aa1725-'[2]$ лето'!z1725-'[2]$ лето'!y1725-'[2]$ лето'!x1725-'[2]$ лето'!v1725-'[2]$ лето'!u1725-'[2]$ лето'!t1725-'[2]$ лето'!s1725-'[2]$ лето'!r1725-'[2]$ лето'!p1725-'[2]$ лето'!o1725-'[2]$ лето'!n1725-'[2]$ лето'!m1725-'[2]$ лето'!l1725+'[2]$ лето'!k1725+'[2]$ лето'!q1725+'[2]$ лето'!w1725+'[2]$ лето'!ac1725+'[2]$ лето'!ai1725+'[2]$ лето'!ao1725</f>
        <v>1</v>
      </c>
      <c r="I1725" s="133" t="n">
        <f aca="false">'[2]$ лето'!ay1725*1.1</f>
        <v>550</v>
      </c>
      <c r="J1725" s="85" t="s">
        <v>1827</v>
      </c>
    </row>
    <row r="1726" customFormat="false" ht="15" hidden="true" customHeight="false" outlineLevel="0" collapsed="false">
      <c r="A1726" s="123" t="s">
        <v>2328</v>
      </c>
      <c r="B1726" s="123" t="s">
        <v>658</v>
      </c>
      <c r="C1726" s="116" t="s">
        <v>2331</v>
      </c>
      <c r="D1726" s="116"/>
      <c r="E1726" s="116"/>
      <c r="F1726" s="116"/>
      <c r="G1726" s="108"/>
      <c r="H1726" s="105" t="n">
        <f aca="false">'[2]$ лето'!j1726-'[2]$ лето'!au1726-'[2]$ лето'!at1726-'[2]$ лето'!as1726-'[2]$ лето'!ar1726-'[2]$ лето'!aq1726-'[2]$ лето'!ap1726-'[2]$ лето'!an1726-'[2]$ лето'!am1726-'[2]$ лето'!al1726-'[2]$ лето'!ak1726-'[2]$ лето'!aj1726-'[2]$ лето'!ah1726-'[2]$ лето'!ag1726-'[2]$ лето'!af1726-'[2]$ лето'!ae1726-'[2]$ лето'!ad1726-'[2]$ лето'!ab1726-'[2]$ лето'!aa1726-'[2]$ лето'!z1726-'[2]$ лето'!y1726-'[2]$ лето'!x1726-'[2]$ лето'!v1726-'[2]$ лето'!u1726-'[2]$ лето'!t1726-'[2]$ лето'!s1726-'[2]$ лето'!r1726-'[2]$ лето'!p1726-'[2]$ лето'!o1726-'[2]$ лето'!n1726-'[2]$ лето'!m1726-'[2]$ лето'!l1726+'[2]$ лето'!k1726+'[2]$ лето'!q1726+'[2]$ лето'!w1726+'[2]$ лето'!ac1726+'[2]$ лето'!ai1726+'[2]$ лето'!ao1726</f>
        <v>0</v>
      </c>
      <c r="I1726" s="109" t="n">
        <f aca="false">'[2]$ лето'!ay1726*1.1</f>
        <v>9240</v>
      </c>
    </row>
    <row r="1727" customFormat="false" ht="15" hidden="true" customHeight="false" outlineLevel="0" collapsed="false">
      <c r="A1727" s="123" t="s">
        <v>2328</v>
      </c>
      <c r="B1727" s="123" t="s">
        <v>557</v>
      </c>
      <c r="C1727" s="116" t="s">
        <v>2332</v>
      </c>
      <c r="D1727" s="116"/>
      <c r="E1727" s="116"/>
      <c r="F1727" s="116"/>
      <c r="G1727" s="108"/>
      <c r="H1727" s="105" t="n">
        <f aca="false">'[2]$ лето'!j1727-'[2]$ лето'!au1727-'[2]$ лето'!at1727-'[2]$ лето'!as1727-'[2]$ лето'!ar1727-'[2]$ лето'!aq1727-'[2]$ лето'!ap1727-'[2]$ лето'!an1727-'[2]$ лето'!am1727-'[2]$ лето'!al1727-'[2]$ лето'!ak1727-'[2]$ лето'!aj1727-'[2]$ лето'!ah1727-'[2]$ лето'!ag1727-'[2]$ лето'!af1727-'[2]$ лето'!ae1727-'[2]$ лето'!ad1727-'[2]$ лето'!ab1727-'[2]$ лето'!aa1727-'[2]$ лето'!z1727-'[2]$ лето'!y1727-'[2]$ лето'!x1727-'[2]$ лето'!v1727-'[2]$ лето'!u1727-'[2]$ лето'!t1727-'[2]$ лето'!s1727-'[2]$ лето'!r1727-'[2]$ лето'!p1727-'[2]$ лето'!o1727-'[2]$ лето'!n1727-'[2]$ лето'!m1727-'[2]$ лето'!l1727+'[2]$ лето'!k1727+'[2]$ лето'!q1727+'[2]$ лето'!w1727+'[2]$ лето'!ac1727+'[2]$ лето'!ai1727+'[2]$ лето'!ao1727</f>
        <v>0</v>
      </c>
      <c r="I1727" s="109" t="n">
        <f aca="false">'[2]$ лето'!ay1727*1.1</f>
        <v>3850</v>
      </c>
      <c r="J1727" s="85" t="n">
        <v>2016</v>
      </c>
    </row>
    <row r="1728" customFormat="false" ht="15" hidden="true" customHeight="false" outlineLevel="0" collapsed="false">
      <c r="A1728" s="123" t="s">
        <v>2328</v>
      </c>
      <c r="B1728" s="123" t="s">
        <v>593</v>
      </c>
      <c r="C1728" s="126" t="s">
        <v>2333</v>
      </c>
      <c r="D1728" s="126"/>
      <c r="E1728" s="126"/>
      <c r="F1728" s="126"/>
      <c r="G1728" s="108" t="s">
        <v>1062</v>
      </c>
      <c r="H1728" s="105" t="n">
        <f aca="false">'[2]$ лето'!j1728-'[2]$ лето'!au1728-'[2]$ лето'!at1728-'[2]$ лето'!as1728-'[2]$ лето'!ar1728-'[2]$ лето'!aq1728-'[2]$ лето'!ap1728-'[2]$ лето'!an1728-'[2]$ лето'!am1728-'[2]$ лето'!al1728-'[2]$ лето'!ak1728-'[2]$ лето'!aj1728-'[2]$ лето'!ah1728-'[2]$ лето'!ag1728-'[2]$ лето'!af1728-'[2]$ лето'!ae1728-'[2]$ лето'!ad1728-'[2]$ лето'!ab1728-'[2]$ лето'!aa1728-'[2]$ лето'!z1728-'[2]$ лето'!y1728-'[2]$ лето'!x1728-'[2]$ лето'!v1728-'[2]$ лето'!u1728-'[2]$ лето'!t1728-'[2]$ лето'!s1728-'[2]$ лето'!r1728-'[2]$ лето'!p1728-'[2]$ лето'!o1728-'[2]$ лето'!n1728-'[2]$ лето'!m1728-'[2]$ лето'!l1728+'[2]$ лето'!k1728+'[2]$ лето'!q1728+'[2]$ лето'!w1728+'[2]$ лето'!ac1728+'[2]$ лето'!ai1728+'[2]$ лето'!ao1728</f>
        <v>0</v>
      </c>
      <c r="I1728" s="109" t="n">
        <f aca="false">'[2]$ лето'!ay1728*1.1</f>
        <v>6468</v>
      </c>
    </row>
    <row r="1729" customFormat="false" ht="15" hidden="true" customHeight="false" outlineLevel="0" collapsed="false">
      <c r="A1729" s="123" t="s">
        <v>2328</v>
      </c>
      <c r="B1729" s="123" t="s">
        <v>593</v>
      </c>
      <c r="C1729" s="107" t="s">
        <v>1929</v>
      </c>
      <c r="D1729" s="107"/>
      <c r="E1729" s="107"/>
      <c r="F1729" s="107"/>
      <c r="G1729" s="108" t="s">
        <v>1999</v>
      </c>
      <c r="H1729" s="105" t="n">
        <f aca="false">'[2]$ лето'!j1729-'[2]$ лето'!au1729-'[2]$ лето'!at1729-'[2]$ лето'!as1729-'[2]$ лето'!ar1729-'[2]$ лето'!aq1729-'[2]$ лето'!ap1729-'[2]$ лето'!an1729-'[2]$ лето'!am1729-'[2]$ лето'!al1729-'[2]$ лето'!ak1729-'[2]$ лето'!aj1729-'[2]$ лето'!ah1729-'[2]$ лето'!ag1729-'[2]$ лето'!af1729-'[2]$ лето'!ae1729-'[2]$ лето'!ad1729-'[2]$ лето'!ab1729-'[2]$ лето'!aa1729-'[2]$ лето'!z1729-'[2]$ лето'!y1729-'[2]$ лето'!x1729-'[2]$ лето'!v1729-'[2]$ лето'!u1729-'[2]$ лето'!t1729-'[2]$ лето'!s1729-'[2]$ лето'!r1729-'[2]$ лето'!p1729-'[2]$ лето'!o1729-'[2]$ лето'!n1729-'[2]$ лето'!m1729-'[2]$ лето'!l1729+'[2]$ лето'!k1729+'[2]$ лето'!q1729+'[2]$ лето'!w1729+'[2]$ лето'!ac1729+'[2]$ лето'!ai1729+'[2]$ лето'!ao1729</f>
        <v>0</v>
      </c>
      <c r="I1729" s="109" t="n">
        <f aca="false">'[2]$ лето'!ay1729*1.1</f>
        <v>3696</v>
      </c>
      <c r="J1729" s="85" t="n">
        <v>2011</v>
      </c>
    </row>
    <row r="1730" customFormat="false" ht="15" hidden="false" customHeight="false" outlineLevel="0" collapsed="false">
      <c r="A1730" s="123" t="s">
        <v>2328</v>
      </c>
      <c r="B1730" s="123" t="s">
        <v>593</v>
      </c>
      <c r="C1730" s="107" t="s">
        <v>2334</v>
      </c>
      <c r="D1730" s="107"/>
      <c r="E1730" s="116"/>
      <c r="F1730" s="116"/>
      <c r="G1730" s="108" t="s">
        <v>520</v>
      </c>
      <c r="H1730" s="105" t="n">
        <f aca="false">'[2]$ лето'!j1730-'[2]$ лето'!au1730-'[2]$ лето'!at1730-'[2]$ лето'!as1730-'[2]$ лето'!ar1730-'[2]$ лето'!aq1730-'[2]$ лето'!ap1730-'[2]$ лето'!an1730-'[2]$ лето'!am1730-'[2]$ лето'!al1730-'[2]$ лето'!ak1730-'[2]$ лето'!aj1730-'[2]$ лето'!ah1730-'[2]$ лето'!ag1730-'[2]$ лето'!af1730-'[2]$ лето'!ae1730-'[2]$ лето'!ad1730-'[2]$ лето'!ab1730-'[2]$ лето'!aa1730-'[2]$ лето'!z1730-'[2]$ лето'!y1730-'[2]$ лето'!x1730-'[2]$ лето'!v1730-'[2]$ лето'!u1730-'[2]$ лето'!t1730-'[2]$ лето'!s1730-'[2]$ лето'!r1730-'[2]$ лето'!p1730-'[2]$ лето'!o1730-'[2]$ лето'!n1730-'[2]$ лето'!m1730-'[2]$ лето'!l1730+'[2]$ лето'!k1730+'[2]$ лето'!q1730+'[2]$ лето'!w1730+'[2]$ лето'!ac1730+'[2]$ лето'!ai1730+'[2]$ лето'!ao1730</f>
        <v>2</v>
      </c>
      <c r="I1730" s="109" t="n">
        <f aca="false">'[2]$ лето'!ay1730*1.1</f>
        <v>6622</v>
      </c>
      <c r="J1730" s="85" t="n">
        <v>2015</v>
      </c>
    </row>
    <row r="1731" customFormat="false" ht="15" hidden="false" customHeight="false" outlineLevel="0" collapsed="false">
      <c r="A1731" s="123" t="s">
        <v>2328</v>
      </c>
      <c r="B1731" s="123" t="s">
        <v>615</v>
      </c>
      <c r="C1731" s="116" t="s">
        <v>2335</v>
      </c>
      <c r="D1731" s="116"/>
      <c r="E1731" s="116"/>
      <c r="F1731" s="116"/>
      <c r="G1731" s="108"/>
      <c r="H1731" s="105" t="n">
        <f aca="false">'[2]$ лето'!j1731-'[2]$ лето'!au1731-'[2]$ лето'!at1731-'[2]$ лето'!as1731-'[2]$ лето'!ar1731-'[2]$ лето'!aq1731-'[2]$ лето'!ap1731-'[2]$ лето'!an1731-'[2]$ лето'!am1731-'[2]$ лето'!al1731-'[2]$ лето'!ak1731-'[2]$ лето'!aj1731-'[2]$ лето'!ah1731-'[2]$ лето'!ag1731-'[2]$ лето'!af1731-'[2]$ лето'!ae1731-'[2]$ лето'!ad1731-'[2]$ лето'!ab1731-'[2]$ лето'!aa1731-'[2]$ лето'!z1731-'[2]$ лето'!y1731-'[2]$ лето'!x1731-'[2]$ лето'!v1731-'[2]$ лето'!u1731-'[2]$ лето'!t1731-'[2]$ лето'!s1731-'[2]$ лето'!r1731-'[2]$ лето'!p1731-'[2]$ лето'!o1731-'[2]$ лето'!n1731-'[2]$ лето'!m1731-'[2]$ лето'!l1731+'[2]$ лето'!k1731+'[2]$ лето'!q1731+'[2]$ лето'!w1731+'[2]$ лето'!ac1731+'[2]$ лето'!ai1731+'[2]$ лето'!ao1731</f>
        <v>4</v>
      </c>
      <c r="I1731" s="109" t="n">
        <f aca="false">'[2]$ лето'!ay1731*1.1</f>
        <v>3388</v>
      </c>
    </row>
    <row r="1732" customFormat="false" ht="15" hidden="true" customHeight="false" outlineLevel="0" collapsed="false">
      <c r="A1732" s="123" t="s">
        <v>2328</v>
      </c>
      <c r="B1732" s="123" t="s">
        <v>589</v>
      </c>
      <c r="C1732" s="107" t="s">
        <v>2336</v>
      </c>
      <c r="D1732" s="107"/>
      <c r="E1732" s="107"/>
      <c r="F1732" s="107"/>
      <c r="G1732" s="108"/>
      <c r="H1732" s="105" t="n">
        <f aca="false">'[2]$ лето'!j1732-'[2]$ лето'!au1732-'[2]$ лето'!at1732-'[2]$ лето'!as1732-'[2]$ лето'!ar1732-'[2]$ лето'!aq1732-'[2]$ лето'!ap1732-'[2]$ лето'!an1732-'[2]$ лето'!am1732-'[2]$ лето'!al1732-'[2]$ лето'!ak1732-'[2]$ лето'!aj1732-'[2]$ лето'!ah1732-'[2]$ лето'!ag1732-'[2]$ лето'!af1732-'[2]$ лето'!ae1732-'[2]$ лето'!ad1732-'[2]$ лето'!ab1732-'[2]$ лето'!aa1732-'[2]$ лето'!z1732-'[2]$ лето'!y1732-'[2]$ лето'!x1732-'[2]$ лето'!v1732-'[2]$ лето'!u1732-'[2]$ лето'!t1732-'[2]$ лето'!s1732-'[2]$ лето'!r1732-'[2]$ лето'!p1732-'[2]$ лето'!o1732-'[2]$ лето'!n1732-'[2]$ лето'!m1732-'[2]$ лето'!l1732+'[2]$ лето'!k1732+'[2]$ лето'!q1732+'[2]$ лето'!w1732+'[2]$ лето'!ac1732+'[2]$ лето'!ai1732+'[2]$ лето'!ao1732</f>
        <v>0</v>
      </c>
      <c r="I1732" s="109" t="n">
        <f aca="false">'[2]$ лето'!ay1732*1.1</f>
        <v>5544</v>
      </c>
      <c r="J1732" s="85" t="s">
        <v>1827</v>
      </c>
    </row>
    <row r="1733" customFormat="false" ht="15" hidden="false" customHeight="false" outlineLevel="0" collapsed="false">
      <c r="A1733" s="123" t="s">
        <v>2328</v>
      </c>
      <c r="B1733" s="123" t="s">
        <v>981</v>
      </c>
      <c r="C1733" s="107" t="s">
        <v>2337</v>
      </c>
      <c r="D1733" s="107"/>
      <c r="E1733" s="116"/>
      <c r="F1733" s="116"/>
      <c r="G1733" s="108"/>
      <c r="H1733" s="105" t="n">
        <f aca="false">'[2]$ лето'!j1733-'[2]$ лето'!au1733-'[2]$ лето'!at1733-'[2]$ лето'!as1733-'[2]$ лето'!ar1733-'[2]$ лето'!aq1733-'[2]$ лето'!ap1733-'[2]$ лето'!an1733-'[2]$ лето'!am1733-'[2]$ лето'!al1733-'[2]$ лето'!ak1733-'[2]$ лето'!aj1733-'[2]$ лето'!ah1733-'[2]$ лето'!ag1733-'[2]$ лето'!af1733-'[2]$ лето'!ae1733-'[2]$ лето'!ad1733-'[2]$ лето'!ab1733-'[2]$ лето'!aa1733-'[2]$ лето'!z1733-'[2]$ лето'!y1733-'[2]$ лето'!x1733-'[2]$ лето'!v1733-'[2]$ лето'!u1733-'[2]$ лето'!t1733-'[2]$ лето'!s1733-'[2]$ лето'!r1733-'[2]$ лето'!p1733-'[2]$ лето'!o1733-'[2]$ лето'!n1733-'[2]$ лето'!m1733-'[2]$ лето'!l1733+'[2]$ лето'!k1733+'[2]$ лето'!q1733+'[2]$ лето'!w1733+'[2]$ лето'!ac1733+'[2]$ лето'!ai1733+'[2]$ лето'!ao1733</f>
        <v>4</v>
      </c>
      <c r="I1733" s="109" t="n">
        <f aca="false">'[2]$ лето'!ay1733*1.1</f>
        <v>3696</v>
      </c>
    </row>
    <row r="1734" customFormat="false" ht="15" hidden="true" customHeight="false" outlineLevel="0" collapsed="false">
      <c r="A1734" s="123" t="s">
        <v>2328</v>
      </c>
      <c r="B1734" s="123" t="s">
        <v>770</v>
      </c>
      <c r="C1734" s="107" t="s">
        <v>2338</v>
      </c>
      <c r="D1734" s="107"/>
      <c r="E1734" s="107"/>
      <c r="F1734" s="107"/>
      <c r="G1734" s="108"/>
      <c r="H1734" s="105" t="n">
        <f aca="false">'[2]$ лето'!j1734-'[2]$ лето'!au1734-'[2]$ лето'!at1734-'[2]$ лето'!as1734-'[2]$ лето'!ar1734-'[2]$ лето'!aq1734-'[2]$ лето'!ap1734-'[2]$ лето'!an1734-'[2]$ лето'!am1734-'[2]$ лето'!al1734-'[2]$ лето'!ak1734-'[2]$ лето'!aj1734-'[2]$ лето'!ah1734-'[2]$ лето'!ag1734-'[2]$ лето'!af1734-'[2]$ лето'!ae1734-'[2]$ лето'!ad1734-'[2]$ лето'!ab1734-'[2]$ лето'!aa1734-'[2]$ лето'!z1734-'[2]$ лето'!y1734-'[2]$ лето'!x1734-'[2]$ лето'!v1734-'[2]$ лето'!u1734-'[2]$ лето'!t1734-'[2]$ лето'!s1734-'[2]$ лето'!r1734-'[2]$ лето'!p1734-'[2]$ лето'!o1734-'[2]$ лето'!n1734-'[2]$ лето'!m1734-'[2]$ лето'!l1734+'[2]$ лето'!k1734+'[2]$ лето'!q1734+'[2]$ лето'!w1734+'[2]$ лето'!ac1734+'[2]$ лето'!ai1734+'[2]$ лето'!ao1734</f>
        <v>0</v>
      </c>
      <c r="I1734" s="109" t="n">
        <f aca="false">'[2]$ лето'!ay1734*1.1</f>
        <v>5082</v>
      </c>
    </row>
    <row r="1735" customFormat="false" ht="15" hidden="true" customHeight="false" outlineLevel="0" collapsed="false">
      <c r="A1735" s="115" t="s">
        <v>2339</v>
      </c>
      <c r="B1735" s="123" t="s">
        <v>566</v>
      </c>
      <c r="C1735" s="107" t="s">
        <v>2340</v>
      </c>
      <c r="D1735" s="107"/>
      <c r="E1735" s="107"/>
      <c r="F1735" s="107"/>
      <c r="G1735" s="108" t="s">
        <v>563</v>
      </c>
      <c r="H1735" s="105" t="n">
        <f aca="false">'[2]$ лето'!j1735-'[2]$ лето'!au1735-'[2]$ лето'!at1735-'[2]$ лето'!as1735-'[2]$ лето'!ar1735-'[2]$ лето'!aq1735-'[2]$ лето'!ap1735-'[2]$ лето'!an1735-'[2]$ лето'!am1735-'[2]$ лето'!al1735-'[2]$ лето'!ak1735-'[2]$ лето'!aj1735-'[2]$ лето'!ah1735-'[2]$ лето'!ag1735-'[2]$ лето'!af1735-'[2]$ лето'!ae1735-'[2]$ лето'!ad1735-'[2]$ лето'!ab1735-'[2]$ лето'!aa1735-'[2]$ лето'!z1735-'[2]$ лето'!y1735-'[2]$ лето'!x1735-'[2]$ лето'!v1735-'[2]$ лето'!u1735-'[2]$ лето'!t1735-'[2]$ лето'!s1735-'[2]$ лето'!r1735-'[2]$ лето'!p1735-'[2]$ лето'!o1735-'[2]$ лето'!n1735-'[2]$ лето'!m1735-'[2]$ лето'!l1735+'[2]$ лето'!k1735+'[2]$ лето'!q1735+'[2]$ лето'!w1735+'[2]$ лето'!ac1735+'[2]$ лето'!ai1735+'[2]$ лето'!ao1735</f>
        <v>0</v>
      </c>
      <c r="I1735" s="109" t="n">
        <f aca="false">'[2]$ лето'!ay1735*1.1</f>
        <v>2772</v>
      </c>
      <c r="J1735" s="85" t="n">
        <v>2018</v>
      </c>
    </row>
    <row r="1736" customFormat="false" ht="15" hidden="true" customHeight="false" outlineLevel="0" collapsed="false">
      <c r="A1736" s="115" t="s">
        <v>2339</v>
      </c>
      <c r="B1736" s="123" t="s">
        <v>658</v>
      </c>
      <c r="C1736" s="107" t="s">
        <v>2341</v>
      </c>
      <c r="D1736" s="107"/>
      <c r="E1736" s="107" t="n">
        <v>110</v>
      </c>
      <c r="F1736" s="107" t="s">
        <v>1949</v>
      </c>
      <c r="G1736" s="108" t="s">
        <v>2342</v>
      </c>
      <c r="H1736" s="105" t="n">
        <f aca="false">'[2]$ лето'!j1736-'[2]$ лето'!au1736-'[2]$ лето'!at1736-'[2]$ лето'!as1736-'[2]$ лето'!ar1736-'[2]$ лето'!aq1736-'[2]$ лето'!ap1736-'[2]$ лето'!an1736-'[2]$ лето'!am1736-'[2]$ лето'!al1736-'[2]$ лето'!ak1736-'[2]$ лето'!aj1736-'[2]$ лето'!ah1736-'[2]$ лето'!ag1736-'[2]$ лето'!af1736-'[2]$ лето'!ae1736-'[2]$ лето'!ad1736-'[2]$ лето'!ab1736-'[2]$ лето'!aa1736-'[2]$ лето'!z1736-'[2]$ лето'!y1736-'[2]$ лето'!x1736-'[2]$ лето'!v1736-'[2]$ лето'!u1736-'[2]$ лето'!t1736-'[2]$ лето'!s1736-'[2]$ лето'!r1736-'[2]$ лето'!p1736-'[2]$ лето'!o1736-'[2]$ лето'!n1736-'[2]$ лето'!m1736-'[2]$ лето'!l1736+'[2]$ лето'!k1736+'[2]$ лето'!q1736+'[2]$ лето'!w1736+'[2]$ лето'!ac1736+'[2]$ лето'!ai1736+'[2]$ лето'!ao1736</f>
        <v>0</v>
      </c>
      <c r="I1736" s="109" t="n">
        <f aca="false">'[2]$ лето'!ay1736*1.1</f>
        <v>6930</v>
      </c>
      <c r="J1736" s="85" t="n">
        <v>2018</v>
      </c>
    </row>
    <row r="1737" customFormat="false" ht="15" hidden="true" customHeight="false" outlineLevel="0" collapsed="false">
      <c r="A1737" s="115" t="s">
        <v>2339</v>
      </c>
      <c r="B1737" s="115" t="s">
        <v>606</v>
      </c>
      <c r="C1737" s="126" t="s">
        <v>2343</v>
      </c>
      <c r="D1737" s="126"/>
      <c r="E1737" s="126"/>
      <c r="F1737" s="126"/>
      <c r="G1737" s="108"/>
      <c r="H1737" s="105" t="n">
        <f aca="false">'[2]$ лето'!j1737-'[2]$ лето'!au1737-'[2]$ лето'!at1737-'[2]$ лето'!as1737-'[2]$ лето'!ar1737-'[2]$ лето'!aq1737-'[2]$ лето'!ap1737-'[2]$ лето'!an1737-'[2]$ лето'!am1737-'[2]$ лето'!al1737-'[2]$ лето'!ak1737-'[2]$ лето'!aj1737-'[2]$ лето'!ah1737-'[2]$ лето'!ag1737-'[2]$ лето'!af1737-'[2]$ лето'!ae1737-'[2]$ лето'!ad1737-'[2]$ лето'!ab1737-'[2]$ лето'!aa1737-'[2]$ лето'!z1737-'[2]$ лето'!y1737-'[2]$ лето'!x1737-'[2]$ лето'!v1737-'[2]$ лето'!u1737-'[2]$ лето'!t1737-'[2]$ лето'!s1737-'[2]$ лето'!r1737-'[2]$ лето'!p1737-'[2]$ лето'!o1737-'[2]$ лето'!n1737-'[2]$ лето'!m1737-'[2]$ лето'!l1737+'[2]$ лето'!k1737+'[2]$ лето'!q1737+'[2]$ лето'!w1737+'[2]$ лето'!ac1737+'[2]$ лето'!ai1737+'[2]$ лето'!ao1737</f>
        <v>0</v>
      </c>
      <c r="I1737" s="109" t="n">
        <f aca="false">'[2]$ лето'!ay1737*1.1</f>
        <v>4712.4</v>
      </c>
    </row>
    <row r="1738" customFormat="false" ht="15" hidden="true" customHeight="false" outlineLevel="0" collapsed="false">
      <c r="A1738" s="115" t="s">
        <v>2339</v>
      </c>
      <c r="B1738" s="115" t="s">
        <v>593</v>
      </c>
      <c r="C1738" s="107" t="s">
        <v>2344</v>
      </c>
      <c r="D1738" s="107"/>
      <c r="E1738" s="107"/>
      <c r="F1738" s="107"/>
      <c r="G1738" s="108" t="s">
        <v>1037</v>
      </c>
      <c r="H1738" s="105" t="n">
        <f aca="false">'[2]$ лето'!j1738-'[2]$ лето'!au1738-'[2]$ лето'!at1738-'[2]$ лето'!as1738-'[2]$ лето'!ar1738-'[2]$ лето'!aq1738-'[2]$ лето'!ap1738-'[2]$ лето'!an1738-'[2]$ лето'!am1738-'[2]$ лето'!al1738-'[2]$ лето'!ak1738-'[2]$ лето'!aj1738-'[2]$ лето'!ah1738-'[2]$ лето'!ag1738-'[2]$ лето'!af1738-'[2]$ лето'!ae1738-'[2]$ лето'!ad1738-'[2]$ лето'!ab1738-'[2]$ лето'!aa1738-'[2]$ лето'!z1738-'[2]$ лето'!y1738-'[2]$ лето'!x1738-'[2]$ лето'!v1738-'[2]$ лето'!u1738-'[2]$ лето'!t1738-'[2]$ лето'!s1738-'[2]$ лето'!r1738-'[2]$ лето'!p1738-'[2]$ лето'!o1738-'[2]$ лето'!n1738-'[2]$ лето'!m1738-'[2]$ лето'!l1738+'[2]$ лето'!k1738+'[2]$ лето'!q1738+'[2]$ лето'!w1738+'[2]$ лето'!ac1738+'[2]$ лето'!ai1738+'[2]$ лето'!ao1738</f>
        <v>0</v>
      </c>
      <c r="I1738" s="109" t="n">
        <f aca="false">'[2]$ лето'!ay1738*1.1</f>
        <v>6930</v>
      </c>
      <c r="J1738" s="85" t="n">
        <v>2016</v>
      </c>
    </row>
    <row r="1739" customFormat="false" ht="15" hidden="true" customHeight="false" outlineLevel="0" collapsed="false">
      <c r="A1739" s="115" t="s">
        <v>2339</v>
      </c>
      <c r="B1739" s="115" t="s">
        <v>593</v>
      </c>
      <c r="C1739" s="107" t="s">
        <v>2345</v>
      </c>
      <c r="D1739" s="107"/>
      <c r="E1739" s="107"/>
      <c r="F1739" s="107"/>
      <c r="G1739" s="108" t="s">
        <v>1240</v>
      </c>
      <c r="H1739" s="105" t="n">
        <f aca="false">'[2]$ лето'!j1739-'[2]$ лето'!au1739-'[2]$ лето'!at1739-'[2]$ лето'!as1739-'[2]$ лето'!ar1739-'[2]$ лето'!aq1739-'[2]$ лето'!ap1739-'[2]$ лето'!an1739-'[2]$ лето'!am1739-'[2]$ лето'!al1739-'[2]$ лето'!ak1739-'[2]$ лето'!aj1739-'[2]$ лето'!ah1739-'[2]$ лето'!ag1739-'[2]$ лето'!af1739-'[2]$ лето'!ae1739-'[2]$ лето'!ad1739-'[2]$ лето'!ab1739-'[2]$ лето'!aa1739-'[2]$ лето'!z1739-'[2]$ лето'!y1739-'[2]$ лето'!x1739-'[2]$ лето'!v1739-'[2]$ лето'!u1739-'[2]$ лето'!t1739-'[2]$ лето'!s1739-'[2]$ лето'!r1739-'[2]$ лето'!p1739-'[2]$ лето'!o1739-'[2]$ лето'!n1739-'[2]$ лето'!m1739-'[2]$ лето'!l1739+'[2]$ лето'!k1739+'[2]$ лето'!q1739+'[2]$ лето'!w1739+'[2]$ лето'!ac1739+'[2]$ лето'!ai1739+'[2]$ лето'!ao1739</f>
        <v>0</v>
      </c>
      <c r="I1739" s="109" t="n">
        <f aca="false">'[2]$ лето'!ay1739*1.1</f>
        <v>7084</v>
      </c>
      <c r="J1739" s="85" t="n">
        <v>2017</v>
      </c>
    </row>
    <row r="1740" customFormat="false" ht="15" hidden="true" customHeight="false" outlineLevel="0" collapsed="false">
      <c r="A1740" s="115" t="s">
        <v>2339</v>
      </c>
      <c r="B1740" s="115" t="s">
        <v>615</v>
      </c>
      <c r="C1740" s="107" t="s">
        <v>2346</v>
      </c>
      <c r="D1740" s="107"/>
      <c r="E1740" s="107"/>
      <c r="F1740" s="107"/>
      <c r="G1740" s="108" t="s">
        <v>857</v>
      </c>
      <c r="H1740" s="105" t="n">
        <f aca="false">'[2]$ лето'!j1740-'[2]$ лето'!au1740-'[2]$ лето'!at1740-'[2]$ лето'!as1740-'[2]$ лето'!ar1740-'[2]$ лето'!aq1740-'[2]$ лето'!ap1740-'[2]$ лето'!an1740-'[2]$ лето'!am1740-'[2]$ лето'!al1740-'[2]$ лето'!ak1740-'[2]$ лето'!aj1740-'[2]$ лето'!ah1740-'[2]$ лето'!ag1740-'[2]$ лето'!af1740-'[2]$ лето'!ae1740-'[2]$ лето'!ad1740-'[2]$ лето'!ab1740-'[2]$ лето'!aa1740-'[2]$ лето'!z1740-'[2]$ лето'!y1740-'[2]$ лето'!x1740-'[2]$ лето'!v1740-'[2]$ лето'!u1740-'[2]$ лето'!t1740-'[2]$ лето'!s1740-'[2]$ лето'!r1740-'[2]$ лето'!p1740-'[2]$ лето'!o1740-'[2]$ лето'!n1740-'[2]$ лето'!m1740-'[2]$ лето'!l1740+'[2]$ лето'!k1740+'[2]$ лето'!q1740+'[2]$ лето'!w1740+'[2]$ лето'!ac1740+'[2]$ лето'!ai1740+'[2]$ лето'!ao1740</f>
        <v>0</v>
      </c>
      <c r="I1740" s="109" t="n">
        <f aca="false">'[2]$ лето'!ay1740*1.1</f>
        <v>3850</v>
      </c>
      <c r="J1740" s="85" t="n">
        <v>2015</v>
      </c>
    </row>
    <row r="1741" customFormat="false" ht="15" hidden="false" customHeight="false" outlineLevel="0" collapsed="false">
      <c r="A1741" s="115" t="s">
        <v>2339</v>
      </c>
      <c r="B1741" s="115" t="s">
        <v>589</v>
      </c>
      <c r="C1741" s="107" t="s">
        <v>2347</v>
      </c>
      <c r="D1741" s="107"/>
      <c r="E1741" s="116"/>
      <c r="F1741" s="116"/>
      <c r="G1741" s="108"/>
      <c r="H1741" s="105" t="n">
        <f aca="false">'[2]$ лето'!j1741-'[2]$ лето'!au1741-'[2]$ лето'!at1741-'[2]$ лето'!as1741-'[2]$ лето'!ar1741-'[2]$ лето'!aq1741-'[2]$ лето'!ap1741-'[2]$ лето'!an1741-'[2]$ лето'!am1741-'[2]$ лето'!al1741-'[2]$ лето'!ak1741-'[2]$ лето'!aj1741-'[2]$ лето'!ah1741-'[2]$ лето'!ag1741-'[2]$ лето'!af1741-'[2]$ лето'!ae1741-'[2]$ лето'!ad1741-'[2]$ лето'!ab1741-'[2]$ лето'!aa1741-'[2]$ лето'!z1741-'[2]$ лето'!y1741-'[2]$ лето'!x1741-'[2]$ лето'!v1741-'[2]$ лето'!u1741-'[2]$ лето'!t1741-'[2]$ лето'!s1741-'[2]$ лето'!r1741-'[2]$ лето'!p1741-'[2]$ лето'!o1741-'[2]$ лето'!n1741-'[2]$ лето'!m1741-'[2]$ лето'!l1741+'[2]$ лето'!k1741+'[2]$ лето'!q1741+'[2]$ лето'!w1741+'[2]$ лето'!ac1741+'[2]$ лето'!ai1741+'[2]$ лето'!ao1741</f>
        <v>2</v>
      </c>
      <c r="I1741" s="109" t="n">
        <f aca="false">'[2]$ лето'!ay1741*1.1</f>
        <v>4686</v>
      </c>
    </row>
    <row r="1742" customFormat="false" ht="15" hidden="false" customHeight="false" outlineLevel="0" collapsed="false">
      <c r="A1742" s="115" t="s">
        <v>2339</v>
      </c>
      <c r="B1742" s="115" t="s">
        <v>564</v>
      </c>
      <c r="C1742" s="107" t="s">
        <v>2348</v>
      </c>
      <c r="D1742" s="107"/>
      <c r="E1742" s="116"/>
      <c r="F1742" s="116"/>
      <c r="G1742" s="108" t="s">
        <v>520</v>
      </c>
      <c r="H1742" s="105" t="n">
        <f aca="false">'[2]$ лето'!j1742-'[2]$ лето'!au1742-'[2]$ лето'!at1742-'[2]$ лето'!as1742-'[2]$ лето'!ar1742-'[2]$ лето'!aq1742-'[2]$ лето'!ap1742-'[2]$ лето'!an1742-'[2]$ лето'!am1742-'[2]$ лето'!al1742-'[2]$ лето'!ak1742-'[2]$ лето'!aj1742-'[2]$ лето'!ah1742-'[2]$ лето'!ag1742-'[2]$ лето'!af1742-'[2]$ лето'!ae1742-'[2]$ лето'!ad1742-'[2]$ лето'!ab1742-'[2]$ лето'!aa1742-'[2]$ лето'!z1742-'[2]$ лето'!y1742-'[2]$ лето'!x1742-'[2]$ лето'!v1742-'[2]$ лето'!u1742-'[2]$ лето'!t1742-'[2]$ лето'!s1742-'[2]$ лето'!r1742-'[2]$ лето'!p1742-'[2]$ лето'!o1742-'[2]$ лето'!n1742-'[2]$ лето'!m1742-'[2]$ лето'!l1742+'[2]$ лето'!k1742+'[2]$ лето'!q1742+'[2]$ лето'!w1742+'[2]$ лето'!ac1742+'[2]$ лето'!ai1742+'[2]$ лето'!ao1742</f>
        <v>4</v>
      </c>
      <c r="I1742" s="109" t="n">
        <f aca="false">'[2]$ лето'!ay1742*1.1</f>
        <v>2371.6</v>
      </c>
      <c r="J1742" s="85" t="n">
        <v>2017</v>
      </c>
    </row>
    <row r="1743" customFormat="false" ht="15" hidden="false" customHeight="false" outlineLevel="0" collapsed="false">
      <c r="A1743" s="115" t="s">
        <v>2339</v>
      </c>
      <c r="B1743" s="123" t="s">
        <v>770</v>
      </c>
      <c r="C1743" s="107" t="s">
        <v>2349</v>
      </c>
      <c r="D1743" s="107"/>
      <c r="E1743" s="116"/>
      <c r="F1743" s="116"/>
      <c r="G1743" s="108" t="s">
        <v>2350</v>
      </c>
      <c r="H1743" s="105" t="n">
        <f aca="false">'[2]$ лето'!j1743-'[2]$ лето'!au1743-'[2]$ лето'!at1743-'[2]$ лето'!as1743-'[2]$ лето'!ar1743-'[2]$ лето'!aq1743-'[2]$ лето'!ap1743-'[2]$ лето'!an1743-'[2]$ лето'!am1743-'[2]$ лето'!al1743-'[2]$ лето'!ak1743-'[2]$ лето'!aj1743-'[2]$ лето'!ah1743-'[2]$ лето'!ag1743-'[2]$ лето'!af1743-'[2]$ лето'!ae1743-'[2]$ лето'!ad1743-'[2]$ лето'!ab1743-'[2]$ лето'!aa1743-'[2]$ лето'!z1743-'[2]$ лето'!y1743-'[2]$ лето'!x1743-'[2]$ лето'!v1743-'[2]$ лето'!u1743-'[2]$ лето'!t1743-'[2]$ лето'!s1743-'[2]$ лето'!r1743-'[2]$ лето'!p1743-'[2]$ лето'!o1743-'[2]$ лето'!n1743-'[2]$ лето'!m1743-'[2]$ лето'!l1743+'[2]$ лето'!k1743+'[2]$ лето'!q1743+'[2]$ лето'!w1743+'[2]$ лето'!ac1743+'[2]$ лето'!ai1743+'[2]$ лето'!ao1743</f>
        <v>4</v>
      </c>
      <c r="I1743" s="109" t="n">
        <f aca="false">'[2]$ лето'!ay1743*1.1</f>
        <v>5236</v>
      </c>
    </row>
    <row r="1744" customFormat="false" ht="15" hidden="false" customHeight="false" outlineLevel="0" collapsed="false">
      <c r="A1744" s="115" t="s">
        <v>2339</v>
      </c>
      <c r="B1744" s="123" t="s">
        <v>981</v>
      </c>
      <c r="C1744" s="107" t="s">
        <v>2351</v>
      </c>
      <c r="D1744" s="107"/>
      <c r="E1744" s="116"/>
      <c r="F1744" s="116"/>
      <c r="G1744" s="108" t="s">
        <v>640</v>
      </c>
      <c r="H1744" s="105" t="n">
        <f aca="false">'[2]$ лето'!j1744-'[2]$ лето'!au1744-'[2]$ лето'!at1744-'[2]$ лето'!as1744-'[2]$ лето'!ar1744-'[2]$ лето'!aq1744-'[2]$ лето'!ap1744-'[2]$ лето'!an1744-'[2]$ лето'!am1744-'[2]$ лето'!al1744-'[2]$ лето'!ak1744-'[2]$ лето'!aj1744-'[2]$ лето'!ah1744-'[2]$ лето'!ag1744-'[2]$ лето'!af1744-'[2]$ лето'!ae1744-'[2]$ лето'!ad1744-'[2]$ лето'!ab1744-'[2]$ лето'!aa1744-'[2]$ лето'!z1744-'[2]$ лето'!y1744-'[2]$ лето'!x1744-'[2]$ лето'!v1744-'[2]$ лето'!u1744-'[2]$ лето'!t1744-'[2]$ лето'!s1744-'[2]$ лето'!r1744-'[2]$ лето'!p1744-'[2]$ лето'!o1744-'[2]$ лето'!n1744-'[2]$ лето'!m1744-'[2]$ лето'!l1744+'[2]$ лето'!k1744+'[2]$ лето'!q1744+'[2]$ лето'!w1744+'[2]$ лето'!ac1744+'[2]$ лето'!ai1744+'[2]$ лето'!ao1744</f>
        <v>12</v>
      </c>
      <c r="I1744" s="109" t="n">
        <f aca="false">'[2]$ лето'!ay1744*1.1</f>
        <v>3942.4</v>
      </c>
      <c r="J1744" s="85" t="n">
        <v>2017</v>
      </c>
    </row>
    <row r="1745" customFormat="false" ht="15" hidden="false" customHeight="false" outlineLevel="0" collapsed="false">
      <c r="A1745" s="115" t="s">
        <v>2352</v>
      </c>
      <c r="B1745" s="123" t="s">
        <v>658</v>
      </c>
      <c r="C1745" s="107" t="s">
        <v>2353</v>
      </c>
      <c r="D1745" s="107"/>
      <c r="E1745" s="116"/>
      <c r="F1745" s="116"/>
      <c r="G1745" s="108" t="s">
        <v>570</v>
      </c>
      <c r="H1745" s="105" t="n">
        <f aca="false">'[2]$ лето'!j1745-'[2]$ лето'!au1745-'[2]$ лето'!at1745-'[2]$ лето'!as1745-'[2]$ лето'!ar1745-'[2]$ лето'!aq1745-'[2]$ лето'!ap1745-'[2]$ лето'!an1745-'[2]$ лето'!am1745-'[2]$ лето'!al1745-'[2]$ лето'!ak1745-'[2]$ лето'!aj1745-'[2]$ лето'!ah1745-'[2]$ лето'!ag1745-'[2]$ лето'!af1745-'[2]$ лето'!ae1745-'[2]$ лето'!ad1745-'[2]$ лето'!ab1745-'[2]$ лето'!aa1745-'[2]$ лето'!z1745-'[2]$ лето'!y1745-'[2]$ лето'!x1745-'[2]$ лето'!v1745-'[2]$ лето'!u1745-'[2]$ лето'!t1745-'[2]$ лето'!s1745-'[2]$ лето'!r1745-'[2]$ лето'!p1745-'[2]$ лето'!o1745-'[2]$ лето'!n1745-'[2]$ лето'!m1745-'[2]$ лето'!l1745+'[2]$ лето'!k1745+'[2]$ лето'!q1745+'[2]$ лето'!w1745+'[2]$ лето'!ac1745+'[2]$ лето'!ai1745+'[2]$ лето'!ao1745</f>
        <v>4</v>
      </c>
      <c r="I1745" s="109" t="n">
        <f aca="false">'[2]$ лето'!ay1745*1.1</f>
        <v>6930</v>
      </c>
      <c r="J1745" s="85" t="n">
        <v>2016</v>
      </c>
    </row>
    <row r="1746" customFormat="false" ht="15" hidden="false" customHeight="false" outlineLevel="0" collapsed="false">
      <c r="A1746" s="115" t="s">
        <v>2352</v>
      </c>
      <c r="B1746" s="115" t="s">
        <v>593</v>
      </c>
      <c r="C1746" s="107" t="s">
        <v>2354</v>
      </c>
      <c r="D1746" s="107"/>
      <c r="E1746" s="116"/>
      <c r="F1746" s="116"/>
      <c r="G1746" s="108" t="s">
        <v>849</v>
      </c>
      <c r="H1746" s="105" t="n">
        <f aca="false">'[2]$ лето'!j1746-'[2]$ лето'!au1746-'[2]$ лето'!at1746-'[2]$ лето'!as1746-'[2]$ лето'!ar1746-'[2]$ лето'!aq1746-'[2]$ лето'!ap1746-'[2]$ лето'!an1746-'[2]$ лето'!am1746-'[2]$ лето'!al1746-'[2]$ лето'!ak1746-'[2]$ лето'!aj1746-'[2]$ лето'!ah1746-'[2]$ лето'!ag1746-'[2]$ лето'!af1746-'[2]$ лето'!ae1746-'[2]$ лето'!ad1746-'[2]$ лето'!ab1746-'[2]$ лето'!aa1746-'[2]$ лето'!z1746-'[2]$ лето'!y1746-'[2]$ лето'!x1746-'[2]$ лето'!v1746-'[2]$ лето'!u1746-'[2]$ лето'!t1746-'[2]$ лето'!s1746-'[2]$ лето'!r1746-'[2]$ лето'!p1746-'[2]$ лето'!o1746-'[2]$ лето'!n1746-'[2]$ лето'!m1746-'[2]$ лето'!l1746+'[2]$ лето'!k1746+'[2]$ лето'!q1746+'[2]$ лето'!w1746+'[2]$ лето'!ac1746+'[2]$ лето'!ai1746+'[2]$ лето'!ao1746</f>
        <v>4</v>
      </c>
      <c r="I1746" s="109" t="n">
        <f aca="false">'[2]$ лето'!ay1746*1.1</f>
        <v>7084</v>
      </c>
      <c r="J1746" s="85" t="n">
        <v>2016</v>
      </c>
    </row>
    <row r="1747" customFormat="false" ht="15" hidden="true" customHeight="false" outlineLevel="0" collapsed="false">
      <c r="A1747" s="115" t="s">
        <v>2352</v>
      </c>
      <c r="B1747" s="115" t="s">
        <v>801</v>
      </c>
      <c r="C1747" s="107" t="s">
        <v>2355</v>
      </c>
      <c r="D1747" s="107"/>
      <c r="E1747" s="107"/>
      <c r="F1747" s="107"/>
      <c r="G1747" s="108"/>
      <c r="H1747" s="105" t="n">
        <f aca="false">'[2]$ лето'!j1747-'[2]$ лето'!au1747-'[2]$ лето'!at1747-'[2]$ лето'!as1747-'[2]$ лето'!ar1747-'[2]$ лето'!aq1747-'[2]$ лето'!ap1747-'[2]$ лето'!an1747-'[2]$ лето'!am1747-'[2]$ лето'!al1747-'[2]$ лето'!ak1747-'[2]$ лето'!aj1747-'[2]$ лето'!ah1747-'[2]$ лето'!ag1747-'[2]$ лето'!af1747-'[2]$ лето'!ae1747-'[2]$ лето'!ad1747-'[2]$ лето'!ab1747-'[2]$ лето'!aa1747-'[2]$ лето'!z1747-'[2]$ лето'!y1747-'[2]$ лето'!x1747-'[2]$ лето'!v1747-'[2]$ лето'!u1747-'[2]$ лето'!t1747-'[2]$ лето'!s1747-'[2]$ лето'!r1747-'[2]$ лето'!p1747-'[2]$ лето'!o1747-'[2]$ лето'!n1747-'[2]$ лето'!m1747-'[2]$ лето'!l1747+'[2]$ лето'!k1747+'[2]$ лето'!q1747+'[2]$ лето'!w1747+'[2]$ лето'!ac1747+'[2]$ лето'!ai1747+'[2]$ лето'!ao1747</f>
        <v>0</v>
      </c>
      <c r="I1747" s="109" t="n">
        <f aca="false">'[2]$ лето'!ay1747*1.1</f>
        <v>6622</v>
      </c>
    </row>
    <row r="1748" customFormat="false" ht="15" hidden="false" customHeight="false" outlineLevel="0" collapsed="false">
      <c r="A1748" s="115" t="s">
        <v>2356</v>
      </c>
      <c r="B1748" s="115" t="s">
        <v>566</v>
      </c>
      <c r="C1748" s="107" t="s">
        <v>2357</v>
      </c>
      <c r="D1748" s="107"/>
      <c r="E1748" s="116"/>
      <c r="F1748" s="116"/>
      <c r="G1748" s="108" t="s">
        <v>563</v>
      </c>
      <c r="H1748" s="105" t="n">
        <f aca="false">'[2]$ лето'!j1748-'[2]$ лето'!au1748-'[2]$ лето'!at1748-'[2]$ лето'!as1748-'[2]$ лето'!ar1748-'[2]$ лето'!aq1748-'[2]$ лето'!ap1748-'[2]$ лето'!an1748-'[2]$ лето'!am1748-'[2]$ лето'!al1748-'[2]$ лето'!ak1748-'[2]$ лето'!aj1748-'[2]$ лето'!ah1748-'[2]$ лето'!ag1748-'[2]$ лето'!af1748-'[2]$ лето'!ae1748-'[2]$ лето'!ad1748-'[2]$ лето'!ab1748-'[2]$ лето'!aa1748-'[2]$ лето'!z1748-'[2]$ лето'!y1748-'[2]$ лето'!x1748-'[2]$ лето'!v1748-'[2]$ лето'!u1748-'[2]$ лето'!t1748-'[2]$ лето'!s1748-'[2]$ лето'!r1748-'[2]$ лето'!p1748-'[2]$ лето'!o1748-'[2]$ лето'!n1748-'[2]$ лето'!m1748-'[2]$ лето'!l1748+'[2]$ лето'!k1748+'[2]$ лето'!q1748+'[2]$ лето'!w1748+'[2]$ лето'!ac1748+'[2]$ лето'!ai1748+'[2]$ лето'!ao1748</f>
        <v>4</v>
      </c>
      <c r="I1748" s="109" t="n">
        <f aca="false">'[2]$ лето'!ay1748*1.1</f>
        <v>2772</v>
      </c>
      <c r="J1748" s="85" t="n">
        <v>2017</v>
      </c>
    </row>
    <row r="1749" customFormat="false" ht="15" hidden="true" customHeight="false" outlineLevel="0" collapsed="false">
      <c r="A1749" s="115" t="s">
        <v>2356</v>
      </c>
      <c r="B1749" s="115" t="s">
        <v>658</v>
      </c>
      <c r="C1749" s="107" t="s">
        <v>2358</v>
      </c>
      <c r="D1749" s="107"/>
      <c r="E1749" s="107"/>
      <c r="F1749" s="107"/>
      <c r="G1749" s="108"/>
      <c r="H1749" s="105" t="n">
        <f aca="false">'[2]$ лето'!j1749-'[2]$ лето'!au1749-'[2]$ лето'!at1749-'[2]$ лето'!as1749-'[2]$ лето'!ar1749-'[2]$ лето'!aq1749-'[2]$ лето'!ap1749-'[2]$ лето'!an1749-'[2]$ лето'!am1749-'[2]$ лето'!al1749-'[2]$ лето'!ak1749-'[2]$ лето'!aj1749-'[2]$ лето'!ah1749-'[2]$ лето'!ag1749-'[2]$ лето'!af1749-'[2]$ лето'!ae1749-'[2]$ лето'!ad1749-'[2]$ лето'!ab1749-'[2]$ лето'!aa1749-'[2]$ лето'!z1749-'[2]$ лето'!y1749-'[2]$ лето'!x1749-'[2]$ лето'!v1749-'[2]$ лето'!u1749-'[2]$ лето'!t1749-'[2]$ лето'!s1749-'[2]$ лето'!r1749-'[2]$ лето'!p1749-'[2]$ лето'!o1749-'[2]$ лето'!n1749-'[2]$ лето'!m1749-'[2]$ лето'!l1749+'[2]$ лето'!k1749+'[2]$ лето'!q1749+'[2]$ лето'!w1749+'[2]$ лето'!ac1749+'[2]$ лето'!ai1749+'[2]$ лето'!ao1749</f>
        <v>0</v>
      </c>
      <c r="I1749" s="109" t="n">
        <f aca="false">'[2]$ лето'!ay1749*1.1</f>
        <v>6006</v>
      </c>
      <c r="J1749" s="85" t="n">
        <v>2017</v>
      </c>
    </row>
    <row r="1750" customFormat="false" ht="15" hidden="false" customHeight="false" outlineLevel="0" collapsed="false">
      <c r="A1750" s="115" t="s">
        <v>2356</v>
      </c>
      <c r="B1750" s="115" t="s">
        <v>557</v>
      </c>
      <c r="C1750" s="107" t="s">
        <v>2359</v>
      </c>
      <c r="D1750" s="107"/>
      <c r="E1750" s="116"/>
      <c r="F1750" s="116"/>
      <c r="G1750" s="108"/>
      <c r="H1750" s="105" t="n">
        <f aca="false">'[2]$ лето'!j1750-'[2]$ лето'!au1750-'[2]$ лето'!at1750-'[2]$ лето'!as1750-'[2]$ лето'!ar1750-'[2]$ лето'!aq1750-'[2]$ лето'!ap1750-'[2]$ лето'!an1750-'[2]$ лето'!am1750-'[2]$ лето'!al1750-'[2]$ лето'!ak1750-'[2]$ лето'!aj1750-'[2]$ лето'!ah1750-'[2]$ лето'!ag1750-'[2]$ лето'!af1750-'[2]$ лето'!ae1750-'[2]$ лето'!ad1750-'[2]$ лето'!ab1750-'[2]$ лето'!aa1750-'[2]$ лето'!z1750-'[2]$ лето'!y1750-'[2]$ лето'!x1750-'[2]$ лето'!v1750-'[2]$ лето'!u1750-'[2]$ лето'!t1750-'[2]$ лето'!s1750-'[2]$ лето'!r1750-'[2]$ лето'!p1750-'[2]$ лето'!o1750-'[2]$ лето'!n1750-'[2]$ лето'!m1750-'[2]$ лето'!l1750+'[2]$ лето'!k1750+'[2]$ лето'!q1750+'[2]$ лето'!w1750+'[2]$ лето'!ac1750+'[2]$ лето'!ai1750+'[2]$ лето'!ao1750</f>
        <v>4</v>
      </c>
      <c r="I1750" s="109" t="n">
        <f aca="false">'[2]$ лето'!ay1750*1.1</f>
        <v>4004</v>
      </c>
    </row>
    <row r="1751" customFormat="false" ht="15" hidden="true" customHeight="false" outlineLevel="0" collapsed="false">
      <c r="A1751" s="115" t="s">
        <v>2356</v>
      </c>
      <c r="B1751" s="115" t="s">
        <v>744</v>
      </c>
      <c r="C1751" s="107" t="s">
        <v>2360</v>
      </c>
      <c r="D1751" s="107"/>
      <c r="E1751" s="107"/>
      <c r="F1751" s="107"/>
      <c r="G1751" s="108"/>
      <c r="H1751" s="105" t="n">
        <f aca="false">'[2]$ лето'!j1751-'[2]$ лето'!au1751-'[2]$ лето'!at1751-'[2]$ лето'!as1751-'[2]$ лето'!ar1751-'[2]$ лето'!aq1751-'[2]$ лето'!ap1751-'[2]$ лето'!an1751-'[2]$ лето'!am1751-'[2]$ лето'!al1751-'[2]$ лето'!ak1751-'[2]$ лето'!aj1751-'[2]$ лето'!ah1751-'[2]$ лето'!ag1751-'[2]$ лето'!af1751-'[2]$ лето'!ae1751-'[2]$ лето'!ad1751-'[2]$ лето'!ab1751-'[2]$ лето'!aa1751-'[2]$ лето'!z1751-'[2]$ лето'!y1751-'[2]$ лето'!x1751-'[2]$ лето'!v1751-'[2]$ лето'!u1751-'[2]$ лето'!t1751-'[2]$ лето'!s1751-'[2]$ лето'!r1751-'[2]$ лето'!p1751-'[2]$ лето'!o1751-'[2]$ лето'!n1751-'[2]$ лето'!m1751-'[2]$ лето'!l1751+'[2]$ лето'!k1751+'[2]$ лето'!q1751+'[2]$ лето'!w1751+'[2]$ лето'!ac1751+'[2]$ лето'!ai1751+'[2]$ лето'!ao1751</f>
        <v>0</v>
      </c>
      <c r="I1751" s="109" t="n">
        <f aca="false">'[2]$ лето'!ay1751*1.1</f>
        <v>4989.6</v>
      </c>
    </row>
    <row r="1752" customFormat="false" ht="15" hidden="true" customHeight="false" outlineLevel="0" collapsed="false">
      <c r="A1752" s="115" t="s">
        <v>2356</v>
      </c>
      <c r="B1752" s="115" t="s">
        <v>606</v>
      </c>
      <c r="C1752" s="107" t="s">
        <v>2361</v>
      </c>
      <c r="D1752" s="107"/>
      <c r="E1752" s="107"/>
      <c r="F1752" s="107"/>
      <c r="G1752" s="108"/>
      <c r="H1752" s="105" t="n">
        <f aca="false">'[2]$ лето'!j1752-'[2]$ лето'!au1752-'[2]$ лето'!at1752-'[2]$ лето'!as1752-'[2]$ лето'!ar1752-'[2]$ лето'!aq1752-'[2]$ лето'!ap1752-'[2]$ лето'!an1752-'[2]$ лето'!am1752-'[2]$ лето'!al1752-'[2]$ лето'!ak1752-'[2]$ лето'!aj1752-'[2]$ лето'!ah1752-'[2]$ лето'!ag1752-'[2]$ лето'!af1752-'[2]$ лето'!ae1752-'[2]$ лето'!ad1752-'[2]$ лето'!ab1752-'[2]$ лето'!aa1752-'[2]$ лето'!z1752-'[2]$ лето'!y1752-'[2]$ лето'!x1752-'[2]$ лето'!v1752-'[2]$ лето'!u1752-'[2]$ лето'!t1752-'[2]$ лето'!s1752-'[2]$ лето'!r1752-'[2]$ лето'!p1752-'[2]$ лето'!o1752-'[2]$ лето'!n1752-'[2]$ лето'!m1752-'[2]$ лето'!l1752+'[2]$ лето'!k1752+'[2]$ лето'!q1752+'[2]$ лето'!w1752+'[2]$ лето'!ac1752+'[2]$ лето'!ai1752+'[2]$ лето'!ao1752</f>
        <v>0</v>
      </c>
      <c r="I1752" s="109" t="n">
        <f aca="false">'[2]$ лето'!ay1752*1.1</f>
        <v>4312</v>
      </c>
    </row>
    <row r="1753" customFormat="false" ht="15" hidden="false" customHeight="false" outlineLevel="0" collapsed="false">
      <c r="A1753" s="115" t="s">
        <v>2356</v>
      </c>
      <c r="B1753" s="115" t="s">
        <v>615</v>
      </c>
      <c r="C1753" s="116" t="s">
        <v>2362</v>
      </c>
      <c r="D1753" s="116"/>
      <c r="E1753" s="116"/>
      <c r="F1753" s="116"/>
      <c r="G1753" s="108"/>
      <c r="H1753" s="105" t="n">
        <f aca="false">'[2]$ лето'!j1753-'[2]$ лето'!au1753-'[2]$ лето'!at1753-'[2]$ лето'!as1753-'[2]$ лето'!ar1753-'[2]$ лето'!aq1753-'[2]$ лето'!ap1753-'[2]$ лето'!an1753-'[2]$ лето'!am1753-'[2]$ лето'!al1753-'[2]$ лето'!ak1753-'[2]$ лето'!aj1753-'[2]$ лето'!ah1753-'[2]$ лето'!ag1753-'[2]$ лето'!af1753-'[2]$ лето'!ae1753-'[2]$ лето'!ad1753-'[2]$ лето'!ab1753-'[2]$ лето'!aa1753-'[2]$ лето'!z1753-'[2]$ лето'!y1753-'[2]$ лето'!x1753-'[2]$ лето'!v1753-'[2]$ лето'!u1753-'[2]$ лето'!t1753-'[2]$ лето'!s1753-'[2]$ лето'!r1753-'[2]$ лето'!p1753-'[2]$ лето'!o1753-'[2]$ лето'!n1753-'[2]$ лето'!m1753-'[2]$ лето'!l1753+'[2]$ лето'!k1753+'[2]$ лето'!q1753+'[2]$ лето'!w1753+'[2]$ лето'!ac1753+'[2]$ лето'!ai1753+'[2]$ лето'!ao1753</f>
        <v>4</v>
      </c>
      <c r="I1753" s="109" t="n">
        <f aca="false">'[2]$ лето'!ay1753*1.1</f>
        <v>3850</v>
      </c>
    </row>
    <row r="1754" customFormat="false" ht="15" hidden="true" customHeight="false" outlineLevel="0" collapsed="false">
      <c r="A1754" s="115" t="s">
        <v>2356</v>
      </c>
      <c r="B1754" s="115" t="s">
        <v>677</v>
      </c>
      <c r="C1754" s="116" t="s">
        <v>2363</v>
      </c>
      <c r="D1754" s="116"/>
      <c r="E1754" s="116"/>
      <c r="F1754" s="116"/>
      <c r="G1754" s="108"/>
      <c r="H1754" s="105" t="n">
        <f aca="false">'[2]$ лето'!j1754-'[2]$ лето'!au1754-'[2]$ лето'!at1754-'[2]$ лето'!as1754-'[2]$ лето'!ar1754-'[2]$ лето'!aq1754-'[2]$ лето'!ap1754-'[2]$ лето'!an1754-'[2]$ лето'!am1754-'[2]$ лето'!al1754-'[2]$ лето'!ak1754-'[2]$ лето'!aj1754-'[2]$ лето'!ah1754-'[2]$ лето'!ag1754-'[2]$ лето'!af1754-'[2]$ лето'!ae1754-'[2]$ лето'!ad1754-'[2]$ лето'!ab1754-'[2]$ лето'!aa1754-'[2]$ лето'!z1754-'[2]$ лето'!y1754-'[2]$ лето'!x1754-'[2]$ лето'!v1754-'[2]$ лето'!u1754-'[2]$ лето'!t1754-'[2]$ лето'!s1754-'[2]$ лето'!r1754-'[2]$ лето'!p1754-'[2]$ лето'!o1754-'[2]$ лето'!n1754-'[2]$ лето'!m1754-'[2]$ лето'!l1754+'[2]$ лето'!k1754+'[2]$ лето'!q1754+'[2]$ лето'!w1754+'[2]$ лето'!ac1754+'[2]$ лето'!ai1754+'[2]$ лето'!ao1754</f>
        <v>0</v>
      </c>
      <c r="I1754" s="109" t="n">
        <f aca="false">'[2]$ лето'!ay1754*1.1</f>
        <v>3388</v>
      </c>
    </row>
    <row r="1755" customFormat="false" ht="15" hidden="false" customHeight="false" outlineLevel="0" collapsed="false">
      <c r="A1755" s="129" t="s">
        <v>2356</v>
      </c>
      <c r="B1755" s="129" t="s">
        <v>589</v>
      </c>
      <c r="C1755" s="131" t="s">
        <v>2364</v>
      </c>
      <c r="D1755" s="131"/>
      <c r="E1755" s="131"/>
      <c r="F1755" s="131"/>
      <c r="G1755" s="132"/>
      <c r="H1755" s="105" t="n">
        <f aca="false">'[2]$ лето'!j1755-'[2]$ лето'!au1755-'[2]$ лето'!at1755-'[2]$ лето'!as1755-'[2]$ лето'!ar1755-'[2]$ лето'!aq1755-'[2]$ лето'!ap1755-'[2]$ лето'!an1755-'[2]$ лето'!am1755-'[2]$ лето'!al1755-'[2]$ лето'!ak1755-'[2]$ лето'!aj1755-'[2]$ лето'!ah1755-'[2]$ лето'!ag1755-'[2]$ лето'!af1755-'[2]$ лето'!ae1755-'[2]$ лето'!ad1755-'[2]$ лето'!ab1755-'[2]$ лето'!aa1755-'[2]$ лето'!z1755-'[2]$ лето'!y1755-'[2]$ лето'!x1755-'[2]$ лето'!v1755-'[2]$ лето'!u1755-'[2]$ лето'!t1755-'[2]$ лето'!s1755-'[2]$ лето'!r1755-'[2]$ лето'!p1755-'[2]$ лето'!o1755-'[2]$ лето'!n1755-'[2]$ лето'!m1755-'[2]$ лето'!l1755+'[2]$ лето'!k1755+'[2]$ лето'!q1755+'[2]$ лето'!w1755+'[2]$ лето'!ac1755+'[2]$ лето'!ai1755+'[2]$ лето'!ao1755</f>
        <v>1</v>
      </c>
      <c r="I1755" s="133"/>
    </row>
    <row r="1756" customFormat="false" ht="15" hidden="false" customHeight="false" outlineLevel="0" collapsed="false">
      <c r="A1756" s="115" t="s">
        <v>2356</v>
      </c>
      <c r="B1756" s="115" t="s">
        <v>589</v>
      </c>
      <c r="C1756" s="116" t="s">
        <v>2365</v>
      </c>
      <c r="D1756" s="116"/>
      <c r="E1756" s="116"/>
      <c r="F1756" s="116"/>
      <c r="G1756" s="108"/>
      <c r="H1756" s="105" t="n">
        <f aca="false">'[2]$ лето'!j1756-'[2]$ лето'!au1756-'[2]$ лето'!at1756-'[2]$ лето'!as1756-'[2]$ лето'!ar1756-'[2]$ лето'!aq1756-'[2]$ лето'!ap1756-'[2]$ лето'!an1756-'[2]$ лето'!am1756-'[2]$ лето'!al1756-'[2]$ лето'!ak1756-'[2]$ лето'!aj1756-'[2]$ лето'!ah1756-'[2]$ лето'!ag1756-'[2]$ лето'!af1756-'[2]$ лето'!ae1756-'[2]$ лето'!ad1756-'[2]$ лето'!ab1756-'[2]$ лето'!aa1756-'[2]$ лето'!z1756-'[2]$ лето'!y1756-'[2]$ лето'!x1756-'[2]$ лето'!v1756-'[2]$ лето'!u1756-'[2]$ лето'!t1756-'[2]$ лето'!s1756-'[2]$ лето'!r1756-'[2]$ лето'!p1756-'[2]$ лето'!o1756-'[2]$ лето'!n1756-'[2]$ лето'!m1756-'[2]$ лето'!l1756+'[2]$ лето'!k1756+'[2]$ лето'!q1756+'[2]$ лето'!w1756+'[2]$ лето'!ac1756+'[2]$ лето'!ai1756+'[2]$ лето'!ao1756</f>
        <v>8</v>
      </c>
      <c r="I1756" s="124" t="n">
        <f aca="false">'[2]$ лето'!ay1756*1.1</f>
        <v>6248</v>
      </c>
    </row>
    <row r="1757" customFormat="false" ht="15" hidden="false" customHeight="false" outlineLevel="0" collapsed="false">
      <c r="A1757" s="129" t="s">
        <v>2356</v>
      </c>
      <c r="B1757" s="129" t="s">
        <v>589</v>
      </c>
      <c r="C1757" s="131" t="s">
        <v>2366</v>
      </c>
      <c r="D1757" s="131"/>
      <c r="E1757" s="131"/>
      <c r="F1757" s="131"/>
      <c r="G1757" s="132"/>
      <c r="H1757" s="105" t="n">
        <f aca="false">'[2]$ лето'!j1757-'[2]$ лето'!au1757-'[2]$ лето'!at1757-'[2]$ лето'!as1757-'[2]$ лето'!ar1757-'[2]$ лето'!aq1757-'[2]$ лето'!ap1757-'[2]$ лето'!an1757-'[2]$ лето'!am1757-'[2]$ лето'!al1757-'[2]$ лето'!ak1757-'[2]$ лето'!aj1757-'[2]$ лето'!ah1757-'[2]$ лето'!ag1757-'[2]$ лето'!af1757-'[2]$ лето'!ae1757-'[2]$ лето'!ad1757-'[2]$ лето'!ab1757-'[2]$ лето'!aa1757-'[2]$ лето'!z1757-'[2]$ лето'!y1757-'[2]$ лето'!x1757-'[2]$ лето'!v1757-'[2]$ лето'!u1757-'[2]$ лето'!t1757-'[2]$ лето'!s1757-'[2]$ лето'!r1757-'[2]$ лето'!p1757-'[2]$ лето'!o1757-'[2]$ лето'!n1757-'[2]$ лето'!m1757-'[2]$ лето'!l1757+'[2]$ лето'!k1757+'[2]$ лето'!q1757+'[2]$ лето'!w1757+'[2]$ лето'!ac1757+'[2]$ лето'!ai1757+'[2]$ лето'!ao1757</f>
        <v>1</v>
      </c>
      <c r="I1757" s="133"/>
    </row>
    <row r="1758" customFormat="false" ht="15" hidden="false" customHeight="false" outlineLevel="0" collapsed="false">
      <c r="A1758" s="115" t="s">
        <v>2356</v>
      </c>
      <c r="B1758" s="115" t="s">
        <v>589</v>
      </c>
      <c r="C1758" s="116" t="s">
        <v>2304</v>
      </c>
      <c r="D1758" s="116"/>
      <c r="E1758" s="116"/>
      <c r="F1758" s="116"/>
      <c r="G1758" s="108"/>
      <c r="H1758" s="105" t="n">
        <f aca="false">'[2]$ лето'!j1758-'[2]$ лето'!au1758-'[2]$ лето'!at1758-'[2]$ лето'!as1758-'[2]$ лето'!ar1758-'[2]$ лето'!aq1758-'[2]$ лето'!ap1758-'[2]$ лето'!an1758-'[2]$ лето'!am1758-'[2]$ лето'!al1758-'[2]$ лето'!ak1758-'[2]$ лето'!aj1758-'[2]$ лето'!ah1758-'[2]$ лето'!ag1758-'[2]$ лето'!af1758-'[2]$ лето'!ae1758-'[2]$ лето'!ad1758-'[2]$ лето'!ab1758-'[2]$ лето'!aa1758-'[2]$ лето'!z1758-'[2]$ лето'!y1758-'[2]$ лето'!x1758-'[2]$ лето'!v1758-'[2]$ лето'!u1758-'[2]$ лето'!t1758-'[2]$ лето'!s1758-'[2]$ лето'!r1758-'[2]$ лето'!p1758-'[2]$ лето'!o1758-'[2]$ лето'!n1758-'[2]$ лето'!m1758-'[2]$ лето'!l1758+'[2]$ лето'!k1758+'[2]$ лето'!q1758+'[2]$ лето'!w1758+'[2]$ лето'!ac1758+'[2]$ лето'!ai1758+'[2]$ лето'!ao1758</f>
        <v>4</v>
      </c>
      <c r="I1758" s="109" t="n">
        <f aca="false">'[2]$ лето'!ay1758*1.1</f>
        <v>4998.4</v>
      </c>
    </row>
    <row r="1759" customFormat="false" ht="15" hidden="false" customHeight="false" outlineLevel="0" collapsed="false">
      <c r="A1759" s="157" t="s">
        <v>2367</v>
      </c>
      <c r="B1759" s="158" t="s">
        <v>2368</v>
      </c>
      <c r="C1759" s="131"/>
      <c r="D1759" s="131"/>
      <c r="E1759" s="131"/>
      <c r="F1759" s="131"/>
      <c r="G1759" s="132"/>
      <c r="H1759" s="105" t="n">
        <f aca="false">'[2]$ лето'!j1759-'[2]$ лето'!au1759-'[2]$ лето'!at1759-'[2]$ лето'!as1759-'[2]$ лето'!ar1759-'[2]$ лето'!aq1759-'[2]$ лето'!ap1759-'[2]$ лето'!an1759-'[2]$ лето'!am1759-'[2]$ лето'!al1759-'[2]$ лето'!ak1759-'[2]$ лето'!aj1759-'[2]$ лето'!ah1759-'[2]$ лето'!ag1759-'[2]$ лето'!af1759-'[2]$ лето'!ae1759-'[2]$ лето'!ad1759-'[2]$ лето'!ab1759-'[2]$ лето'!aa1759-'[2]$ лето'!z1759-'[2]$ лето'!y1759-'[2]$ лето'!x1759-'[2]$ лето'!v1759-'[2]$ лето'!u1759-'[2]$ лето'!t1759-'[2]$ лето'!s1759-'[2]$ лето'!r1759-'[2]$ лето'!p1759-'[2]$ лето'!o1759-'[2]$ лето'!n1759-'[2]$ лето'!m1759-'[2]$ лето'!l1759+'[2]$ лето'!k1759+'[2]$ лето'!q1759+'[2]$ лето'!w1759+'[2]$ лето'!ac1759+'[2]$ лето'!ai1759+'[2]$ лето'!ao1759</f>
        <v>4</v>
      </c>
      <c r="I1759" s="133" t="n">
        <f aca="false">'[2]$ лето'!ay1759*1.1</f>
        <v>2090</v>
      </c>
    </row>
    <row r="1760" customFormat="false" ht="15" hidden="true" customHeight="false" outlineLevel="0" collapsed="false">
      <c r="A1760" s="115" t="s">
        <v>2367</v>
      </c>
      <c r="B1760" s="115" t="s">
        <v>557</v>
      </c>
      <c r="C1760" s="107" t="s">
        <v>2369</v>
      </c>
      <c r="D1760" s="107"/>
      <c r="E1760" s="107"/>
      <c r="F1760" s="107"/>
      <c r="G1760" s="108"/>
      <c r="H1760" s="105" t="n">
        <f aca="false">'[2]$ лето'!j1760-'[2]$ лето'!au1760-'[2]$ лето'!at1760-'[2]$ лето'!as1760-'[2]$ лето'!ar1760-'[2]$ лето'!aq1760-'[2]$ лето'!ap1760-'[2]$ лето'!an1760-'[2]$ лето'!am1760-'[2]$ лето'!al1760-'[2]$ лето'!ak1760-'[2]$ лето'!aj1760-'[2]$ лето'!ah1760-'[2]$ лето'!ag1760-'[2]$ лето'!af1760-'[2]$ лето'!ae1760-'[2]$ лето'!ad1760-'[2]$ лето'!ab1760-'[2]$ лето'!aa1760-'[2]$ лето'!z1760-'[2]$ лето'!y1760-'[2]$ лето'!x1760-'[2]$ лето'!v1760-'[2]$ лето'!u1760-'[2]$ лето'!t1760-'[2]$ лето'!s1760-'[2]$ лето'!r1760-'[2]$ лето'!p1760-'[2]$ лето'!o1760-'[2]$ лето'!n1760-'[2]$ лето'!m1760-'[2]$ лето'!l1760+'[2]$ лето'!k1760+'[2]$ лето'!q1760+'[2]$ лето'!w1760+'[2]$ лето'!ac1760+'[2]$ лето'!ai1760+'[2]$ лето'!ao1760</f>
        <v>0</v>
      </c>
      <c r="I1760" s="109" t="n">
        <f aca="false">'[2]$ лето'!ay1760*1.1</f>
        <v>4312</v>
      </c>
    </row>
    <row r="1761" customFormat="false" ht="15" hidden="false" customHeight="false" outlineLevel="0" collapsed="false">
      <c r="A1761" s="115" t="s">
        <v>2367</v>
      </c>
      <c r="B1761" s="115" t="s">
        <v>606</v>
      </c>
      <c r="C1761" s="107" t="s">
        <v>2370</v>
      </c>
      <c r="D1761" s="107"/>
      <c r="E1761" s="116"/>
      <c r="F1761" s="116"/>
      <c r="G1761" s="108" t="s">
        <v>609</v>
      </c>
      <c r="H1761" s="105" t="n">
        <f aca="false">'[2]$ лето'!j1761-'[2]$ лето'!au1761-'[2]$ лето'!at1761-'[2]$ лето'!as1761-'[2]$ лето'!ar1761-'[2]$ лето'!aq1761-'[2]$ лето'!ap1761-'[2]$ лето'!an1761-'[2]$ лето'!am1761-'[2]$ лето'!al1761-'[2]$ лето'!ak1761-'[2]$ лето'!aj1761-'[2]$ лето'!ah1761-'[2]$ лето'!ag1761-'[2]$ лето'!af1761-'[2]$ лето'!ae1761-'[2]$ лето'!ad1761-'[2]$ лето'!ab1761-'[2]$ лето'!aa1761-'[2]$ лето'!z1761-'[2]$ лето'!y1761-'[2]$ лето'!x1761-'[2]$ лето'!v1761-'[2]$ лето'!u1761-'[2]$ лето'!t1761-'[2]$ лето'!s1761-'[2]$ лето'!r1761-'[2]$ лето'!p1761-'[2]$ лето'!o1761-'[2]$ лето'!n1761-'[2]$ лето'!m1761-'[2]$ лето'!l1761+'[2]$ лето'!k1761+'[2]$ лето'!q1761+'[2]$ лето'!w1761+'[2]$ лето'!ac1761+'[2]$ лето'!ai1761+'[2]$ лето'!ao1761</f>
        <v>8</v>
      </c>
      <c r="I1761" s="109" t="n">
        <f aca="false">'[2]$ лето'!ay1761*1.1</f>
        <v>4774</v>
      </c>
      <c r="J1761" s="85" t="n">
        <v>2017</v>
      </c>
    </row>
    <row r="1762" customFormat="false" ht="15" hidden="false" customHeight="false" outlineLevel="0" collapsed="false">
      <c r="A1762" s="115" t="s">
        <v>2367</v>
      </c>
      <c r="B1762" s="115" t="s">
        <v>1471</v>
      </c>
      <c r="C1762" s="107" t="s">
        <v>2371</v>
      </c>
      <c r="D1762" s="107"/>
      <c r="E1762" s="116"/>
      <c r="F1762" s="116"/>
      <c r="G1762" s="108" t="s">
        <v>609</v>
      </c>
      <c r="H1762" s="105" t="n">
        <f aca="false">'[2]$ лето'!j1762-'[2]$ лето'!au1762-'[2]$ лето'!at1762-'[2]$ лето'!as1762-'[2]$ лето'!ar1762-'[2]$ лето'!aq1762-'[2]$ лето'!ap1762-'[2]$ лето'!an1762-'[2]$ лето'!am1762-'[2]$ лето'!al1762-'[2]$ лето'!ak1762-'[2]$ лето'!aj1762-'[2]$ лето'!ah1762-'[2]$ лето'!ag1762-'[2]$ лето'!af1762-'[2]$ лето'!ae1762-'[2]$ лето'!ad1762-'[2]$ лето'!ab1762-'[2]$ лето'!aa1762-'[2]$ лето'!z1762-'[2]$ лето'!y1762-'[2]$ лето'!x1762-'[2]$ лето'!v1762-'[2]$ лето'!u1762-'[2]$ лето'!t1762-'[2]$ лето'!s1762-'[2]$ лето'!r1762-'[2]$ лето'!p1762-'[2]$ лето'!o1762-'[2]$ лето'!n1762-'[2]$ лето'!m1762-'[2]$ лето'!l1762+'[2]$ лето'!k1762+'[2]$ лето'!q1762+'[2]$ лето'!w1762+'[2]$ лето'!ac1762+'[2]$ лето'!ai1762+'[2]$ лето'!ao1762</f>
        <v>4</v>
      </c>
      <c r="I1762" s="109" t="n">
        <f aca="false">'[2]$ лето'!ay1762*1.1</f>
        <v>4065.6</v>
      </c>
      <c r="J1762" s="85" t="n">
        <v>2016</v>
      </c>
    </row>
    <row r="1763" customFormat="false" ht="15" hidden="false" customHeight="false" outlineLevel="0" collapsed="false">
      <c r="A1763" s="115" t="s">
        <v>2367</v>
      </c>
      <c r="B1763" s="115" t="s">
        <v>593</v>
      </c>
      <c r="C1763" s="107" t="s">
        <v>2372</v>
      </c>
      <c r="D1763" s="107"/>
      <c r="E1763" s="116"/>
      <c r="F1763" s="116"/>
      <c r="G1763" s="108" t="s">
        <v>1432</v>
      </c>
      <c r="H1763" s="105" t="n">
        <f aca="false">'[2]$ лето'!j1763-'[2]$ лето'!au1763-'[2]$ лето'!at1763-'[2]$ лето'!as1763-'[2]$ лето'!ar1763-'[2]$ лето'!aq1763-'[2]$ лето'!ap1763-'[2]$ лето'!an1763-'[2]$ лето'!am1763-'[2]$ лето'!al1763-'[2]$ лето'!ak1763-'[2]$ лето'!aj1763-'[2]$ лето'!ah1763-'[2]$ лето'!ag1763-'[2]$ лето'!af1763-'[2]$ лето'!ae1763-'[2]$ лето'!ad1763-'[2]$ лето'!ab1763-'[2]$ лето'!aa1763-'[2]$ лето'!z1763-'[2]$ лето'!y1763-'[2]$ лето'!x1763-'[2]$ лето'!v1763-'[2]$ лето'!u1763-'[2]$ лето'!t1763-'[2]$ лето'!s1763-'[2]$ лето'!r1763-'[2]$ лето'!p1763-'[2]$ лето'!o1763-'[2]$ лето'!n1763-'[2]$ лето'!m1763-'[2]$ лето'!l1763+'[2]$ лето'!k1763+'[2]$ лето'!q1763+'[2]$ лето'!w1763+'[2]$ лето'!ac1763+'[2]$ лето'!ai1763+'[2]$ лето'!ao1763</f>
        <v>4</v>
      </c>
      <c r="I1763" s="109" t="n">
        <f aca="false">'[2]$ лето'!ay1763*1.1</f>
        <v>6622</v>
      </c>
      <c r="J1763" s="85" t="n">
        <v>2017</v>
      </c>
    </row>
    <row r="1764" customFormat="false" ht="15" hidden="true" customHeight="false" outlineLevel="0" collapsed="false">
      <c r="A1764" s="115" t="s">
        <v>2367</v>
      </c>
      <c r="B1764" s="115" t="s">
        <v>615</v>
      </c>
      <c r="C1764" s="107" t="s">
        <v>2373</v>
      </c>
      <c r="D1764" s="107"/>
      <c r="E1764" s="107"/>
      <c r="F1764" s="107"/>
      <c r="G1764" s="108"/>
      <c r="H1764" s="105" t="n">
        <f aca="false">'[2]$ лето'!j1764-'[2]$ лето'!au1764-'[2]$ лето'!at1764-'[2]$ лето'!as1764-'[2]$ лето'!ar1764-'[2]$ лето'!aq1764-'[2]$ лето'!ap1764-'[2]$ лето'!an1764-'[2]$ лето'!am1764-'[2]$ лето'!al1764-'[2]$ лето'!ak1764-'[2]$ лето'!aj1764-'[2]$ лето'!ah1764-'[2]$ лето'!ag1764-'[2]$ лето'!af1764-'[2]$ лето'!ae1764-'[2]$ лето'!ad1764-'[2]$ лето'!ab1764-'[2]$ лето'!aa1764-'[2]$ лето'!z1764-'[2]$ лето'!y1764-'[2]$ лето'!x1764-'[2]$ лето'!v1764-'[2]$ лето'!u1764-'[2]$ лето'!t1764-'[2]$ лето'!s1764-'[2]$ лето'!r1764-'[2]$ лето'!p1764-'[2]$ лето'!o1764-'[2]$ лето'!n1764-'[2]$ лето'!m1764-'[2]$ лето'!l1764+'[2]$ лето'!k1764+'[2]$ лето'!q1764+'[2]$ лето'!w1764+'[2]$ лето'!ac1764+'[2]$ лето'!ai1764+'[2]$ лето'!ao1764</f>
        <v>0</v>
      </c>
      <c r="I1764" s="109" t="n">
        <f aca="false">'[2]$ лето'!ay1764*1.1</f>
        <v>3388</v>
      </c>
    </row>
    <row r="1765" customFormat="false" ht="15" hidden="true" customHeight="false" outlineLevel="0" collapsed="false">
      <c r="A1765" s="115" t="s">
        <v>2367</v>
      </c>
      <c r="B1765" s="115" t="s">
        <v>677</v>
      </c>
      <c r="C1765" s="107" t="s">
        <v>2374</v>
      </c>
      <c r="D1765" s="107"/>
      <c r="E1765" s="107"/>
      <c r="F1765" s="107"/>
      <c r="G1765" s="108"/>
      <c r="H1765" s="105" t="n">
        <f aca="false">'[2]$ лето'!j1765-'[2]$ лето'!au1765-'[2]$ лето'!at1765-'[2]$ лето'!as1765-'[2]$ лето'!ar1765-'[2]$ лето'!aq1765-'[2]$ лето'!ap1765-'[2]$ лето'!an1765-'[2]$ лето'!am1765-'[2]$ лето'!al1765-'[2]$ лето'!ak1765-'[2]$ лето'!aj1765-'[2]$ лето'!ah1765-'[2]$ лето'!ag1765-'[2]$ лето'!af1765-'[2]$ лето'!ae1765-'[2]$ лето'!ad1765-'[2]$ лето'!ab1765-'[2]$ лето'!aa1765-'[2]$ лето'!z1765-'[2]$ лето'!y1765-'[2]$ лето'!x1765-'[2]$ лето'!v1765-'[2]$ лето'!u1765-'[2]$ лето'!t1765-'[2]$ лето'!s1765-'[2]$ лето'!r1765-'[2]$ лето'!p1765-'[2]$ лето'!o1765-'[2]$ лето'!n1765-'[2]$ лето'!m1765-'[2]$ лето'!l1765+'[2]$ лето'!k1765+'[2]$ лето'!q1765+'[2]$ лето'!w1765+'[2]$ лето'!ac1765+'[2]$ лето'!ai1765+'[2]$ лето'!ao1765</f>
        <v>0</v>
      </c>
      <c r="I1765" s="109" t="n">
        <f aca="false">'[2]$ лето'!ay1765*1.1</f>
        <v>3696</v>
      </c>
    </row>
    <row r="1766" customFormat="false" ht="15" hidden="true" customHeight="false" outlineLevel="0" collapsed="false">
      <c r="A1766" s="115" t="s">
        <v>2367</v>
      </c>
      <c r="B1766" s="115" t="s">
        <v>589</v>
      </c>
      <c r="C1766" s="116" t="s">
        <v>1460</v>
      </c>
      <c r="D1766" s="116"/>
      <c r="E1766" s="116"/>
      <c r="F1766" s="116"/>
      <c r="G1766" s="108"/>
      <c r="H1766" s="105" t="n">
        <f aca="false">'[2]$ лето'!j1766-'[2]$ лето'!au1766-'[2]$ лето'!at1766-'[2]$ лето'!as1766-'[2]$ лето'!ar1766-'[2]$ лето'!aq1766-'[2]$ лето'!ap1766-'[2]$ лето'!an1766-'[2]$ лето'!am1766-'[2]$ лето'!al1766-'[2]$ лето'!ak1766-'[2]$ лето'!aj1766-'[2]$ лето'!ah1766-'[2]$ лето'!ag1766-'[2]$ лето'!af1766-'[2]$ лето'!ae1766-'[2]$ лето'!ad1766-'[2]$ лето'!ab1766-'[2]$ лето'!aa1766-'[2]$ лето'!z1766-'[2]$ лето'!y1766-'[2]$ лето'!x1766-'[2]$ лето'!v1766-'[2]$ лето'!u1766-'[2]$ лето'!t1766-'[2]$ лето'!s1766-'[2]$ лето'!r1766-'[2]$ лето'!p1766-'[2]$ лето'!o1766-'[2]$ лето'!n1766-'[2]$ лето'!m1766-'[2]$ лето'!l1766+'[2]$ лето'!k1766+'[2]$ лето'!q1766+'[2]$ лето'!w1766+'[2]$ лето'!ac1766+'[2]$ лето'!ai1766+'[2]$ лето'!ao1766</f>
        <v>0</v>
      </c>
      <c r="I1766" s="109" t="n">
        <f aca="false">'[2]$ лето'!ay1766*1.1</f>
        <v>6160</v>
      </c>
    </row>
    <row r="1767" customFormat="false" ht="15" hidden="false" customHeight="false" outlineLevel="0" collapsed="false">
      <c r="A1767" s="115" t="s">
        <v>2375</v>
      </c>
      <c r="B1767" s="115" t="s">
        <v>566</v>
      </c>
      <c r="C1767" s="116" t="s">
        <v>2376</v>
      </c>
      <c r="D1767" s="116"/>
      <c r="E1767" s="116"/>
      <c r="F1767" s="116"/>
      <c r="G1767" s="108" t="s">
        <v>563</v>
      </c>
      <c r="H1767" s="105" t="n">
        <f aca="false">'[2]$ лето'!j1767-'[2]$ лето'!au1767-'[2]$ лето'!at1767-'[2]$ лето'!as1767-'[2]$ лето'!ar1767-'[2]$ лето'!aq1767-'[2]$ лето'!ap1767-'[2]$ лето'!an1767-'[2]$ лето'!am1767-'[2]$ лето'!al1767-'[2]$ лето'!ak1767-'[2]$ лето'!aj1767-'[2]$ лето'!ah1767-'[2]$ лето'!ag1767-'[2]$ лето'!af1767-'[2]$ лето'!ae1767-'[2]$ лето'!ad1767-'[2]$ лето'!ab1767-'[2]$ лето'!aa1767-'[2]$ лето'!z1767-'[2]$ лето'!y1767-'[2]$ лето'!x1767-'[2]$ лето'!v1767-'[2]$ лето'!u1767-'[2]$ лето'!t1767-'[2]$ лето'!s1767-'[2]$ лето'!r1767-'[2]$ лето'!p1767-'[2]$ лето'!o1767-'[2]$ лето'!n1767-'[2]$ лето'!m1767-'[2]$ лето'!l1767+'[2]$ лето'!k1767+'[2]$ лето'!q1767+'[2]$ лето'!w1767+'[2]$ лето'!ac1767+'[2]$ лето'!ai1767+'[2]$ лето'!ao1767</f>
        <v>2</v>
      </c>
      <c r="I1767" s="109" t="n">
        <f aca="false">'[2]$ лето'!ay1767*1.1</f>
        <v>3080</v>
      </c>
      <c r="J1767" s="85" t="n">
        <v>2017</v>
      </c>
    </row>
    <row r="1768" customFormat="false" ht="15" hidden="true" customHeight="false" outlineLevel="0" collapsed="false">
      <c r="A1768" s="115" t="s">
        <v>2375</v>
      </c>
      <c r="B1768" s="115" t="s">
        <v>658</v>
      </c>
      <c r="C1768" s="116" t="s">
        <v>2377</v>
      </c>
      <c r="D1768" s="116"/>
      <c r="E1768" s="116"/>
      <c r="F1768" s="116"/>
      <c r="G1768" s="108"/>
      <c r="H1768" s="105" t="n">
        <f aca="false">'[2]$ лето'!j1768-'[2]$ лето'!au1768-'[2]$ лето'!at1768-'[2]$ лето'!as1768-'[2]$ лето'!ar1768-'[2]$ лето'!aq1768-'[2]$ лето'!ap1768-'[2]$ лето'!an1768-'[2]$ лето'!am1768-'[2]$ лето'!al1768-'[2]$ лето'!ak1768-'[2]$ лето'!aj1768-'[2]$ лето'!ah1768-'[2]$ лето'!ag1768-'[2]$ лето'!af1768-'[2]$ лето'!ae1768-'[2]$ лето'!ad1768-'[2]$ лето'!ab1768-'[2]$ лето'!aa1768-'[2]$ лето'!z1768-'[2]$ лето'!y1768-'[2]$ лето'!x1768-'[2]$ лето'!v1768-'[2]$ лето'!u1768-'[2]$ лето'!t1768-'[2]$ лето'!s1768-'[2]$ лето'!r1768-'[2]$ лето'!p1768-'[2]$ лето'!o1768-'[2]$ лето'!n1768-'[2]$ лето'!m1768-'[2]$ лето'!l1768+'[2]$ лето'!k1768+'[2]$ лето'!q1768+'[2]$ лето'!w1768+'[2]$ лето'!ac1768+'[2]$ лето'!ai1768+'[2]$ лето'!ao1768</f>
        <v>0</v>
      </c>
      <c r="I1768" s="109" t="n">
        <f aca="false">'[2]$ лето'!ay1768*1.1</f>
        <v>9548</v>
      </c>
    </row>
    <row r="1769" customFormat="false" ht="15" hidden="true" customHeight="false" outlineLevel="0" collapsed="false">
      <c r="A1769" s="115" t="s">
        <v>2375</v>
      </c>
      <c r="B1769" s="115" t="s">
        <v>557</v>
      </c>
      <c r="C1769" s="116" t="s">
        <v>2378</v>
      </c>
      <c r="D1769" s="116"/>
      <c r="E1769" s="116"/>
      <c r="F1769" s="116"/>
      <c r="G1769" s="108"/>
      <c r="H1769" s="105" t="n">
        <f aca="false">'[2]$ лето'!j1769-'[2]$ лето'!au1769-'[2]$ лето'!at1769-'[2]$ лето'!as1769-'[2]$ лето'!ar1769-'[2]$ лето'!aq1769-'[2]$ лето'!ap1769-'[2]$ лето'!an1769-'[2]$ лето'!am1769-'[2]$ лето'!al1769-'[2]$ лето'!ak1769-'[2]$ лето'!aj1769-'[2]$ лето'!ah1769-'[2]$ лето'!ag1769-'[2]$ лето'!af1769-'[2]$ лето'!ae1769-'[2]$ лето'!ad1769-'[2]$ лето'!ab1769-'[2]$ лето'!aa1769-'[2]$ лето'!z1769-'[2]$ лето'!y1769-'[2]$ лето'!x1769-'[2]$ лето'!v1769-'[2]$ лето'!u1769-'[2]$ лето'!t1769-'[2]$ лето'!s1769-'[2]$ лето'!r1769-'[2]$ лето'!p1769-'[2]$ лето'!o1769-'[2]$ лето'!n1769-'[2]$ лето'!m1769-'[2]$ лето'!l1769+'[2]$ лето'!k1769+'[2]$ лето'!q1769+'[2]$ лето'!w1769+'[2]$ лето'!ac1769+'[2]$ лето'!ai1769+'[2]$ лето'!ao1769</f>
        <v>0</v>
      </c>
      <c r="I1769" s="109" t="n">
        <f aca="false">'[2]$ лето'!ay1769*1.1</f>
        <v>3696</v>
      </c>
      <c r="J1769" s="85" t="n">
        <v>2016</v>
      </c>
    </row>
    <row r="1770" customFormat="false" ht="15" hidden="true" customHeight="false" outlineLevel="0" collapsed="false">
      <c r="A1770" s="115" t="s">
        <v>2375</v>
      </c>
      <c r="B1770" s="115" t="s">
        <v>557</v>
      </c>
      <c r="C1770" s="116" t="s">
        <v>2378</v>
      </c>
      <c r="D1770" s="116"/>
      <c r="E1770" s="116"/>
      <c r="F1770" s="116"/>
      <c r="G1770" s="108"/>
      <c r="H1770" s="105" t="n">
        <f aca="false">'[2]$ лето'!j1770-'[2]$ лето'!au1770-'[2]$ лето'!at1770-'[2]$ лето'!as1770-'[2]$ лето'!ar1770-'[2]$ лето'!aq1770-'[2]$ лето'!ap1770-'[2]$ лето'!an1770-'[2]$ лето'!am1770-'[2]$ лето'!al1770-'[2]$ лето'!ak1770-'[2]$ лето'!aj1770-'[2]$ лето'!ah1770-'[2]$ лето'!ag1770-'[2]$ лето'!af1770-'[2]$ лето'!ae1770-'[2]$ лето'!ad1770-'[2]$ лето'!ab1770-'[2]$ лето'!aa1770-'[2]$ лето'!z1770-'[2]$ лето'!y1770-'[2]$ лето'!x1770-'[2]$ лето'!v1770-'[2]$ лето'!u1770-'[2]$ лето'!t1770-'[2]$ лето'!s1770-'[2]$ лето'!r1770-'[2]$ лето'!p1770-'[2]$ лето'!o1770-'[2]$ лето'!n1770-'[2]$ лето'!m1770-'[2]$ лето'!l1770+'[2]$ лето'!k1770+'[2]$ лето'!q1770+'[2]$ лето'!w1770+'[2]$ лето'!ac1770+'[2]$ лето'!ai1770+'[2]$ лето'!ao1770</f>
        <v>0</v>
      </c>
      <c r="I1770" s="109" t="n">
        <f aca="false">'[2]$ лето'!ay1770*1.1</f>
        <v>4004</v>
      </c>
      <c r="J1770" s="85" t="n">
        <v>2017</v>
      </c>
    </row>
    <row r="1771" customFormat="false" ht="15" hidden="false" customHeight="false" outlineLevel="0" collapsed="false">
      <c r="A1771" s="115" t="s">
        <v>2375</v>
      </c>
      <c r="B1771" s="115" t="s">
        <v>606</v>
      </c>
      <c r="C1771" s="116" t="s">
        <v>2379</v>
      </c>
      <c r="D1771" s="116"/>
      <c r="E1771" s="116"/>
      <c r="F1771" s="116"/>
      <c r="G1771" s="108" t="s">
        <v>609</v>
      </c>
      <c r="H1771" s="105" t="n">
        <f aca="false">'[2]$ лето'!j1771-'[2]$ лето'!au1771-'[2]$ лето'!at1771-'[2]$ лето'!as1771-'[2]$ лето'!ar1771-'[2]$ лето'!aq1771-'[2]$ лето'!ap1771-'[2]$ лето'!an1771-'[2]$ лето'!am1771-'[2]$ лето'!al1771-'[2]$ лето'!ak1771-'[2]$ лето'!aj1771-'[2]$ лето'!ah1771-'[2]$ лето'!ag1771-'[2]$ лето'!af1771-'[2]$ лето'!ae1771-'[2]$ лето'!ad1771-'[2]$ лето'!ab1771-'[2]$ лето'!aa1771-'[2]$ лето'!z1771-'[2]$ лето'!y1771-'[2]$ лето'!x1771-'[2]$ лето'!v1771-'[2]$ лето'!u1771-'[2]$ лето'!t1771-'[2]$ лето'!s1771-'[2]$ лето'!r1771-'[2]$ лето'!p1771-'[2]$ лето'!o1771-'[2]$ лето'!n1771-'[2]$ лето'!m1771-'[2]$ лето'!l1771+'[2]$ лето'!k1771+'[2]$ лето'!q1771+'[2]$ лето'!w1771+'[2]$ лето'!ac1771+'[2]$ лето'!ai1771+'[2]$ лето'!ao1771</f>
        <v>4</v>
      </c>
      <c r="I1771" s="109" t="n">
        <f aca="false">'[2]$ лето'!ay1771*1.1</f>
        <v>5544</v>
      </c>
      <c r="J1771" s="85" t="n">
        <v>2017</v>
      </c>
    </row>
    <row r="1772" customFormat="false" ht="15" hidden="true" customHeight="false" outlineLevel="0" collapsed="false">
      <c r="A1772" s="115" t="s">
        <v>2375</v>
      </c>
      <c r="B1772" s="115" t="s">
        <v>1130</v>
      </c>
      <c r="C1772" s="116" t="s">
        <v>2380</v>
      </c>
      <c r="D1772" s="116"/>
      <c r="E1772" s="116"/>
      <c r="F1772" s="116"/>
      <c r="G1772" s="108"/>
      <c r="H1772" s="105" t="n">
        <f aca="false">'[2]$ лето'!j1772-'[2]$ лето'!au1772-'[2]$ лето'!at1772-'[2]$ лето'!as1772-'[2]$ лето'!ar1772-'[2]$ лето'!aq1772-'[2]$ лето'!ap1772-'[2]$ лето'!an1772-'[2]$ лето'!am1772-'[2]$ лето'!al1772-'[2]$ лето'!ak1772-'[2]$ лето'!aj1772-'[2]$ лето'!ah1772-'[2]$ лето'!ag1772-'[2]$ лето'!af1772-'[2]$ лето'!ae1772-'[2]$ лето'!ad1772-'[2]$ лето'!ab1772-'[2]$ лето'!aa1772-'[2]$ лето'!z1772-'[2]$ лето'!y1772-'[2]$ лето'!x1772-'[2]$ лето'!v1772-'[2]$ лето'!u1772-'[2]$ лето'!t1772-'[2]$ лето'!s1772-'[2]$ лето'!r1772-'[2]$ лето'!p1772-'[2]$ лето'!o1772-'[2]$ лето'!n1772-'[2]$ лето'!m1772-'[2]$ лето'!l1772+'[2]$ лето'!k1772+'[2]$ лето'!q1772+'[2]$ лето'!w1772+'[2]$ лето'!ac1772+'[2]$ лето'!ai1772+'[2]$ лето'!ao1772</f>
        <v>0</v>
      </c>
      <c r="I1772" s="109" t="n">
        <f aca="false">'[2]$ лето'!ay1772*1.1</f>
        <v>2464</v>
      </c>
    </row>
    <row r="1773" customFormat="false" ht="15" hidden="true" customHeight="false" outlineLevel="0" collapsed="false">
      <c r="A1773" s="115" t="s">
        <v>2375</v>
      </c>
      <c r="B1773" s="115" t="s">
        <v>593</v>
      </c>
      <c r="C1773" s="116" t="s">
        <v>1044</v>
      </c>
      <c r="D1773" s="116"/>
      <c r="E1773" s="116"/>
      <c r="F1773" s="116"/>
      <c r="G1773" s="108"/>
      <c r="H1773" s="105" t="n">
        <f aca="false">'[2]$ лето'!j1773-'[2]$ лето'!au1773-'[2]$ лето'!at1773-'[2]$ лето'!as1773-'[2]$ лето'!ar1773-'[2]$ лето'!aq1773-'[2]$ лето'!ap1773-'[2]$ лето'!an1773-'[2]$ лето'!am1773-'[2]$ лето'!al1773-'[2]$ лето'!ak1773-'[2]$ лето'!aj1773-'[2]$ лето'!ah1773-'[2]$ лето'!ag1773-'[2]$ лето'!af1773-'[2]$ лето'!ae1773-'[2]$ лето'!ad1773-'[2]$ лето'!ab1773-'[2]$ лето'!aa1773-'[2]$ лето'!z1773-'[2]$ лето'!y1773-'[2]$ лето'!x1773-'[2]$ лето'!v1773-'[2]$ лето'!u1773-'[2]$ лето'!t1773-'[2]$ лето'!s1773-'[2]$ лето'!r1773-'[2]$ лето'!p1773-'[2]$ лето'!o1773-'[2]$ лето'!n1773-'[2]$ лето'!m1773-'[2]$ лето'!l1773+'[2]$ лето'!k1773+'[2]$ лето'!q1773+'[2]$ лето'!w1773+'[2]$ лето'!ac1773+'[2]$ лето'!ai1773+'[2]$ лето'!ao1773</f>
        <v>0</v>
      </c>
      <c r="I1773" s="109" t="n">
        <f aca="false">'[2]$ лето'!ay1773*1.1</f>
        <v>6776</v>
      </c>
    </row>
    <row r="1774" customFormat="false" ht="15" hidden="true" customHeight="false" outlineLevel="0" collapsed="false">
      <c r="A1774" s="115" t="s">
        <v>2375</v>
      </c>
      <c r="B1774" s="115" t="s">
        <v>593</v>
      </c>
      <c r="C1774" s="116" t="s">
        <v>2381</v>
      </c>
      <c r="D1774" s="116"/>
      <c r="E1774" s="116"/>
      <c r="F1774" s="116"/>
      <c r="G1774" s="108" t="s">
        <v>2382</v>
      </c>
      <c r="H1774" s="105" t="n">
        <f aca="false">'[2]$ лето'!j1774-'[2]$ лето'!au1774-'[2]$ лето'!at1774-'[2]$ лето'!as1774-'[2]$ лето'!ar1774-'[2]$ лето'!aq1774-'[2]$ лето'!ap1774-'[2]$ лето'!an1774-'[2]$ лето'!am1774-'[2]$ лето'!al1774-'[2]$ лето'!ak1774-'[2]$ лето'!aj1774-'[2]$ лето'!ah1774-'[2]$ лето'!ag1774-'[2]$ лето'!af1774-'[2]$ лето'!ae1774-'[2]$ лето'!ad1774-'[2]$ лето'!ab1774-'[2]$ лето'!aa1774-'[2]$ лето'!z1774-'[2]$ лето'!y1774-'[2]$ лето'!x1774-'[2]$ лето'!v1774-'[2]$ лето'!u1774-'[2]$ лето'!t1774-'[2]$ лето'!s1774-'[2]$ лето'!r1774-'[2]$ лето'!p1774-'[2]$ лето'!o1774-'[2]$ лето'!n1774-'[2]$ лето'!m1774-'[2]$ лето'!l1774+'[2]$ лето'!k1774+'[2]$ лето'!q1774+'[2]$ лето'!w1774+'[2]$ лето'!ac1774+'[2]$ лето'!ai1774+'[2]$ лето'!ao1774</f>
        <v>0</v>
      </c>
      <c r="I1774" s="109" t="n">
        <f aca="false">'[2]$ лето'!ay1774*1.1</f>
        <v>6468</v>
      </c>
      <c r="J1774" s="85" t="n">
        <v>2014</v>
      </c>
    </row>
    <row r="1775" customFormat="false" ht="15" hidden="false" customHeight="false" outlineLevel="0" collapsed="false">
      <c r="A1775" s="115" t="s">
        <v>2375</v>
      </c>
      <c r="B1775" s="115" t="s">
        <v>615</v>
      </c>
      <c r="C1775" s="116" t="s">
        <v>2383</v>
      </c>
      <c r="D1775" s="116"/>
      <c r="E1775" s="116"/>
      <c r="F1775" s="116"/>
      <c r="G1775" s="108"/>
      <c r="H1775" s="105" t="n">
        <f aca="false">'[2]$ лето'!j1775-'[2]$ лето'!au1775-'[2]$ лето'!at1775-'[2]$ лето'!as1775-'[2]$ лето'!ar1775-'[2]$ лето'!aq1775-'[2]$ лето'!ap1775-'[2]$ лето'!an1775-'[2]$ лето'!am1775-'[2]$ лето'!al1775-'[2]$ лето'!ak1775-'[2]$ лето'!aj1775-'[2]$ лето'!ah1775-'[2]$ лето'!ag1775-'[2]$ лето'!af1775-'[2]$ лето'!ae1775-'[2]$ лето'!ad1775-'[2]$ лето'!ab1775-'[2]$ лето'!aa1775-'[2]$ лето'!z1775-'[2]$ лето'!y1775-'[2]$ лето'!x1775-'[2]$ лето'!v1775-'[2]$ лето'!u1775-'[2]$ лето'!t1775-'[2]$ лето'!s1775-'[2]$ лето'!r1775-'[2]$ лето'!p1775-'[2]$ лето'!o1775-'[2]$ лето'!n1775-'[2]$ лето'!m1775-'[2]$ лето'!l1775+'[2]$ лето'!k1775+'[2]$ лето'!q1775+'[2]$ лето'!w1775+'[2]$ лето'!ac1775+'[2]$ лето'!ai1775+'[2]$ лето'!ao1775</f>
        <v>4</v>
      </c>
      <c r="I1775" s="109" t="n">
        <f aca="false">'[2]$ лето'!ay1775*1.1</f>
        <v>3850</v>
      </c>
      <c r="J1775" s="85" t="s">
        <v>1827</v>
      </c>
    </row>
    <row r="1776" customFormat="false" ht="15" hidden="false" customHeight="false" outlineLevel="0" collapsed="false">
      <c r="A1776" s="129" t="s">
        <v>2375</v>
      </c>
      <c r="B1776" s="129" t="s">
        <v>677</v>
      </c>
      <c r="C1776" s="131" t="s">
        <v>2384</v>
      </c>
      <c r="D1776" s="131"/>
      <c r="E1776" s="131"/>
      <c r="F1776" s="131"/>
      <c r="G1776" s="132"/>
      <c r="H1776" s="105" t="n">
        <f aca="false">'[2]$ лето'!j1776-'[2]$ лето'!au1776-'[2]$ лето'!at1776-'[2]$ лето'!as1776-'[2]$ лето'!ar1776-'[2]$ лето'!aq1776-'[2]$ лето'!ap1776-'[2]$ лето'!an1776-'[2]$ лето'!am1776-'[2]$ лето'!al1776-'[2]$ лето'!ak1776-'[2]$ лето'!aj1776-'[2]$ лето'!ah1776-'[2]$ лето'!ag1776-'[2]$ лето'!af1776-'[2]$ лето'!ae1776-'[2]$ лето'!ad1776-'[2]$ лето'!ab1776-'[2]$ лето'!aa1776-'[2]$ лето'!z1776-'[2]$ лето'!y1776-'[2]$ лето'!x1776-'[2]$ лето'!v1776-'[2]$ лето'!u1776-'[2]$ лето'!t1776-'[2]$ лето'!s1776-'[2]$ лето'!r1776-'[2]$ лето'!p1776-'[2]$ лето'!o1776-'[2]$ лето'!n1776-'[2]$ лето'!m1776-'[2]$ лето'!l1776+'[2]$ лето'!k1776+'[2]$ лето'!q1776+'[2]$ лето'!w1776+'[2]$ лето'!ac1776+'[2]$ лето'!ai1776+'[2]$ лето'!ao1776</f>
        <v>2</v>
      </c>
      <c r="I1776" s="133" t="n">
        <f aca="false">'[2]$ лето'!ay1776*1.1</f>
        <v>0</v>
      </c>
    </row>
    <row r="1777" customFormat="false" ht="15" hidden="false" customHeight="false" outlineLevel="0" collapsed="false">
      <c r="A1777" s="115" t="s">
        <v>2375</v>
      </c>
      <c r="B1777" s="115" t="s">
        <v>589</v>
      </c>
      <c r="C1777" s="116" t="s">
        <v>2385</v>
      </c>
      <c r="D1777" s="116"/>
      <c r="E1777" s="116"/>
      <c r="F1777" s="116"/>
      <c r="G1777" s="108" t="s">
        <v>626</v>
      </c>
      <c r="H1777" s="105" t="n">
        <f aca="false">'[2]$ лето'!j1777-'[2]$ лето'!au1777-'[2]$ лето'!at1777-'[2]$ лето'!as1777-'[2]$ лето'!ar1777-'[2]$ лето'!aq1777-'[2]$ лето'!ap1777-'[2]$ лето'!an1777-'[2]$ лето'!am1777-'[2]$ лето'!al1777-'[2]$ лето'!ak1777-'[2]$ лето'!aj1777-'[2]$ лето'!ah1777-'[2]$ лето'!ag1777-'[2]$ лето'!af1777-'[2]$ лето'!ae1777-'[2]$ лето'!ad1777-'[2]$ лето'!ab1777-'[2]$ лето'!aa1777-'[2]$ лето'!z1777-'[2]$ лето'!y1777-'[2]$ лето'!x1777-'[2]$ лето'!v1777-'[2]$ лето'!u1777-'[2]$ лето'!t1777-'[2]$ лето'!s1777-'[2]$ лето'!r1777-'[2]$ лето'!p1777-'[2]$ лето'!o1777-'[2]$ лето'!n1777-'[2]$ лето'!m1777-'[2]$ лето'!l1777+'[2]$ лето'!k1777+'[2]$ лето'!q1777+'[2]$ лето'!w1777+'[2]$ лето'!ac1777+'[2]$ лето'!ai1777+'[2]$ лето'!ao1777</f>
        <v>4</v>
      </c>
      <c r="I1777" s="109" t="n">
        <f aca="false">'[2]$ лето'!ay1777*1.1</f>
        <v>6716.6</v>
      </c>
      <c r="J1777" s="85" t="n">
        <v>2017</v>
      </c>
    </row>
    <row r="1778" customFormat="false" ht="15" hidden="true" customHeight="false" outlineLevel="0" collapsed="false">
      <c r="A1778" s="115" t="s">
        <v>2375</v>
      </c>
      <c r="B1778" s="115" t="s">
        <v>589</v>
      </c>
      <c r="C1778" s="116" t="s">
        <v>2386</v>
      </c>
      <c r="D1778" s="116"/>
      <c r="E1778" s="116"/>
      <c r="F1778" s="116"/>
      <c r="G1778" s="108"/>
      <c r="H1778" s="105" t="n">
        <f aca="false">'[2]$ лето'!j1778-'[2]$ лето'!au1778-'[2]$ лето'!at1778-'[2]$ лето'!as1778-'[2]$ лето'!ar1778-'[2]$ лето'!aq1778-'[2]$ лето'!ap1778-'[2]$ лето'!an1778-'[2]$ лето'!am1778-'[2]$ лето'!al1778-'[2]$ лето'!ak1778-'[2]$ лето'!aj1778-'[2]$ лето'!ah1778-'[2]$ лето'!ag1778-'[2]$ лето'!af1778-'[2]$ лето'!ae1778-'[2]$ лето'!ad1778-'[2]$ лето'!ab1778-'[2]$ лето'!aa1778-'[2]$ лето'!z1778-'[2]$ лето'!y1778-'[2]$ лето'!x1778-'[2]$ лето'!v1778-'[2]$ лето'!u1778-'[2]$ лето'!t1778-'[2]$ лето'!s1778-'[2]$ лето'!r1778-'[2]$ лето'!p1778-'[2]$ лето'!o1778-'[2]$ лето'!n1778-'[2]$ лето'!m1778-'[2]$ лето'!l1778+'[2]$ лето'!k1778+'[2]$ лето'!q1778+'[2]$ лето'!w1778+'[2]$ лето'!ac1778+'[2]$ лето'!ai1778+'[2]$ лето'!ao1778</f>
        <v>0</v>
      </c>
      <c r="I1778" s="109" t="n">
        <f aca="false">'[2]$ лето'!ay1778*1.1</f>
        <v>5236</v>
      </c>
    </row>
    <row r="1779" customFormat="false" ht="15" hidden="true" customHeight="false" outlineLevel="0" collapsed="false">
      <c r="A1779" s="115" t="s">
        <v>2375</v>
      </c>
      <c r="B1779" s="115" t="s">
        <v>1028</v>
      </c>
      <c r="C1779" s="116" t="s">
        <v>2387</v>
      </c>
      <c r="D1779" s="116"/>
      <c r="E1779" s="116"/>
      <c r="F1779" s="116"/>
      <c r="G1779" s="108"/>
      <c r="H1779" s="105" t="n">
        <f aca="false">'[2]$ лето'!j1779-'[2]$ лето'!au1779-'[2]$ лето'!at1779-'[2]$ лето'!as1779-'[2]$ лето'!ar1779-'[2]$ лето'!aq1779-'[2]$ лето'!ap1779-'[2]$ лето'!an1779-'[2]$ лето'!am1779-'[2]$ лето'!al1779-'[2]$ лето'!ak1779-'[2]$ лето'!aj1779-'[2]$ лето'!ah1779-'[2]$ лето'!ag1779-'[2]$ лето'!af1779-'[2]$ лето'!ae1779-'[2]$ лето'!ad1779-'[2]$ лето'!ab1779-'[2]$ лето'!aa1779-'[2]$ лето'!z1779-'[2]$ лето'!y1779-'[2]$ лето'!x1779-'[2]$ лето'!v1779-'[2]$ лето'!u1779-'[2]$ лето'!t1779-'[2]$ лето'!s1779-'[2]$ лето'!r1779-'[2]$ лето'!p1779-'[2]$ лето'!o1779-'[2]$ лето'!n1779-'[2]$ лето'!m1779-'[2]$ лето'!l1779+'[2]$ лето'!k1779+'[2]$ лето'!q1779+'[2]$ лето'!w1779+'[2]$ лето'!ac1779+'[2]$ лето'!ai1779+'[2]$ лето'!ao1779</f>
        <v>0</v>
      </c>
      <c r="I1779" s="109" t="n">
        <f aca="false">'[2]$ лето'!ay1779*1.1</f>
        <v>4989.6</v>
      </c>
    </row>
    <row r="1780" customFormat="false" ht="15" hidden="true" customHeight="false" outlineLevel="0" collapsed="false">
      <c r="A1780" s="115" t="s">
        <v>2388</v>
      </c>
      <c r="B1780" s="115" t="s">
        <v>658</v>
      </c>
      <c r="C1780" s="116" t="s">
        <v>2389</v>
      </c>
      <c r="D1780" s="116"/>
      <c r="E1780" s="116"/>
      <c r="F1780" s="116"/>
      <c r="G1780" s="108" t="s">
        <v>2153</v>
      </c>
      <c r="H1780" s="105" t="n">
        <f aca="false">'[2]$ лето'!j1780-'[2]$ лето'!au1780-'[2]$ лето'!at1780-'[2]$ лето'!as1780-'[2]$ лето'!ar1780-'[2]$ лето'!aq1780-'[2]$ лето'!ap1780-'[2]$ лето'!an1780-'[2]$ лето'!am1780-'[2]$ лето'!al1780-'[2]$ лето'!ak1780-'[2]$ лето'!aj1780-'[2]$ лето'!ah1780-'[2]$ лето'!ag1780-'[2]$ лето'!af1780-'[2]$ лето'!ae1780-'[2]$ лето'!ad1780-'[2]$ лето'!ab1780-'[2]$ лето'!aa1780-'[2]$ лето'!z1780-'[2]$ лето'!y1780-'[2]$ лето'!x1780-'[2]$ лето'!v1780-'[2]$ лето'!u1780-'[2]$ лето'!t1780-'[2]$ лето'!s1780-'[2]$ лето'!r1780-'[2]$ лето'!p1780-'[2]$ лето'!o1780-'[2]$ лето'!n1780-'[2]$ лето'!m1780-'[2]$ лето'!l1780+'[2]$ лето'!k1780+'[2]$ лето'!q1780+'[2]$ лето'!w1780+'[2]$ лето'!ac1780+'[2]$ лето'!ai1780+'[2]$ лето'!ao1780</f>
        <v>0</v>
      </c>
      <c r="I1780" s="109" t="n">
        <f aca="false">'[2]$ лето'!ay1780*1.1</f>
        <v>7084</v>
      </c>
      <c r="J1780" s="85" t="n">
        <v>2017</v>
      </c>
    </row>
    <row r="1781" customFormat="false" ht="15" hidden="false" customHeight="false" outlineLevel="0" collapsed="false">
      <c r="A1781" s="115" t="s">
        <v>2390</v>
      </c>
      <c r="B1781" s="115" t="s">
        <v>566</v>
      </c>
      <c r="C1781" s="116" t="s">
        <v>2340</v>
      </c>
      <c r="D1781" s="116"/>
      <c r="E1781" s="116"/>
      <c r="F1781" s="116"/>
      <c r="G1781" s="108" t="s">
        <v>563</v>
      </c>
      <c r="H1781" s="105" t="n">
        <f aca="false">'[2]$ лето'!j1781-'[2]$ лето'!au1781-'[2]$ лето'!at1781-'[2]$ лето'!as1781-'[2]$ лето'!ar1781-'[2]$ лето'!aq1781-'[2]$ лето'!ap1781-'[2]$ лето'!an1781-'[2]$ лето'!am1781-'[2]$ лето'!al1781-'[2]$ лето'!ak1781-'[2]$ лето'!aj1781-'[2]$ лето'!ah1781-'[2]$ лето'!ag1781-'[2]$ лето'!af1781-'[2]$ лето'!ae1781-'[2]$ лето'!ad1781-'[2]$ лето'!ab1781-'[2]$ лето'!aa1781-'[2]$ лето'!z1781-'[2]$ лето'!y1781-'[2]$ лето'!x1781-'[2]$ лето'!v1781-'[2]$ лето'!u1781-'[2]$ лето'!t1781-'[2]$ лето'!s1781-'[2]$ лето'!r1781-'[2]$ лето'!p1781-'[2]$ лето'!o1781-'[2]$ лето'!n1781-'[2]$ лето'!m1781-'[2]$ лето'!l1781+'[2]$ лето'!k1781+'[2]$ лето'!q1781+'[2]$ лето'!w1781+'[2]$ лето'!ac1781+'[2]$ лето'!ai1781+'[2]$ лето'!ao1781</f>
        <v>4</v>
      </c>
      <c r="I1781" s="109" t="n">
        <f aca="false">'[2]$ лето'!ay1781*1.1</f>
        <v>3234</v>
      </c>
      <c r="J1781" s="85" t="n">
        <v>2018</v>
      </c>
    </row>
    <row r="1782" customFormat="false" ht="15" hidden="true" customHeight="false" outlineLevel="0" collapsed="false">
      <c r="A1782" s="115" t="s">
        <v>2390</v>
      </c>
      <c r="B1782" s="115" t="s">
        <v>557</v>
      </c>
      <c r="C1782" s="116" t="s">
        <v>2391</v>
      </c>
      <c r="D1782" s="116"/>
      <c r="E1782" s="116"/>
      <c r="F1782" s="116"/>
      <c r="G1782" s="108"/>
      <c r="H1782" s="105" t="n">
        <f aca="false">'[2]$ лето'!j1782-'[2]$ лето'!au1782-'[2]$ лето'!at1782-'[2]$ лето'!as1782-'[2]$ лето'!ar1782-'[2]$ лето'!aq1782-'[2]$ лето'!ap1782-'[2]$ лето'!an1782-'[2]$ лето'!am1782-'[2]$ лето'!al1782-'[2]$ лето'!ak1782-'[2]$ лето'!aj1782-'[2]$ лето'!ah1782-'[2]$ лето'!ag1782-'[2]$ лето'!af1782-'[2]$ лето'!ae1782-'[2]$ лето'!ad1782-'[2]$ лето'!ab1782-'[2]$ лето'!aa1782-'[2]$ лето'!z1782-'[2]$ лето'!y1782-'[2]$ лето'!x1782-'[2]$ лето'!v1782-'[2]$ лето'!u1782-'[2]$ лето'!t1782-'[2]$ лето'!s1782-'[2]$ лето'!r1782-'[2]$ лето'!p1782-'[2]$ лето'!o1782-'[2]$ лето'!n1782-'[2]$ лето'!m1782-'[2]$ лето'!l1782+'[2]$ лето'!k1782+'[2]$ лето'!q1782+'[2]$ лето'!w1782+'[2]$ лето'!ac1782+'[2]$ лето'!ai1782+'[2]$ лето'!ao1782</f>
        <v>0</v>
      </c>
      <c r="I1782" s="109" t="n">
        <f aca="false">'[2]$ лето'!ay1782*1.1</f>
        <v>4158</v>
      </c>
    </row>
    <row r="1783" customFormat="false" ht="15" hidden="true" customHeight="false" outlineLevel="0" collapsed="false">
      <c r="A1783" s="115" t="s">
        <v>2390</v>
      </c>
      <c r="B1783" s="115" t="s">
        <v>593</v>
      </c>
      <c r="C1783" s="116" t="s">
        <v>2392</v>
      </c>
      <c r="D1783" s="116"/>
      <c r="E1783" s="116"/>
      <c r="F1783" s="116"/>
      <c r="G1783" s="108" t="s">
        <v>1954</v>
      </c>
      <c r="H1783" s="105" t="n">
        <f aca="false">'[2]$ лето'!j1783-'[2]$ лето'!au1783-'[2]$ лето'!at1783-'[2]$ лето'!as1783-'[2]$ лето'!ar1783-'[2]$ лето'!aq1783-'[2]$ лето'!ap1783-'[2]$ лето'!an1783-'[2]$ лето'!am1783-'[2]$ лето'!al1783-'[2]$ лето'!ak1783-'[2]$ лето'!aj1783-'[2]$ лето'!ah1783-'[2]$ лето'!ag1783-'[2]$ лето'!af1783-'[2]$ лето'!ae1783-'[2]$ лето'!ad1783-'[2]$ лето'!ab1783-'[2]$ лето'!aa1783-'[2]$ лето'!z1783-'[2]$ лето'!y1783-'[2]$ лето'!x1783-'[2]$ лето'!v1783-'[2]$ лето'!u1783-'[2]$ лето'!t1783-'[2]$ лето'!s1783-'[2]$ лето'!r1783-'[2]$ лето'!p1783-'[2]$ лето'!o1783-'[2]$ лето'!n1783-'[2]$ лето'!m1783-'[2]$ лето'!l1783+'[2]$ лето'!k1783+'[2]$ лето'!q1783+'[2]$ лето'!w1783+'[2]$ лето'!ac1783+'[2]$ лето'!ai1783+'[2]$ лето'!ao1783</f>
        <v>0</v>
      </c>
      <c r="I1783" s="109" t="n">
        <f aca="false">'[2]$ лето'!ay1783*1.1</f>
        <v>6930</v>
      </c>
    </row>
    <row r="1784" customFormat="false" ht="15" hidden="false" customHeight="false" outlineLevel="0" collapsed="false">
      <c r="A1784" s="115" t="s">
        <v>2390</v>
      </c>
      <c r="B1784" s="115" t="s">
        <v>593</v>
      </c>
      <c r="C1784" s="107" t="s">
        <v>2393</v>
      </c>
      <c r="D1784" s="107"/>
      <c r="E1784" s="116"/>
      <c r="F1784" s="116"/>
      <c r="G1784" s="108" t="s">
        <v>911</v>
      </c>
      <c r="H1784" s="105" t="n">
        <f aca="false">'[2]$ лето'!j1784-'[2]$ лето'!au1784-'[2]$ лето'!at1784-'[2]$ лето'!as1784-'[2]$ лето'!ar1784-'[2]$ лето'!aq1784-'[2]$ лето'!ap1784-'[2]$ лето'!an1784-'[2]$ лето'!am1784-'[2]$ лето'!al1784-'[2]$ лето'!ak1784-'[2]$ лето'!aj1784-'[2]$ лето'!ah1784-'[2]$ лето'!ag1784-'[2]$ лето'!af1784-'[2]$ лето'!ae1784-'[2]$ лето'!ad1784-'[2]$ лето'!ab1784-'[2]$ лето'!aa1784-'[2]$ лето'!z1784-'[2]$ лето'!y1784-'[2]$ лето'!x1784-'[2]$ лето'!v1784-'[2]$ лето'!u1784-'[2]$ лето'!t1784-'[2]$ лето'!s1784-'[2]$ лето'!r1784-'[2]$ лето'!p1784-'[2]$ лето'!o1784-'[2]$ лето'!n1784-'[2]$ лето'!m1784-'[2]$ лето'!l1784+'[2]$ лето'!k1784+'[2]$ лето'!q1784+'[2]$ лето'!w1784+'[2]$ лето'!ac1784+'[2]$ лето'!ai1784+'[2]$ лето'!ao1784</f>
        <v>2</v>
      </c>
      <c r="I1784" s="109" t="n">
        <f aca="false">'[2]$ лето'!ay1784*1.1</f>
        <v>9240</v>
      </c>
      <c r="J1784" s="85" t="n">
        <v>2017</v>
      </c>
    </row>
    <row r="1785" customFormat="false" ht="15" hidden="true" customHeight="false" outlineLevel="0" collapsed="false">
      <c r="A1785" s="115" t="s">
        <v>2394</v>
      </c>
      <c r="B1785" s="123" t="s">
        <v>601</v>
      </c>
      <c r="C1785" s="116" t="s">
        <v>2330</v>
      </c>
      <c r="D1785" s="116"/>
      <c r="E1785" s="116"/>
      <c r="F1785" s="116"/>
      <c r="G1785" s="108"/>
      <c r="H1785" s="105" t="n">
        <f aca="false">'[2]$ лето'!j1785-'[2]$ лето'!au1785-'[2]$ лето'!at1785-'[2]$ лето'!as1785-'[2]$ лето'!ar1785-'[2]$ лето'!aq1785-'[2]$ лето'!ap1785-'[2]$ лето'!an1785-'[2]$ лето'!am1785-'[2]$ лето'!al1785-'[2]$ лето'!ak1785-'[2]$ лето'!aj1785-'[2]$ лето'!ah1785-'[2]$ лето'!ag1785-'[2]$ лето'!af1785-'[2]$ лето'!ae1785-'[2]$ лето'!ad1785-'[2]$ лето'!ab1785-'[2]$ лето'!aa1785-'[2]$ лето'!z1785-'[2]$ лето'!y1785-'[2]$ лето'!x1785-'[2]$ лето'!v1785-'[2]$ лето'!u1785-'[2]$ лето'!t1785-'[2]$ лето'!s1785-'[2]$ лето'!r1785-'[2]$ лето'!p1785-'[2]$ лето'!o1785-'[2]$ лето'!n1785-'[2]$ лето'!m1785-'[2]$ лето'!l1785+'[2]$ лето'!k1785+'[2]$ лето'!q1785+'[2]$ лето'!w1785+'[2]$ лето'!ac1785+'[2]$ лето'!ai1785+'[2]$ лето'!ao1785</f>
        <v>0</v>
      </c>
      <c r="I1785" s="109" t="n">
        <f aca="false">'[2]$ лето'!ay1785*1.1</f>
        <v>0</v>
      </c>
    </row>
    <row r="1786" customFormat="false" ht="15" hidden="true" customHeight="false" outlineLevel="0" collapsed="false">
      <c r="A1786" s="115" t="s">
        <v>2390</v>
      </c>
      <c r="B1786" s="115" t="s">
        <v>589</v>
      </c>
      <c r="C1786" s="107" t="s">
        <v>2395</v>
      </c>
      <c r="D1786" s="107"/>
      <c r="E1786" s="107"/>
      <c r="F1786" s="107"/>
      <c r="G1786" s="108"/>
      <c r="H1786" s="105" t="n">
        <f aca="false">'[2]$ лето'!j1786-'[2]$ лето'!au1786-'[2]$ лето'!at1786-'[2]$ лето'!as1786-'[2]$ лето'!ar1786-'[2]$ лето'!aq1786-'[2]$ лето'!ap1786-'[2]$ лето'!an1786-'[2]$ лето'!am1786-'[2]$ лето'!al1786-'[2]$ лето'!ak1786-'[2]$ лето'!aj1786-'[2]$ лето'!ah1786-'[2]$ лето'!ag1786-'[2]$ лето'!af1786-'[2]$ лето'!ae1786-'[2]$ лето'!ad1786-'[2]$ лето'!ab1786-'[2]$ лето'!aa1786-'[2]$ лето'!z1786-'[2]$ лето'!y1786-'[2]$ лето'!x1786-'[2]$ лето'!v1786-'[2]$ лето'!u1786-'[2]$ лето'!t1786-'[2]$ лето'!s1786-'[2]$ лето'!r1786-'[2]$ лето'!p1786-'[2]$ лето'!o1786-'[2]$ лето'!n1786-'[2]$ лето'!m1786-'[2]$ лето'!l1786+'[2]$ лето'!k1786+'[2]$ лето'!q1786+'[2]$ лето'!w1786+'[2]$ лето'!ac1786+'[2]$ лето'!ai1786+'[2]$ лето'!ao1786</f>
        <v>0</v>
      </c>
      <c r="I1786" s="109" t="n">
        <f aca="false">'[2]$ лето'!ay1786*1.1</f>
        <v>5698</v>
      </c>
    </row>
    <row r="1787" customFormat="false" ht="15" hidden="true" customHeight="false" outlineLevel="0" collapsed="false">
      <c r="A1787" s="115" t="s">
        <v>2390</v>
      </c>
      <c r="B1787" s="115" t="s">
        <v>770</v>
      </c>
      <c r="C1787" s="107" t="s">
        <v>2349</v>
      </c>
      <c r="D1787" s="107"/>
      <c r="E1787" s="107"/>
      <c r="F1787" s="107"/>
      <c r="G1787" s="108"/>
      <c r="H1787" s="105" t="n">
        <f aca="false">'[2]$ лето'!j1787-'[2]$ лето'!au1787-'[2]$ лето'!at1787-'[2]$ лето'!as1787-'[2]$ лето'!ar1787-'[2]$ лето'!aq1787-'[2]$ лето'!ap1787-'[2]$ лето'!an1787-'[2]$ лето'!am1787-'[2]$ лето'!al1787-'[2]$ лето'!ak1787-'[2]$ лето'!aj1787-'[2]$ лето'!ah1787-'[2]$ лето'!ag1787-'[2]$ лето'!af1787-'[2]$ лето'!ae1787-'[2]$ лето'!ad1787-'[2]$ лето'!ab1787-'[2]$ лето'!aa1787-'[2]$ лето'!z1787-'[2]$ лето'!y1787-'[2]$ лето'!x1787-'[2]$ лето'!v1787-'[2]$ лето'!u1787-'[2]$ лето'!t1787-'[2]$ лето'!s1787-'[2]$ лето'!r1787-'[2]$ лето'!p1787-'[2]$ лето'!o1787-'[2]$ лето'!n1787-'[2]$ лето'!m1787-'[2]$ лето'!l1787+'[2]$ лето'!k1787+'[2]$ лето'!q1787+'[2]$ лето'!w1787+'[2]$ лето'!ac1787+'[2]$ лето'!ai1787+'[2]$ лето'!ao1787</f>
        <v>0</v>
      </c>
      <c r="I1787" s="109" t="n">
        <f aca="false">'[2]$ лето'!ay1787*1.1</f>
        <v>6930</v>
      </c>
    </row>
    <row r="1788" customFormat="false" ht="15" hidden="false" customHeight="false" outlineLevel="0" collapsed="false">
      <c r="A1788" s="120" t="s">
        <v>2396</v>
      </c>
      <c r="B1788" s="121"/>
      <c r="C1788" s="122"/>
      <c r="D1788" s="122"/>
      <c r="E1788" s="122"/>
      <c r="F1788" s="122"/>
      <c r="G1788" s="104"/>
      <c r="H1788" s="105"/>
      <c r="I1788" s="105" t="n">
        <f aca="false">'[2]$ лето'!ay1788*1.1</f>
        <v>0</v>
      </c>
    </row>
    <row r="1789" customFormat="false" ht="15" hidden="true" customHeight="false" outlineLevel="0" collapsed="false">
      <c r="A1789" s="127" t="s">
        <v>2397</v>
      </c>
      <c r="B1789" s="115" t="s">
        <v>658</v>
      </c>
      <c r="C1789" s="116" t="s">
        <v>2398</v>
      </c>
      <c r="D1789" s="116"/>
      <c r="E1789" s="116"/>
      <c r="F1789" s="116"/>
      <c r="G1789" s="108" t="s">
        <v>2399</v>
      </c>
      <c r="H1789" s="105" t="n">
        <f aca="false">'[2]$ лето'!j1789-'[2]$ лето'!au1789-'[2]$ лето'!at1789-'[2]$ лето'!as1789-'[2]$ лето'!ar1789-'[2]$ лето'!aq1789-'[2]$ лето'!ap1789-'[2]$ лето'!an1789-'[2]$ лето'!am1789-'[2]$ лето'!al1789-'[2]$ лето'!ak1789-'[2]$ лето'!aj1789-'[2]$ лето'!ah1789-'[2]$ лето'!ag1789-'[2]$ лето'!af1789-'[2]$ лето'!ae1789-'[2]$ лето'!ad1789-'[2]$ лето'!ab1789-'[2]$ лето'!aa1789-'[2]$ лето'!z1789-'[2]$ лето'!y1789-'[2]$ лето'!x1789-'[2]$ лето'!v1789-'[2]$ лето'!u1789-'[2]$ лето'!t1789-'[2]$ лето'!s1789-'[2]$ лето'!r1789-'[2]$ лето'!p1789-'[2]$ лето'!o1789-'[2]$ лето'!n1789-'[2]$ лето'!m1789-'[2]$ лето'!l1789+'[2]$ лето'!k1789+'[2]$ лето'!q1789+'[2]$ лето'!w1789+'[2]$ лето'!ac1789+'[2]$ лето'!ai1789+'[2]$ лето'!ao1789</f>
        <v>0</v>
      </c>
      <c r="I1789" s="109" t="n">
        <f aca="false">'[2]$ лето'!ay1789*1.1</f>
        <v>7084</v>
      </c>
      <c r="J1789" s="85" t="n">
        <v>2018</v>
      </c>
    </row>
    <row r="1790" customFormat="false" ht="15" hidden="false" customHeight="false" outlineLevel="0" collapsed="false">
      <c r="A1790" s="127" t="s">
        <v>2397</v>
      </c>
      <c r="B1790" s="115" t="s">
        <v>658</v>
      </c>
      <c r="C1790" s="116" t="s">
        <v>2400</v>
      </c>
      <c r="D1790" s="116"/>
      <c r="E1790" s="116"/>
      <c r="F1790" s="116"/>
      <c r="G1790" s="108" t="s">
        <v>1432</v>
      </c>
      <c r="H1790" s="105" t="n">
        <f aca="false">'[2]$ лето'!j1790-'[2]$ лето'!au1790-'[2]$ лето'!at1790-'[2]$ лето'!as1790-'[2]$ лето'!ar1790-'[2]$ лето'!aq1790-'[2]$ лето'!ap1790-'[2]$ лето'!an1790-'[2]$ лето'!am1790-'[2]$ лето'!al1790-'[2]$ лето'!ak1790-'[2]$ лето'!aj1790-'[2]$ лето'!ah1790-'[2]$ лето'!ag1790-'[2]$ лето'!af1790-'[2]$ лето'!ae1790-'[2]$ лето'!ad1790-'[2]$ лето'!ab1790-'[2]$ лето'!aa1790-'[2]$ лето'!z1790-'[2]$ лето'!y1790-'[2]$ лето'!x1790-'[2]$ лето'!v1790-'[2]$ лето'!u1790-'[2]$ лето'!t1790-'[2]$ лето'!s1790-'[2]$ лето'!r1790-'[2]$ лето'!p1790-'[2]$ лето'!o1790-'[2]$ лето'!n1790-'[2]$ лето'!m1790-'[2]$ лето'!l1790+'[2]$ лето'!k1790+'[2]$ лето'!q1790+'[2]$ лето'!w1790+'[2]$ лето'!ac1790+'[2]$ лето'!ai1790+'[2]$ лето'!ao1790</f>
        <v>2</v>
      </c>
      <c r="I1790" s="109" t="n">
        <f aca="false">'[2]$ лето'!ay1790*1.1</f>
        <v>6991.6</v>
      </c>
    </row>
    <row r="1791" customFormat="false" ht="15" hidden="true" customHeight="false" outlineLevel="0" collapsed="false">
      <c r="A1791" s="127" t="s">
        <v>2397</v>
      </c>
      <c r="B1791" s="115" t="s">
        <v>2286</v>
      </c>
      <c r="C1791" s="116" t="s">
        <v>2401</v>
      </c>
      <c r="D1791" s="116"/>
      <c r="E1791" s="116"/>
      <c r="F1791" s="116"/>
      <c r="G1791" s="108"/>
      <c r="H1791" s="105" t="n">
        <f aca="false">'[2]$ лето'!j1791-'[2]$ лето'!au1791-'[2]$ лето'!at1791-'[2]$ лето'!as1791-'[2]$ лето'!ar1791-'[2]$ лето'!aq1791-'[2]$ лето'!ap1791-'[2]$ лето'!an1791-'[2]$ лето'!am1791-'[2]$ лето'!al1791-'[2]$ лето'!ak1791-'[2]$ лето'!aj1791-'[2]$ лето'!ah1791-'[2]$ лето'!ag1791-'[2]$ лето'!af1791-'[2]$ лето'!ae1791-'[2]$ лето'!ad1791-'[2]$ лето'!ab1791-'[2]$ лето'!aa1791-'[2]$ лето'!z1791-'[2]$ лето'!y1791-'[2]$ лето'!x1791-'[2]$ лето'!v1791-'[2]$ лето'!u1791-'[2]$ лето'!t1791-'[2]$ лето'!s1791-'[2]$ лето'!r1791-'[2]$ лето'!p1791-'[2]$ лето'!o1791-'[2]$ лето'!n1791-'[2]$ лето'!m1791-'[2]$ лето'!l1791+'[2]$ лето'!k1791+'[2]$ лето'!q1791+'[2]$ лето'!w1791+'[2]$ лето'!ac1791+'[2]$ лето'!ai1791+'[2]$ лето'!ao1791</f>
        <v>0</v>
      </c>
      <c r="I1791" s="109" t="n">
        <f aca="false">'[2]$ лето'!ay1791*1.1</f>
        <v>7392</v>
      </c>
    </row>
    <row r="1792" customFormat="false" ht="15" hidden="false" customHeight="false" outlineLevel="0" collapsed="false">
      <c r="A1792" s="127" t="s">
        <v>2402</v>
      </c>
      <c r="B1792" s="115" t="s">
        <v>707</v>
      </c>
      <c r="C1792" s="116" t="s">
        <v>2403</v>
      </c>
      <c r="D1792" s="116"/>
      <c r="E1792" s="116"/>
      <c r="F1792" s="116"/>
      <c r="G1792" s="108"/>
      <c r="H1792" s="105" t="n">
        <f aca="false">'[2]$ лето'!j1792-'[2]$ лето'!au1792-'[2]$ лето'!at1792-'[2]$ лето'!as1792-'[2]$ лето'!ar1792-'[2]$ лето'!aq1792-'[2]$ лето'!ap1792-'[2]$ лето'!an1792-'[2]$ лето'!am1792-'[2]$ лето'!al1792-'[2]$ лето'!ak1792-'[2]$ лето'!aj1792-'[2]$ лето'!ah1792-'[2]$ лето'!ag1792-'[2]$ лето'!af1792-'[2]$ лето'!ae1792-'[2]$ лето'!ad1792-'[2]$ лето'!ab1792-'[2]$ лето'!aa1792-'[2]$ лето'!z1792-'[2]$ лето'!y1792-'[2]$ лето'!x1792-'[2]$ лето'!v1792-'[2]$ лето'!u1792-'[2]$ лето'!t1792-'[2]$ лето'!s1792-'[2]$ лето'!r1792-'[2]$ лето'!p1792-'[2]$ лето'!o1792-'[2]$ лето'!n1792-'[2]$ лето'!m1792-'[2]$ лето'!l1792+'[2]$ лето'!k1792+'[2]$ лето'!q1792+'[2]$ лето'!w1792+'[2]$ лето'!ac1792+'[2]$ лето'!ai1792+'[2]$ лето'!ao1792</f>
        <v>2</v>
      </c>
      <c r="I1792" s="109" t="n">
        <f aca="false">'[2]$ лето'!ay1792*1.1</f>
        <v>6098.4</v>
      </c>
    </row>
    <row r="1793" customFormat="false" ht="15" hidden="false" customHeight="false" outlineLevel="0" collapsed="false">
      <c r="A1793" s="141" t="s">
        <v>2402</v>
      </c>
      <c r="B1793" s="129" t="s">
        <v>707</v>
      </c>
      <c r="C1793" s="131" t="s">
        <v>2403</v>
      </c>
      <c r="D1793" s="131"/>
      <c r="E1793" s="131"/>
      <c r="F1793" s="131"/>
      <c r="G1793" s="132"/>
      <c r="H1793" s="105" t="n">
        <f aca="false">'[2]$ лето'!j1793-'[2]$ лето'!au1793-'[2]$ лето'!at1793-'[2]$ лето'!as1793-'[2]$ лето'!ar1793-'[2]$ лето'!aq1793-'[2]$ лето'!ap1793-'[2]$ лето'!an1793-'[2]$ лето'!am1793-'[2]$ лето'!al1793-'[2]$ лето'!ak1793-'[2]$ лето'!aj1793-'[2]$ лето'!ah1793-'[2]$ лето'!ag1793-'[2]$ лето'!af1793-'[2]$ лето'!ae1793-'[2]$ лето'!ad1793-'[2]$ лето'!ab1793-'[2]$ лето'!aa1793-'[2]$ лето'!z1793-'[2]$ лето'!y1793-'[2]$ лето'!x1793-'[2]$ лето'!v1793-'[2]$ лето'!u1793-'[2]$ лето'!t1793-'[2]$ лето'!s1793-'[2]$ лето'!r1793-'[2]$ лето'!p1793-'[2]$ лето'!o1793-'[2]$ лето'!n1793-'[2]$ лето'!m1793-'[2]$ лето'!l1793+'[2]$ лето'!k1793+'[2]$ лето'!q1793+'[2]$ лето'!w1793+'[2]$ лето'!ac1793+'[2]$ лето'!ai1793+'[2]$ лето'!ao1793</f>
        <v>2</v>
      </c>
      <c r="I1793" s="133" t="n">
        <f aca="false">'[2]$ лето'!ay1793*1.1</f>
        <v>2420</v>
      </c>
    </row>
    <row r="1794" customFormat="false" ht="15" hidden="false" customHeight="false" outlineLevel="0" collapsed="false">
      <c r="A1794" s="127" t="s">
        <v>2404</v>
      </c>
      <c r="B1794" s="115" t="s">
        <v>583</v>
      </c>
      <c r="C1794" s="116" t="s">
        <v>2405</v>
      </c>
      <c r="D1794" s="116"/>
      <c r="E1794" s="116"/>
      <c r="F1794" s="116"/>
      <c r="G1794" s="108" t="s">
        <v>640</v>
      </c>
      <c r="H1794" s="105" t="n">
        <f aca="false">'[2]$ лето'!j1794-'[2]$ лето'!au1794-'[2]$ лето'!at1794-'[2]$ лето'!as1794-'[2]$ лето'!ar1794-'[2]$ лето'!aq1794-'[2]$ лето'!ap1794-'[2]$ лето'!an1794-'[2]$ лето'!am1794-'[2]$ лето'!al1794-'[2]$ лето'!ak1794-'[2]$ лето'!aj1794-'[2]$ лето'!ah1794-'[2]$ лето'!ag1794-'[2]$ лето'!af1794-'[2]$ лето'!ae1794-'[2]$ лето'!ad1794-'[2]$ лето'!ab1794-'[2]$ лето'!aa1794-'[2]$ лето'!z1794-'[2]$ лето'!y1794-'[2]$ лето'!x1794-'[2]$ лето'!v1794-'[2]$ лето'!u1794-'[2]$ лето'!t1794-'[2]$ лето'!s1794-'[2]$ лето'!r1794-'[2]$ лето'!p1794-'[2]$ лето'!o1794-'[2]$ лето'!n1794-'[2]$ лето'!m1794-'[2]$ лето'!l1794+'[2]$ лето'!k1794+'[2]$ лето'!q1794+'[2]$ лето'!w1794+'[2]$ лето'!ac1794+'[2]$ лето'!ai1794+'[2]$ лето'!ao1794</f>
        <v>4</v>
      </c>
      <c r="I1794" s="109" t="n">
        <f aca="false">'[2]$ лето'!ay1794*1.1</f>
        <v>4835.6</v>
      </c>
      <c r="J1794" s="85" t="n">
        <v>2017</v>
      </c>
    </row>
    <row r="1795" customFormat="false" ht="15" hidden="true" customHeight="false" outlineLevel="0" collapsed="false">
      <c r="A1795" s="127" t="s">
        <v>2404</v>
      </c>
      <c r="B1795" s="115" t="s">
        <v>593</v>
      </c>
      <c r="C1795" s="116" t="s">
        <v>2406</v>
      </c>
      <c r="D1795" s="116"/>
      <c r="E1795" s="116"/>
      <c r="F1795" s="116"/>
      <c r="G1795" s="108" t="s">
        <v>1240</v>
      </c>
      <c r="H1795" s="105" t="n">
        <f aca="false">'[2]$ лето'!j1795-'[2]$ лето'!au1795-'[2]$ лето'!at1795-'[2]$ лето'!as1795-'[2]$ лето'!ar1795-'[2]$ лето'!aq1795-'[2]$ лето'!ap1795-'[2]$ лето'!an1795-'[2]$ лето'!am1795-'[2]$ лето'!al1795-'[2]$ лето'!ak1795-'[2]$ лето'!aj1795-'[2]$ лето'!ah1795-'[2]$ лето'!ag1795-'[2]$ лето'!af1795-'[2]$ лето'!ae1795-'[2]$ лето'!ad1795-'[2]$ лето'!ab1795-'[2]$ лето'!aa1795-'[2]$ лето'!z1795-'[2]$ лето'!y1795-'[2]$ лето'!x1795-'[2]$ лето'!v1795-'[2]$ лето'!u1795-'[2]$ лето'!t1795-'[2]$ лето'!s1795-'[2]$ лето'!r1795-'[2]$ лето'!p1795-'[2]$ лето'!o1795-'[2]$ лето'!n1795-'[2]$ лето'!m1795-'[2]$ лето'!l1795+'[2]$ лето'!k1795+'[2]$ лето'!q1795+'[2]$ лето'!w1795+'[2]$ лето'!ac1795+'[2]$ лето'!ai1795+'[2]$ лето'!ao1795</f>
        <v>0</v>
      </c>
      <c r="I1795" s="109" t="n">
        <f aca="false">'[2]$ лето'!ay1795*1.1</f>
        <v>770</v>
      </c>
      <c r="J1795" s="113" t="s">
        <v>1827</v>
      </c>
    </row>
    <row r="1796" customFormat="false" ht="15" hidden="false" customHeight="false" outlineLevel="0" collapsed="false">
      <c r="A1796" s="127" t="s">
        <v>2407</v>
      </c>
      <c r="B1796" s="115" t="s">
        <v>658</v>
      </c>
      <c r="C1796" s="116" t="s">
        <v>2408</v>
      </c>
      <c r="D1796" s="116"/>
      <c r="E1796" s="116"/>
      <c r="F1796" s="116"/>
      <c r="G1796" s="108" t="s">
        <v>570</v>
      </c>
      <c r="H1796" s="105" t="n">
        <f aca="false">'[2]$ лето'!j1796-'[2]$ лето'!au1796-'[2]$ лето'!at1796-'[2]$ лето'!as1796-'[2]$ лето'!ar1796-'[2]$ лето'!aq1796-'[2]$ лето'!ap1796-'[2]$ лето'!an1796-'[2]$ лето'!am1796-'[2]$ лето'!al1796-'[2]$ лето'!ak1796-'[2]$ лето'!aj1796-'[2]$ лето'!ah1796-'[2]$ лето'!ag1796-'[2]$ лето'!af1796-'[2]$ лето'!ae1796-'[2]$ лето'!ad1796-'[2]$ лето'!ab1796-'[2]$ лето'!aa1796-'[2]$ лето'!z1796-'[2]$ лето'!y1796-'[2]$ лето'!x1796-'[2]$ лето'!v1796-'[2]$ лето'!u1796-'[2]$ лето'!t1796-'[2]$ лето'!s1796-'[2]$ лето'!r1796-'[2]$ лето'!p1796-'[2]$ лето'!o1796-'[2]$ лето'!n1796-'[2]$ лето'!m1796-'[2]$ лето'!l1796+'[2]$ лето'!k1796+'[2]$ лето'!q1796+'[2]$ лето'!w1796+'[2]$ лето'!ac1796+'[2]$ лето'!ai1796+'[2]$ лето'!ao1796</f>
        <v>4</v>
      </c>
      <c r="I1796" s="109" t="n">
        <f aca="false">'[2]$ лето'!ay1796*1.1</f>
        <v>8008</v>
      </c>
      <c r="J1796" s="113" t="n">
        <v>2018</v>
      </c>
    </row>
    <row r="1797" customFormat="false" ht="15" hidden="false" customHeight="false" outlineLevel="0" collapsed="false">
      <c r="A1797" s="127" t="s">
        <v>2407</v>
      </c>
      <c r="B1797" s="115" t="s">
        <v>707</v>
      </c>
      <c r="C1797" s="107" t="s">
        <v>2409</v>
      </c>
      <c r="D1797" s="107"/>
      <c r="E1797" s="116"/>
      <c r="F1797" s="116"/>
      <c r="G1797" s="108"/>
      <c r="H1797" s="105" t="n">
        <f aca="false">'[2]$ лето'!j1797-'[2]$ лето'!au1797-'[2]$ лето'!at1797-'[2]$ лето'!as1797-'[2]$ лето'!ar1797-'[2]$ лето'!aq1797-'[2]$ лето'!ap1797-'[2]$ лето'!an1797-'[2]$ лето'!am1797-'[2]$ лето'!al1797-'[2]$ лето'!ak1797-'[2]$ лето'!aj1797-'[2]$ лето'!ah1797-'[2]$ лето'!ag1797-'[2]$ лето'!af1797-'[2]$ лето'!ae1797-'[2]$ лето'!ad1797-'[2]$ лето'!ab1797-'[2]$ лето'!aa1797-'[2]$ лето'!z1797-'[2]$ лето'!y1797-'[2]$ лето'!x1797-'[2]$ лето'!v1797-'[2]$ лето'!u1797-'[2]$ лето'!t1797-'[2]$ лето'!s1797-'[2]$ лето'!r1797-'[2]$ лето'!p1797-'[2]$ лето'!o1797-'[2]$ лето'!n1797-'[2]$ лето'!m1797-'[2]$ лето'!l1797+'[2]$ лето'!k1797+'[2]$ лето'!q1797+'[2]$ лето'!w1797+'[2]$ лето'!ac1797+'[2]$ лето'!ai1797+'[2]$ лето'!ao1797</f>
        <v>4</v>
      </c>
      <c r="I1797" s="109" t="n">
        <f aca="false">'[2]$ лето'!ay1797*1.1</f>
        <v>7700</v>
      </c>
      <c r="J1797" s="113" t="n">
        <v>2017</v>
      </c>
    </row>
    <row r="1798" customFormat="false" ht="15" hidden="true" customHeight="false" outlineLevel="0" collapsed="false">
      <c r="A1798" s="127" t="s">
        <v>2407</v>
      </c>
      <c r="B1798" s="115" t="s">
        <v>801</v>
      </c>
      <c r="C1798" s="107" t="s">
        <v>2410</v>
      </c>
      <c r="D1798" s="107"/>
      <c r="E1798" s="107"/>
      <c r="F1798" s="107"/>
      <c r="G1798" s="108" t="s">
        <v>2411</v>
      </c>
      <c r="H1798" s="105" t="n">
        <f aca="false">'[2]$ лето'!j1798-'[2]$ лето'!au1798-'[2]$ лето'!at1798-'[2]$ лето'!as1798-'[2]$ лето'!ar1798-'[2]$ лето'!aq1798-'[2]$ лето'!ap1798-'[2]$ лето'!an1798-'[2]$ лето'!am1798-'[2]$ лето'!al1798-'[2]$ лето'!ak1798-'[2]$ лето'!aj1798-'[2]$ лето'!ah1798-'[2]$ лето'!ag1798-'[2]$ лето'!af1798-'[2]$ лето'!ae1798-'[2]$ лето'!ad1798-'[2]$ лето'!ab1798-'[2]$ лето'!aa1798-'[2]$ лето'!z1798-'[2]$ лето'!y1798-'[2]$ лето'!x1798-'[2]$ лето'!v1798-'[2]$ лето'!u1798-'[2]$ лето'!t1798-'[2]$ лето'!s1798-'[2]$ лето'!r1798-'[2]$ лето'!p1798-'[2]$ лето'!o1798-'[2]$ лето'!n1798-'[2]$ лето'!m1798-'[2]$ лето'!l1798+'[2]$ лето'!k1798+'[2]$ лето'!q1798+'[2]$ лето'!w1798+'[2]$ лето'!ac1798+'[2]$ лето'!ai1798+'[2]$ лето'!ao1798</f>
        <v>0</v>
      </c>
      <c r="I1798" s="109" t="n">
        <f aca="false">'[2]$ лето'!ay1798*1.1</f>
        <v>7392</v>
      </c>
      <c r="J1798" s="113" t="n">
        <v>2017</v>
      </c>
    </row>
    <row r="1799" customFormat="false" ht="15" hidden="false" customHeight="false" outlineLevel="0" collapsed="false">
      <c r="A1799" s="141" t="s">
        <v>2412</v>
      </c>
      <c r="B1799" s="129" t="s">
        <v>707</v>
      </c>
      <c r="C1799" s="130" t="s">
        <v>2413</v>
      </c>
      <c r="D1799" s="130"/>
      <c r="E1799" s="131"/>
      <c r="F1799" s="131"/>
      <c r="G1799" s="132"/>
      <c r="H1799" s="105" t="n">
        <f aca="false">'[2]$ лето'!j1799-'[2]$ лето'!au1799-'[2]$ лето'!at1799-'[2]$ лето'!as1799-'[2]$ лето'!ar1799-'[2]$ лето'!aq1799-'[2]$ лето'!ap1799-'[2]$ лето'!an1799-'[2]$ лето'!am1799-'[2]$ лето'!al1799-'[2]$ лето'!ak1799-'[2]$ лето'!aj1799-'[2]$ лето'!ah1799-'[2]$ лето'!ag1799-'[2]$ лето'!af1799-'[2]$ лето'!ae1799-'[2]$ лето'!ad1799-'[2]$ лето'!ab1799-'[2]$ лето'!aa1799-'[2]$ лето'!z1799-'[2]$ лето'!y1799-'[2]$ лето'!x1799-'[2]$ лето'!v1799-'[2]$ лето'!u1799-'[2]$ лето'!t1799-'[2]$ лето'!s1799-'[2]$ лето'!r1799-'[2]$ лето'!p1799-'[2]$ лето'!o1799-'[2]$ лето'!n1799-'[2]$ лето'!m1799-'[2]$ лето'!l1799+'[2]$ лето'!k1799+'[2]$ лето'!q1799+'[2]$ лето'!w1799+'[2]$ лето'!ac1799+'[2]$ лето'!ai1799+'[2]$ лето'!ao1799</f>
        <v>2</v>
      </c>
      <c r="I1799" s="133" t="n">
        <f aca="false">'[2]$ лето'!ay1799*1.1</f>
        <v>2420</v>
      </c>
    </row>
    <row r="1800" customFormat="false" ht="15" hidden="false" customHeight="false" outlineLevel="0" collapsed="false">
      <c r="A1800" s="120" t="s">
        <v>2414</v>
      </c>
      <c r="B1800" s="121"/>
      <c r="C1800" s="122"/>
      <c r="D1800" s="122"/>
      <c r="E1800" s="122"/>
      <c r="F1800" s="122"/>
      <c r="G1800" s="104"/>
      <c r="H1800" s="105"/>
      <c r="I1800" s="105" t="n">
        <f aca="false">'[2]$ лето'!ay1800*1.1</f>
        <v>0</v>
      </c>
      <c r="J1800" s="113"/>
    </row>
    <row r="1801" customFormat="false" ht="15" hidden="true" customHeight="false" outlineLevel="0" collapsed="false">
      <c r="A1801" s="123" t="s">
        <v>2415</v>
      </c>
      <c r="B1801" s="115" t="s">
        <v>553</v>
      </c>
      <c r="C1801" s="159" t="s">
        <v>2089</v>
      </c>
      <c r="D1801" s="159"/>
      <c r="E1801" s="159"/>
      <c r="F1801" s="159"/>
      <c r="G1801" s="108"/>
      <c r="H1801" s="105" t="n">
        <f aca="false">'[2]$ лето'!j1801-'[2]$ лето'!au1801-'[2]$ лето'!at1801-'[2]$ лето'!as1801-'[2]$ лето'!ar1801-'[2]$ лето'!aq1801-'[2]$ лето'!ap1801-'[2]$ лето'!an1801-'[2]$ лето'!am1801-'[2]$ лето'!al1801-'[2]$ лето'!ak1801-'[2]$ лето'!aj1801-'[2]$ лето'!ah1801-'[2]$ лето'!ag1801-'[2]$ лето'!af1801-'[2]$ лето'!ae1801-'[2]$ лето'!ad1801-'[2]$ лето'!ab1801-'[2]$ лето'!aa1801-'[2]$ лето'!z1801-'[2]$ лето'!y1801-'[2]$ лето'!x1801-'[2]$ лето'!v1801-'[2]$ лето'!u1801-'[2]$ лето'!t1801-'[2]$ лето'!s1801-'[2]$ лето'!r1801-'[2]$ лето'!p1801-'[2]$ лето'!o1801-'[2]$ лето'!n1801-'[2]$ лето'!m1801-'[2]$ лето'!l1801+'[2]$ лето'!k1801+'[2]$ лето'!q1801+'[2]$ лето'!w1801+'[2]$ лето'!ac1801+'[2]$ лето'!ai1801+'[2]$ лето'!ao1801</f>
        <v>0</v>
      </c>
      <c r="I1801" s="109" t="n">
        <f aca="false">'[2]$ лето'!ay1801*1.1</f>
        <v>0</v>
      </c>
    </row>
    <row r="1802" customFormat="false" ht="15" hidden="true" customHeight="false" outlineLevel="0" collapsed="false">
      <c r="A1802" s="123" t="s">
        <v>2415</v>
      </c>
      <c r="B1802" s="123" t="s">
        <v>589</v>
      </c>
      <c r="C1802" s="116" t="s">
        <v>1881</v>
      </c>
      <c r="D1802" s="116"/>
      <c r="E1802" s="116"/>
      <c r="F1802" s="116"/>
      <c r="G1802" s="108"/>
      <c r="H1802" s="105" t="n">
        <f aca="false">'[2]$ лето'!j1802-'[2]$ лето'!au1802-'[2]$ лето'!at1802-'[2]$ лето'!as1802-'[2]$ лето'!ar1802-'[2]$ лето'!aq1802-'[2]$ лето'!ap1802-'[2]$ лето'!an1802-'[2]$ лето'!am1802-'[2]$ лето'!al1802-'[2]$ лето'!ak1802-'[2]$ лето'!aj1802-'[2]$ лето'!ah1802-'[2]$ лето'!ag1802-'[2]$ лето'!af1802-'[2]$ лето'!ae1802-'[2]$ лето'!ad1802-'[2]$ лето'!ab1802-'[2]$ лето'!aa1802-'[2]$ лето'!z1802-'[2]$ лето'!y1802-'[2]$ лето'!x1802-'[2]$ лето'!v1802-'[2]$ лето'!u1802-'[2]$ лето'!t1802-'[2]$ лето'!s1802-'[2]$ лето'!r1802-'[2]$ лето'!p1802-'[2]$ лето'!o1802-'[2]$ лето'!n1802-'[2]$ лето'!m1802-'[2]$ лето'!l1802+'[2]$ лето'!k1802+'[2]$ лето'!q1802+'[2]$ лето'!w1802+'[2]$ лето'!ac1802+'[2]$ лето'!ai1802+'[2]$ лето'!ao1802</f>
        <v>0</v>
      </c>
      <c r="I1802" s="109" t="n">
        <f aca="false">'[2]$ лето'!ay1802*1.1</f>
        <v>0</v>
      </c>
    </row>
    <row r="1803" customFormat="false" ht="15" hidden="false" customHeight="false" outlineLevel="0" collapsed="false">
      <c r="A1803" s="120" t="s">
        <v>273</v>
      </c>
      <c r="B1803" s="121"/>
      <c r="C1803" s="122"/>
      <c r="D1803" s="122"/>
      <c r="E1803" s="122"/>
      <c r="F1803" s="122"/>
      <c r="G1803" s="104"/>
      <c r="H1803" s="105"/>
      <c r="I1803" s="105" t="n">
        <f aca="false">'[2]$ лето'!ay1803*1.1</f>
        <v>0</v>
      </c>
    </row>
    <row r="1804" customFormat="false" ht="15" hidden="false" customHeight="false" outlineLevel="0" collapsed="false">
      <c r="A1804" s="115" t="s">
        <v>2416</v>
      </c>
      <c r="B1804" s="115" t="s">
        <v>617</v>
      </c>
      <c r="C1804" s="116" t="s">
        <v>2417</v>
      </c>
      <c r="D1804" s="116"/>
      <c r="E1804" s="116"/>
      <c r="F1804" s="116"/>
      <c r="G1804" s="108" t="s">
        <v>625</v>
      </c>
      <c r="H1804" s="105" t="n">
        <f aca="false">'[2]$ лето'!j1804-'[2]$ лето'!au1804-'[2]$ лето'!at1804-'[2]$ лето'!as1804-'[2]$ лето'!ar1804-'[2]$ лето'!aq1804-'[2]$ лето'!ap1804-'[2]$ лето'!an1804-'[2]$ лето'!am1804-'[2]$ лето'!al1804-'[2]$ лето'!ak1804-'[2]$ лето'!aj1804-'[2]$ лето'!ah1804-'[2]$ лето'!ag1804-'[2]$ лето'!af1804-'[2]$ лето'!ae1804-'[2]$ лето'!ad1804-'[2]$ лето'!ab1804-'[2]$ лето'!aa1804-'[2]$ лето'!z1804-'[2]$ лето'!y1804-'[2]$ лето'!x1804-'[2]$ лето'!v1804-'[2]$ лето'!u1804-'[2]$ лето'!t1804-'[2]$ лето'!s1804-'[2]$ лето'!r1804-'[2]$ лето'!p1804-'[2]$ лето'!o1804-'[2]$ лето'!n1804-'[2]$ лето'!m1804-'[2]$ лето'!l1804+'[2]$ лето'!k1804+'[2]$ лето'!q1804+'[2]$ лето'!w1804+'[2]$ лето'!ac1804+'[2]$ лето'!ai1804+'[2]$ лето'!ao1804</f>
        <v>2</v>
      </c>
      <c r="I1804" s="109" t="n">
        <f aca="false">'[2]$ лето'!ay1804*1.1</f>
        <v>1249.6</v>
      </c>
      <c r="J1804" s="85" t="n">
        <v>2018</v>
      </c>
    </row>
    <row r="1805" customFormat="false" ht="15" hidden="true" customHeight="false" outlineLevel="0" collapsed="false">
      <c r="A1805" s="115" t="s">
        <v>274</v>
      </c>
      <c r="B1805" s="115" t="s">
        <v>557</v>
      </c>
      <c r="C1805" s="107" t="s">
        <v>2418</v>
      </c>
      <c r="D1805" s="107"/>
      <c r="E1805" s="107"/>
      <c r="F1805" s="107"/>
      <c r="G1805" s="108"/>
      <c r="H1805" s="105" t="n">
        <f aca="false">'[2]$ лето'!j1805-'[2]$ лето'!au1805-'[2]$ лето'!at1805-'[2]$ лето'!as1805-'[2]$ лето'!ar1805-'[2]$ лето'!aq1805-'[2]$ лето'!ap1805-'[2]$ лето'!an1805-'[2]$ лето'!am1805-'[2]$ лето'!al1805-'[2]$ лето'!ak1805-'[2]$ лето'!aj1805-'[2]$ лето'!ah1805-'[2]$ лето'!ag1805-'[2]$ лето'!af1805-'[2]$ лето'!ae1805-'[2]$ лето'!ad1805-'[2]$ лето'!ab1805-'[2]$ лето'!aa1805-'[2]$ лето'!z1805-'[2]$ лето'!y1805-'[2]$ лето'!x1805-'[2]$ лето'!v1805-'[2]$ лето'!u1805-'[2]$ лето'!t1805-'[2]$ лето'!s1805-'[2]$ лето'!r1805-'[2]$ лето'!p1805-'[2]$ лето'!o1805-'[2]$ лето'!n1805-'[2]$ лето'!m1805-'[2]$ лето'!l1805+'[2]$ лето'!k1805+'[2]$ лето'!q1805+'[2]$ лето'!w1805+'[2]$ лето'!ac1805+'[2]$ лето'!ai1805+'[2]$ лето'!ao1805</f>
        <v>0</v>
      </c>
      <c r="I1805" s="109" t="n">
        <f aca="false">'[2]$ лето'!ay1805*1.1</f>
        <v>1249.6</v>
      </c>
    </row>
    <row r="1806" customFormat="false" ht="15" hidden="true" customHeight="false" outlineLevel="0" collapsed="false">
      <c r="A1806" s="115" t="s">
        <v>274</v>
      </c>
      <c r="B1806" s="115" t="s">
        <v>604</v>
      </c>
      <c r="C1806" s="107" t="s">
        <v>2419</v>
      </c>
      <c r="D1806" s="107"/>
      <c r="E1806" s="107"/>
      <c r="F1806" s="107"/>
      <c r="G1806" s="108"/>
      <c r="H1806" s="105" t="n">
        <f aca="false">'[2]$ лето'!j1806-'[2]$ лето'!au1806-'[2]$ лето'!at1806-'[2]$ лето'!as1806-'[2]$ лето'!ar1806-'[2]$ лето'!aq1806-'[2]$ лето'!ap1806-'[2]$ лето'!an1806-'[2]$ лето'!am1806-'[2]$ лето'!al1806-'[2]$ лето'!ak1806-'[2]$ лето'!aj1806-'[2]$ лето'!ah1806-'[2]$ лето'!ag1806-'[2]$ лето'!af1806-'[2]$ лето'!ae1806-'[2]$ лето'!ad1806-'[2]$ лето'!ab1806-'[2]$ лето'!aa1806-'[2]$ лето'!z1806-'[2]$ лето'!y1806-'[2]$ лето'!x1806-'[2]$ лето'!v1806-'[2]$ лето'!u1806-'[2]$ лето'!t1806-'[2]$ лето'!s1806-'[2]$ лето'!r1806-'[2]$ лето'!p1806-'[2]$ лето'!o1806-'[2]$ лето'!n1806-'[2]$ лето'!m1806-'[2]$ лето'!l1806+'[2]$ лето'!k1806+'[2]$ лето'!q1806+'[2]$ лето'!w1806+'[2]$ лето'!ac1806+'[2]$ лето'!ai1806+'[2]$ лето'!ao1806</f>
        <v>0</v>
      </c>
      <c r="I1806" s="109" t="n">
        <f aca="false">'[2]$ лето'!ay1806*1.1</f>
        <v>1437.04</v>
      </c>
    </row>
    <row r="1807" customFormat="false" ht="15" hidden="true" customHeight="false" outlineLevel="0" collapsed="false">
      <c r="A1807" s="115" t="s">
        <v>274</v>
      </c>
      <c r="B1807" s="115" t="s">
        <v>606</v>
      </c>
      <c r="C1807" s="107" t="s">
        <v>2420</v>
      </c>
      <c r="D1807" s="107"/>
      <c r="E1807" s="107"/>
      <c r="F1807" s="107"/>
      <c r="G1807" s="108"/>
      <c r="H1807" s="105" t="n">
        <f aca="false">'[2]$ лето'!j1807-'[2]$ лето'!au1807-'[2]$ лето'!at1807-'[2]$ лето'!as1807-'[2]$ лето'!ar1807-'[2]$ лето'!aq1807-'[2]$ лето'!ap1807-'[2]$ лето'!an1807-'[2]$ лето'!am1807-'[2]$ лето'!al1807-'[2]$ лето'!ak1807-'[2]$ лето'!aj1807-'[2]$ лето'!ah1807-'[2]$ лето'!ag1807-'[2]$ лето'!af1807-'[2]$ лето'!ae1807-'[2]$ лето'!ad1807-'[2]$ лето'!ab1807-'[2]$ лето'!aa1807-'[2]$ лето'!z1807-'[2]$ лето'!y1807-'[2]$ лето'!x1807-'[2]$ лето'!v1807-'[2]$ лето'!u1807-'[2]$ лето'!t1807-'[2]$ лето'!s1807-'[2]$ лето'!r1807-'[2]$ лето'!p1807-'[2]$ лето'!o1807-'[2]$ лето'!n1807-'[2]$ лето'!m1807-'[2]$ лето'!l1807+'[2]$ лето'!k1807+'[2]$ лето'!q1807+'[2]$ лето'!w1807+'[2]$ лето'!ac1807+'[2]$ лето'!ai1807+'[2]$ лето'!ao1807</f>
        <v>0</v>
      </c>
      <c r="I1807" s="109" t="n">
        <f aca="false">'[2]$ лето'!ay1807*1.1</f>
        <v>1374.56</v>
      </c>
    </row>
    <row r="1808" customFormat="false" ht="15" hidden="true" customHeight="false" outlineLevel="0" collapsed="false">
      <c r="A1808" s="115" t="s">
        <v>274</v>
      </c>
      <c r="B1808" s="115" t="s">
        <v>2421</v>
      </c>
      <c r="C1808" s="119" t="s">
        <v>2422</v>
      </c>
      <c r="D1808" s="119"/>
      <c r="E1808" s="119"/>
      <c r="F1808" s="119"/>
      <c r="G1808" s="108"/>
      <c r="H1808" s="105" t="n">
        <f aca="false">'[2]$ лето'!j1808-'[2]$ лето'!au1808-'[2]$ лето'!at1808-'[2]$ лето'!as1808-'[2]$ лето'!ar1808-'[2]$ лето'!aq1808-'[2]$ лето'!ap1808-'[2]$ лето'!an1808-'[2]$ лето'!am1808-'[2]$ лето'!al1808-'[2]$ лето'!ak1808-'[2]$ лето'!aj1808-'[2]$ лето'!ah1808-'[2]$ лето'!ag1808-'[2]$ лето'!af1808-'[2]$ лето'!ae1808-'[2]$ лето'!ad1808-'[2]$ лето'!ab1808-'[2]$ лето'!aa1808-'[2]$ лето'!z1808-'[2]$ лето'!y1808-'[2]$ лето'!x1808-'[2]$ лето'!v1808-'[2]$ лето'!u1808-'[2]$ лето'!t1808-'[2]$ лето'!s1808-'[2]$ лето'!r1808-'[2]$ лето'!p1808-'[2]$ лето'!o1808-'[2]$ лето'!n1808-'[2]$ лето'!m1808-'[2]$ лето'!l1808+'[2]$ лето'!k1808+'[2]$ лето'!q1808+'[2]$ лето'!w1808+'[2]$ лето'!ac1808+'[2]$ лето'!ai1808+'[2]$ лето'!ao1808</f>
        <v>0</v>
      </c>
      <c r="I1808" s="109" t="n">
        <f aca="false">'[2]$ лето'!ay1808*1.1</f>
        <v>1124.64</v>
      </c>
    </row>
    <row r="1809" customFormat="false" ht="15" hidden="true" customHeight="false" outlineLevel="0" collapsed="false">
      <c r="A1809" s="115" t="s">
        <v>274</v>
      </c>
      <c r="B1809" s="115" t="s">
        <v>2423</v>
      </c>
      <c r="C1809" s="160" t="s">
        <v>2424</v>
      </c>
      <c r="D1809" s="160"/>
      <c r="E1809" s="160"/>
      <c r="F1809" s="160"/>
      <c r="G1809" s="108"/>
      <c r="H1809" s="105" t="n">
        <f aca="false">'[2]$ лето'!j1809-'[2]$ лето'!au1809-'[2]$ лето'!at1809-'[2]$ лето'!as1809-'[2]$ лето'!ar1809-'[2]$ лето'!aq1809-'[2]$ лето'!ap1809-'[2]$ лето'!an1809-'[2]$ лето'!am1809-'[2]$ лето'!al1809-'[2]$ лето'!ak1809-'[2]$ лето'!aj1809-'[2]$ лето'!ah1809-'[2]$ лето'!ag1809-'[2]$ лето'!af1809-'[2]$ лето'!ae1809-'[2]$ лето'!ad1809-'[2]$ лето'!ab1809-'[2]$ лето'!aa1809-'[2]$ лето'!z1809-'[2]$ лето'!y1809-'[2]$ лето'!x1809-'[2]$ лето'!v1809-'[2]$ лето'!u1809-'[2]$ лето'!t1809-'[2]$ лето'!s1809-'[2]$ лето'!r1809-'[2]$ лето'!p1809-'[2]$ лето'!o1809-'[2]$ лето'!n1809-'[2]$ лето'!m1809-'[2]$ лето'!l1809+'[2]$ лето'!k1809+'[2]$ лето'!q1809+'[2]$ лето'!w1809+'[2]$ лето'!ac1809+'[2]$ лето'!ai1809+'[2]$ лето'!ao1809</f>
        <v>0</v>
      </c>
      <c r="I1809" s="109" t="n">
        <f aca="false">'[2]$ лето'!ay1809*1.1</f>
        <v>1124.64</v>
      </c>
    </row>
    <row r="1810" customFormat="false" ht="15" hidden="false" customHeight="false" outlineLevel="0" collapsed="false">
      <c r="A1810" s="115" t="s">
        <v>274</v>
      </c>
      <c r="B1810" s="115" t="s">
        <v>574</v>
      </c>
      <c r="C1810" s="116" t="s">
        <v>2425</v>
      </c>
      <c r="D1810" s="116"/>
      <c r="E1810" s="116"/>
      <c r="F1810" s="116"/>
      <c r="G1810" s="108" t="s">
        <v>576</v>
      </c>
      <c r="H1810" s="105" t="n">
        <f aca="false">'[2]$ лето'!j1810-'[2]$ лето'!au1810-'[2]$ лето'!at1810-'[2]$ лето'!as1810-'[2]$ лето'!ar1810-'[2]$ лето'!aq1810-'[2]$ лето'!ap1810-'[2]$ лето'!an1810-'[2]$ лето'!am1810-'[2]$ лето'!al1810-'[2]$ лето'!ak1810-'[2]$ лето'!aj1810-'[2]$ лето'!ah1810-'[2]$ лето'!ag1810-'[2]$ лето'!af1810-'[2]$ лето'!ae1810-'[2]$ лето'!ad1810-'[2]$ лето'!ab1810-'[2]$ лето'!aa1810-'[2]$ лето'!z1810-'[2]$ лето'!y1810-'[2]$ лето'!x1810-'[2]$ лето'!v1810-'[2]$ лето'!u1810-'[2]$ лето'!t1810-'[2]$ лето'!s1810-'[2]$ лето'!r1810-'[2]$ лето'!p1810-'[2]$ лето'!o1810-'[2]$ лето'!n1810-'[2]$ лето'!m1810-'[2]$ лето'!l1810+'[2]$ лето'!k1810+'[2]$ лето'!q1810+'[2]$ лето'!w1810+'[2]$ лето'!ac1810+'[2]$ лето'!ai1810+'[2]$ лето'!ao1810</f>
        <v>5</v>
      </c>
      <c r="I1810" s="109" t="n">
        <f aca="false">'[2]$ лето'!ay1810*1.1</f>
        <v>1718.2</v>
      </c>
      <c r="J1810" s="85" t="n">
        <v>2017</v>
      </c>
    </row>
    <row r="1811" customFormat="false" ht="15" hidden="false" customHeight="false" outlineLevel="0" collapsed="false">
      <c r="A1811" s="115" t="s">
        <v>274</v>
      </c>
      <c r="B1811" s="115" t="s">
        <v>755</v>
      </c>
      <c r="C1811" s="116" t="s">
        <v>2426</v>
      </c>
      <c r="D1811" s="116"/>
      <c r="E1811" s="116"/>
      <c r="F1811" s="116"/>
      <c r="G1811" s="108"/>
      <c r="H1811" s="105" t="n">
        <f aca="false">'[2]$ лето'!j1811-'[2]$ лето'!au1811-'[2]$ лето'!at1811-'[2]$ лето'!as1811-'[2]$ лето'!ar1811-'[2]$ лето'!aq1811-'[2]$ лето'!ap1811-'[2]$ лето'!an1811-'[2]$ лето'!am1811-'[2]$ лето'!al1811-'[2]$ лето'!ak1811-'[2]$ лето'!aj1811-'[2]$ лето'!ah1811-'[2]$ лето'!ag1811-'[2]$ лето'!af1811-'[2]$ лето'!ae1811-'[2]$ лето'!ad1811-'[2]$ лето'!ab1811-'[2]$ лето'!aa1811-'[2]$ лето'!z1811-'[2]$ лето'!y1811-'[2]$ лето'!x1811-'[2]$ лето'!v1811-'[2]$ лето'!u1811-'[2]$ лето'!t1811-'[2]$ лето'!s1811-'[2]$ лето'!r1811-'[2]$ лето'!p1811-'[2]$ лето'!o1811-'[2]$ лето'!n1811-'[2]$ лето'!m1811-'[2]$ лето'!l1811+'[2]$ лето'!k1811+'[2]$ лето'!q1811+'[2]$ лето'!w1811+'[2]$ лето'!ac1811+'[2]$ лето'!ai1811+'[2]$ лето'!ao1811</f>
        <v>4</v>
      </c>
      <c r="I1811" s="109" t="n">
        <f aca="false">'[2]$ лето'!ay1811*1.1</f>
        <v>1374.56</v>
      </c>
    </row>
    <row r="1812" customFormat="false" ht="15" hidden="false" customHeight="false" outlineLevel="0" collapsed="false">
      <c r="A1812" s="115" t="s">
        <v>274</v>
      </c>
      <c r="B1812" s="115" t="s">
        <v>583</v>
      </c>
      <c r="C1812" s="114" t="s">
        <v>2427</v>
      </c>
      <c r="D1812" s="114"/>
      <c r="E1812" s="126"/>
      <c r="F1812" s="126"/>
      <c r="G1812" s="108" t="s">
        <v>585</v>
      </c>
      <c r="H1812" s="105" t="n">
        <f aca="false">'[2]$ лето'!j1812-'[2]$ лето'!au1812-'[2]$ лето'!at1812-'[2]$ лето'!as1812-'[2]$ лето'!ar1812-'[2]$ лето'!aq1812-'[2]$ лето'!ap1812-'[2]$ лето'!an1812-'[2]$ лето'!am1812-'[2]$ лето'!al1812-'[2]$ лето'!ak1812-'[2]$ лето'!aj1812-'[2]$ лето'!ah1812-'[2]$ лето'!ag1812-'[2]$ лето'!af1812-'[2]$ лето'!ae1812-'[2]$ лето'!ad1812-'[2]$ лето'!ab1812-'[2]$ лето'!aa1812-'[2]$ лето'!z1812-'[2]$ лето'!y1812-'[2]$ лето'!x1812-'[2]$ лето'!v1812-'[2]$ лето'!u1812-'[2]$ лето'!t1812-'[2]$ лето'!s1812-'[2]$ лето'!r1812-'[2]$ лето'!p1812-'[2]$ лето'!o1812-'[2]$ лето'!n1812-'[2]$ лето'!m1812-'[2]$ лето'!l1812+'[2]$ лето'!k1812+'[2]$ лето'!q1812+'[2]$ лето'!w1812+'[2]$ лето'!ac1812+'[2]$ лето'!ai1812+'[2]$ лето'!ao1812</f>
        <v>8</v>
      </c>
      <c r="I1812" s="109" t="n">
        <f aca="false">'[2]$ лето'!ay1812*1.1</f>
        <v>1655.72</v>
      </c>
      <c r="J1812" s="85" t="n">
        <v>2018</v>
      </c>
    </row>
    <row r="1813" customFormat="false" ht="15" hidden="false" customHeight="false" outlineLevel="0" collapsed="false">
      <c r="A1813" s="115" t="s">
        <v>274</v>
      </c>
      <c r="B1813" s="115" t="s">
        <v>583</v>
      </c>
      <c r="C1813" s="116" t="s">
        <v>2428</v>
      </c>
      <c r="D1813" s="116"/>
      <c r="E1813" s="116"/>
      <c r="F1813" s="116"/>
      <c r="G1813" s="108" t="s">
        <v>570</v>
      </c>
      <c r="H1813" s="105" t="n">
        <f aca="false">'[2]$ лето'!j1813-'[2]$ лето'!au1813-'[2]$ лето'!at1813-'[2]$ лето'!as1813-'[2]$ лето'!ar1813-'[2]$ лето'!aq1813-'[2]$ лето'!ap1813-'[2]$ лето'!an1813-'[2]$ лето'!am1813-'[2]$ лето'!al1813-'[2]$ лето'!ak1813-'[2]$ лето'!aj1813-'[2]$ лето'!ah1813-'[2]$ лето'!ag1813-'[2]$ лето'!af1813-'[2]$ лето'!ae1813-'[2]$ лето'!ad1813-'[2]$ лето'!ab1813-'[2]$ лето'!aa1813-'[2]$ лето'!z1813-'[2]$ лето'!y1813-'[2]$ лето'!x1813-'[2]$ лето'!v1813-'[2]$ лето'!u1813-'[2]$ лето'!t1813-'[2]$ лето'!s1813-'[2]$ лето'!r1813-'[2]$ лето'!p1813-'[2]$ лето'!o1813-'[2]$ лето'!n1813-'[2]$ лето'!m1813-'[2]$ лето'!l1813+'[2]$ лето'!k1813+'[2]$ лето'!q1813+'[2]$ лето'!w1813+'[2]$ лето'!ac1813+'[2]$ лето'!ai1813+'[2]$ лето'!ao1813</f>
        <v>7</v>
      </c>
      <c r="I1813" s="109" t="n">
        <f aca="false">'[2]$ лето'!ay1813*1.1</f>
        <v>1530.76</v>
      </c>
      <c r="J1813" s="85" t="n">
        <v>2017</v>
      </c>
    </row>
    <row r="1814" customFormat="false" ht="15" hidden="true" customHeight="false" outlineLevel="0" collapsed="false">
      <c r="A1814" s="115" t="s">
        <v>274</v>
      </c>
      <c r="B1814" s="115" t="s">
        <v>593</v>
      </c>
      <c r="C1814" s="116" t="s">
        <v>2429</v>
      </c>
      <c r="D1814" s="116"/>
      <c r="E1814" s="116"/>
      <c r="F1814" s="116"/>
      <c r="G1814" s="108" t="s">
        <v>1240</v>
      </c>
      <c r="H1814" s="105" t="n">
        <f aca="false">'[2]$ лето'!j1814-'[2]$ лето'!au1814-'[2]$ лето'!at1814-'[2]$ лето'!as1814-'[2]$ лето'!ar1814-'[2]$ лето'!aq1814-'[2]$ лето'!ap1814-'[2]$ лето'!an1814-'[2]$ лето'!am1814-'[2]$ лето'!al1814-'[2]$ лето'!ak1814-'[2]$ лето'!aj1814-'[2]$ лето'!ah1814-'[2]$ лето'!ag1814-'[2]$ лето'!af1814-'[2]$ лето'!ae1814-'[2]$ лето'!ad1814-'[2]$ лето'!ab1814-'[2]$ лето'!aa1814-'[2]$ лето'!z1814-'[2]$ лето'!y1814-'[2]$ лето'!x1814-'[2]$ лето'!v1814-'[2]$ лето'!u1814-'[2]$ лето'!t1814-'[2]$ лето'!s1814-'[2]$ лето'!r1814-'[2]$ лето'!p1814-'[2]$ лето'!o1814-'[2]$ лето'!n1814-'[2]$ лето'!m1814-'[2]$ лето'!l1814+'[2]$ лето'!k1814+'[2]$ лето'!q1814+'[2]$ лето'!w1814+'[2]$ лето'!ac1814+'[2]$ лето'!ai1814+'[2]$ лето'!ao1814</f>
        <v>0</v>
      </c>
      <c r="I1814" s="109" t="n">
        <f aca="false">'[2]$ лето'!ay1814*1.1</f>
        <v>1624.48</v>
      </c>
    </row>
    <row r="1815" customFormat="false" ht="15" hidden="true" customHeight="false" outlineLevel="0" collapsed="false">
      <c r="A1815" s="115" t="s">
        <v>274</v>
      </c>
      <c r="B1815" s="115" t="s">
        <v>586</v>
      </c>
      <c r="C1815" s="116" t="s">
        <v>2430</v>
      </c>
      <c r="D1815" s="116"/>
      <c r="E1815" s="116"/>
      <c r="F1815" s="116"/>
      <c r="G1815" s="108" t="s">
        <v>520</v>
      </c>
      <c r="H1815" s="105" t="n">
        <f aca="false">'[2]$ лето'!j1815-'[2]$ лето'!au1815-'[2]$ лето'!at1815-'[2]$ лето'!as1815-'[2]$ лето'!ar1815-'[2]$ лето'!aq1815-'[2]$ лето'!ap1815-'[2]$ лето'!an1815-'[2]$ лето'!am1815-'[2]$ лето'!al1815-'[2]$ лето'!ak1815-'[2]$ лето'!aj1815-'[2]$ лето'!ah1815-'[2]$ лето'!ag1815-'[2]$ лето'!af1815-'[2]$ лето'!ae1815-'[2]$ лето'!ad1815-'[2]$ лето'!ab1815-'[2]$ лето'!aa1815-'[2]$ лето'!z1815-'[2]$ лето'!y1815-'[2]$ лето'!x1815-'[2]$ лето'!v1815-'[2]$ лето'!u1815-'[2]$ лето'!t1815-'[2]$ лето'!s1815-'[2]$ лето'!r1815-'[2]$ лето'!p1815-'[2]$ лето'!o1815-'[2]$ лето'!n1815-'[2]$ лето'!m1815-'[2]$ лето'!l1815+'[2]$ лето'!k1815+'[2]$ лето'!q1815+'[2]$ лето'!w1815+'[2]$ лето'!ac1815+'[2]$ лето'!ai1815+'[2]$ лето'!ao1815</f>
        <v>0</v>
      </c>
      <c r="I1815" s="109" t="n">
        <f aca="false">'[2]$ лето'!ay1815*1.1</f>
        <v>1249.6</v>
      </c>
    </row>
    <row r="1816" customFormat="false" ht="15" hidden="false" customHeight="false" outlineLevel="0" collapsed="false">
      <c r="A1816" s="115" t="s">
        <v>274</v>
      </c>
      <c r="B1816" s="115" t="s">
        <v>1214</v>
      </c>
      <c r="C1816" s="116" t="s">
        <v>2431</v>
      </c>
      <c r="D1816" s="116" t="s">
        <v>582</v>
      </c>
      <c r="E1816" s="116" t="s">
        <v>2432</v>
      </c>
      <c r="F1816" s="116"/>
      <c r="G1816" s="108"/>
      <c r="H1816" s="105" t="n">
        <f aca="false">'[2]$ лето'!j1816-'[2]$ лето'!au1816-'[2]$ лето'!at1816-'[2]$ лето'!as1816-'[2]$ лето'!ar1816-'[2]$ лето'!aq1816-'[2]$ лето'!ap1816-'[2]$ лето'!an1816-'[2]$ лето'!am1816-'[2]$ лето'!al1816-'[2]$ лето'!ak1816-'[2]$ лето'!aj1816-'[2]$ лето'!ah1816-'[2]$ лето'!ag1816-'[2]$ лето'!af1816-'[2]$ лето'!ae1816-'[2]$ лето'!ad1816-'[2]$ лето'!ab1816-'[2]$ лето'!aa1816-'[2]$ лето'!z1816-'[2]$ лето'!y1816-'[2]$ лето'!x1816-'[2]$ лето'!v1816-'[2]$ лето'!u1816-'[2]$ лето'!t1816-'[2]$ лето'!s1816-'[2]$ лето'!r1816-'[2]$ лето'!p1816-'[2]$ лето'!o1816-'[2]$ лето'!n1816-'[2]$ лето'!m1816-'[2]$ лето'!l1816+'[2]$ лето'!k1816+'[2]$ лето'!q1816+'[2]$ лето'!w1816+'[2]$ лето'!ac1816+'[2]$ лето'!ai1816+'[2]$ лето'!ao1816</f>
        <v>8</v>
      </c>
      <c r="I1816" s="109" t="n">
        <f aca="false">'[2]$ лето'!ay1816*1.1</f>
        <v>1530.76</v>
      </c>
    </row>
    <row r="1817" customFormat="false" ht="15" hidden="false" customHeight="false" outlineLevel="0" collapsed="false">
      <c r="A1817" s="115" t="s">
        <v>274</v>
      </c>
      <c r="B1817" s="115" t="s">
        <v>617</v>
      </c>
      <c r="C1817" s="116" t="s">
        <v>2433</v>
      </c>
      <c r="D1817" s="116"/>
      <c r="E1817" s="116"/>
      <c r="F1817" s="116"/>
      <c r="G1817" s="108"/>
      <c r="H1817" s="105" t="n">
        <f aca="false">'[2]$ лето'!j1817-'[2]$ лето'!au1817-'[2]$ лето'!at1817-'[2]$ лето'!as1817-'[2]$ лето'!ar1817-'[2]$ лето'!aq1817-'[2]$ лето'!ap1817-'[2]$ лето'!an1817-'[2]$ лето'!am1817-'[2]$ лето'!al1817-'[2]$ лето'!ak1817-'[2]$ лето'!aj1817-'[2]$ лето'!ah1817-'[2]$ лето'!ag1817-'[2]$ лето'!af1817-'[2]$ лето'!ae1817-'[2]$ лето'!ad1817-'[2]$ лето'!ab1817-'[2]$ лето'!aa1817-'[2]$ лето'!z1817-'[2]$ лето'!y1817-'[2]$ лето'!x1817-'[2]$ лето'!v1817-'[2]$ лето'!u1817-'[2]$ лето'!t1817-'[2]$ лето'!s1817-'[2]$ лето'!r1817-'[2]$ лето'!p1817-'[2]$ лето'!o1817-'[2]$ лето'!n1817-'[2]$ лето'!m1817-'[2]$ лето'!l1817+'[2]$ лето'!k1817+'[2]$ лето'!q1817+'[2]$ лето'!w1817+'[2]$ лето'!ac1817+'[2]$ лето'!ai1817+'[2]$ лето'!ao1817</f>
        <v>8</v>
      </c>
      <c r="I1817" s="109" t="n">
        <f aca="false">'[2]$ лето'!ay1817*1.1</f>
        <v>1530.76</v>
      </c>
      <c r="J1817" s="85" t="n">
        <v>2018</v>
      </c>
    </row>
    <row r="1818" customFormat="false" ht="15" hidden="true" customHeight="false" outlineLevel="0" collapsed="false">
      <c r="A1818" s="115" t="s">
        <v>274</v>
      </c>
      <c r="B1818" s="115" t="s">
        <v>652</v>
      </c>
      <c r="C1818" s="116" t="s">
        <v>2434</v>
      </c>
      <c r="D1818" s="116"/>
      <c r="E1818" s="116"/>
      <c r="F1818" s="116"/>
      <c r="G1818" s="108"/>
      <c r="H1818" s="105" t="n">
        <f aca="false">'[2]$ лето'!j1818-'[2]$ лето'!au1818-'[2]$ лето'!at1818-'[2]$ лето'!as1818-'[2]$ лето'!ar1818-'[2]$ лето'!aq1818-'[2]$ лето'!ap1818-'[2]$ лето'!an1818-'[2]$ лето'!am1818-'[2]$ лето'!al1818-'[2]$ лето'!ak1818-'[2]$ лето'!aj1818-'[2]$ лето'!ah1818-'[2]$ лето'!ag1818-'[2]$ лето'!af1818-'[2]$ лето'!ae1818-'[2]$ лето'!ad1818-'[2]$ лето'!ab1818-'[2]$ лето'!aa1818-'[2]$ лето'!z1818-'[2]$ лето'!y1818-'[2]$ лето'!x1818-'[2]$ лето'!v1818-'[2]$ лето'!u1818-'[2]$ лето'!t1818-'[2]$ лето'!s1818-'[2]$ лето'!r1818-'[2]$ лето'!p1818-'[2]$ лето'!o1818-'[2]$ лето'!n1818-'[2]$ лето'!m1818-'[2]$ лето'!l1818+'[2]$ лето'!k1818+'[2]$ лето'!q1818+'[2]$ лето'!w1818+'[2]$ лето'!ac1818+'[2]$ лето'!ai1818+'[2]$ лето'!ao1818</f>
        <v>0</v>
      </c>
      <c r="I1818" s="109" t="n">
        <f aca="false">'[2]$ лето'!ay1818*1.1</f>
        <v>781</v>
      </c>
    </row>
    <row r="1819" customFormat="false" ht="15" hidden="true" customHeight="false" outlineLevel="0" collapsed="false">
      <c r="A1819" s="115" t="s">
        <v>274</v>
      </c>
      <c r="B1819" s="115" t="s">
        <v>833</v>
      </c>
      <c r="C1819" s="116" t="s">
        <v>2435</v>
      </c>
      <c r="D1819" s="116"/>
      <c r="E1819" s="116"/>
      <c r="F1819" s="116"/>
      <c r="G1819" s="108"/>
      <c r="H1819" s="105" t="n">
        <f aca="false">'[2]$ лето'!j1819-'[2]$ лето'!au1819-'[2]$ лето'!at1819-'[2]$ лето'!as1819-'[2]$ лето'!ar1819-'[2]$ лето'!aq1819-'[2]$ лето'!ap1819-'[2]$ лето'!an1819-'[2]$ лето'!am1819-'[2]$ лето'!al1819-'[2]$ лето'!ak1819-'[2]$ лето'!aj1819-'[2]$ лето'!ah1819-'[2]$ лето'!ag1819-'[2]$ лето'!af1819-'[2]$ лето'!ae1819-'[2]$ лето'!ad1819-'[2]$ лето'!ab1819-'[2]$ лето'!aa1819-'[2]$ лето'!z1819-'[2]$ лето'!y1819-'[2]$ лето'!x1819-'[2]$ лето'!v1819-'[2]$ лето'!u1819-'[2]$ лето'!t1819-'[2]$ лето'!s1819-'[2]$ лето'!r1819-'[2]$ лето'!p1819-'[2]$ лето'!o1819-'[2]$ лето'!n1819-'[2]$ лето'!m1819-'[2]$ лето'!l1819+'[2]$ лето'!k1819+'[2]$ лето'!q1819+'[2]$ лето'!w1819+'[2]$ лето'!ac1819+'[2]$ лето'!ai1819+'[2]$ лето'!ao1819</f>
        <v>0</v>
      </c>
      <c r="I1819" s="109" t="n">
        <f aca="false">'[2]$ лето'!ay1819*1.1</f>
        <v>1312.08</v>
      </c>
    </row>
    <row r="1820" customFormat="false" ht="15" hidden="true" customHeight="false" outlineLevel="0" collapsed="false">
      <c r="A1820" s="115" t="s">
        <v>274</v>
      </c>
      <c r="B1820" s="115" t="s">
        <v>589</v>
      </c>
      <c r="C1820" s="107" t="s">
        <v>2436</v>
      </c>
      <c r="D1820" s="107"/>
      <c r="E1820" s="107"/>
      <c r="F1820" s="107"/>
      <c r="G1820" s="108"/>
      <c r="H1820" s="105" t="n">
        <f aca="false">'[2]$ лето'!j1820-'[2]$ лето'!au1820-'[2]$ лето'!at1820-'[2]$ лето'!as1820-'[2]$ лето'!ar1820-'[2]$ лето'!aq1820-'[2]$ лето'!ap1820-'[2]$ лето'!an1820-'[2]$ лето'!am1820-'[2]$ лето'!al1820-'[2]$ лето'!ak1820-'[2]$ лето'!aj1820-'[2]$ лето'!ah1820-'[2]$ лето'!ag1820-'[2]$ лето'!af1820-'[2]$ лето'!ae1820-'[2]$ лето'!ad1820-'[2]$ лето'!ab1820-'[2]$ лето'!aa1820-'[2]$ лето'!z1820-'[2]$ лето'!y1820-'[2]$ лето'!x1820-'[2]$ лето'!v1820-'[2]$ лето'!u1820-'[2]$ лето'!t1820-'[2]$ лето'!s1820-'[2]$ лето'!r1820-'[2]$ лето'!p1820-'[2]$ лето'!o1820-'[2]$ лето'!n1820-'[2]$ лето'!m1820-'[2]$ лето'!l1820+'[2]$ лето'!k1820+'[2]$ лето'!q1820+'[2]$ лето'!w1820+'[2]$ лето'!ac1820+'[2]$ лето'!ai1820+'[2]$ лето'!ao1820</f>
        <v>0</v>
      </c>
      <c r="I1820" s="109" t="n">
        <f aca="false">'[2]$ лето'!ay1820*1.1</f>
        <v>2405.48</v>
      </c>
    </row>
    <row r="1821" customFormat="false" ht="15" hidden="false" customHeight="false" outlineLevel="0" collapsed="false">
      <c r="A1821" s="115" t="s">
        <v>274</v>
      </c>
      <c r="B1821" s="115" t="s">
        <v>564</v>
      </c>
      <c r="C1821" s="107" t="s">
        <v>2437</v>
      </c>
      <c r="D1821" s="107"/>
      <c r="E1821" s="116"/>
      <c r="F1821" s="116"/>
      <c r="G1821" s="108" t="s">
        <v>520</v>
      </c>
      <c r="H1821" s="105" t="n">
        <f aca="false">'[2]$ лето'!j1821-'[2]$ лето'!au1821-'[2]$ лето'!at1821-'[2]$ лето'!as1821-'[2]$ лето'!ar1821-'[2]$ лето'!aq1821-'[2]$ лето'!ap1821-'[2]$ лето'!an1821-'[2]$ лето'!am1821-'[2]$ лето'!al1821-'[2]$ лето'!ak1821-'[2]$ лето'!aj1821-'[2]$ лето'!ah1821-'[2]$ лето'!ag1821-'[2]$ лето'!af1821-'[2]$ лето'!ae1821-'[2]$ лето'!ad1821-'[2]$ лето'!ab1821-'[2]$ лето'!aa1821-'[2]$ лето'!z1821-'[2]$ лето'!y1821-'[2]$ лето'!x1821-'[2]$ лето'!v1821-'[2]$ лето'!u1821-'[2]$ лето'!t1821-'[2]$ лето'!s1821-'[2]$ лето'!r1821-'[2]$ лето'!p1821-'[2]$ лето'!o1821-'[2]$ лето'!n1821-'[2]$ лето'!m1821-'[2]$ лето'!l1821+'[2]$ лето'!k1821+'[2]$ лето'!q1821+'[2]$ лето'!w1821+'[2]$ лето'!ac1821+'[2]$ лето'!ai1821+'[2]$ лето'!ao1821</f>
        <v>19</v>
      </c>
      <c r="I1821" s="109" t="n">
        <f aca="false">'[2]$ лето'!ay1821*1.1</f>
        <v>1280.84</v>
      </c>
      <c r="J1821" s="85" t="n">
        <v>2017</v>
      </c>
    </row>
    <row r="1822" customFormat="false" ht="15" hidden="false" customHeight="false" outlineLevel="0" collapsed="false">
      <c r="A1822" s="115" t="s">
        <v>274</v>
      </c>
      <c r="B1822" s="115" t="s">
        <v>981</v>
      </c>
      <c r="C1822" s="116" t="s">
        <v>2438</v>
      </c>
      <c r="D1822" s="116"/>
      <c r="E1822" s="116"/>
      <c r="F1822" s="116"/>
      <c r="G1822" s="108"/>
      <c r="H1822" s="105" t="n">
        <f aca="false">'[2]$ лето'!j1822-'[2]$ лето'!au1822-'[2]$ лето'!at1822-'[2]$ лето'!as1822-'[2]$ лето'!ar1822-'[2]$ лето'!aq1822-'[2]$ лето'!ap1822-'[2]$ лето'!an1822-'[2]$ лето'!am1822-'[2]$ лето'!al1822-'[2]$ лето'!ak1822-'[2]$ лето'!aj1822-'[2]$ лето'!ah1822-'[2]$ лето'!ag1822-'[2]$ лето'!af1822-'[2]$ лето'!ae1822-'[2]$ лето'!ad1822-'[2]$ лето'!ab1822-'[2]$ лето'!aa1822-'[2]$ лето'!z1822-'[2]$ лето'!y1822-'[2]$ лето'!x1822-'[2]$ лето'!v1822-'[2]$ лето'!u1822-'[2]$ лето'!t1822-'[2]$ лето'!s1822-'[2]$ лето'!r1822-'[2]$ лето'!p1822-'[2]$ лето'!o1822-'[2]$ лето'!n1822-'[2]$ лето'!m1822-'[2]$ лето'!l1822+'[2]$ лето'!k1822+'[2]$ лето'!q1822+'[2]$ лето'!w1822+'[2]$ лето'!ac1822+'[2]$ лето'!ai1822+'[2]$ лето'!ao1822</f>
        <v>2</v>
      </c>
      <c r="I1822" s="109" t="n">
        <f aca="false">'[2]$ лето'!ay1822*1.1</f>
        <v>1405.8</v>
      </c>
    </row>
    <row r="1823" customFormat="false" ht="15" hidden="true" customHeight="false" outlineLevel="0" collapsed="false">
      <c r="A1823" s="115" t="s">
        <v>277</v>
      </c>
      <c r="B1823" s="115" t="s">
        <v>566</v>
      </c>
      <c r="C1823" s="116" t="s">
        <v>2439</v>
      </c>
      <c r="D1823" s="116"/>
      <c r="E1823" s="116"/>
      <c r="F1823" s="116"/>
      <c r="G1823" s="108" t="s">
        <v>563</v>
      </c>
      <c r="H1823" s="105" t="n">
        <f aca="false">'[2]$ лето'!j1823-'[2]$ лето'!au1823-'[2]$ лето'!at1823-'[2]$ лето'!as1823-'[2]$ лето'!ar1823-'[2]$ лето'!aq1823-'[2]$ лето'!ap1823-'[2]$ лето'!an1823-'[2]$ лето'!am1823-'[2]$ лето'!al1823-'[2]$ лето'!ak1823-'[2]$ лето'!aj1823-'[2]$ лето'!ah1823-'[2]$ лето'!ag1823-'[2]$ лето'!af1823-'[2]$ лето'!ae1823-'[2]$ лето'!ad1823-'[2]$ лето'!ab1823-'[2]$ лето'!aa1823-'[2]$ лето'!z1823-'[2]$ лето'!y1823-'[2]$ лето'!x1823-'[2]$ лето'!v1823-'[2]$ лето'!u1823-'[2]$ лето'!t1823-'[2]$ лето'!s1823-'[2]$ лето'!r1823-'[2]$ лето'!p1823-'[2]$ лето'!o1823-'[2]$ лето'!n1823-'[2]$ лето'!m1823-'[2]$ лето'!l1823+'[2]$ лето'!k1823+'[2]$ лето'!q1823+'[2]$ лето'!w1823+'[2]$ лето'!ac1823+'[2]$ лето'!ai1823+'[2]$ лето'!ao1823</f>
        <v>0</v>
      </c>
      <c r="I1823" s="109" t="n">
        <f aca="false">'[2]$ лето'!ay1823*1.1</f>
        <v>1499.52</v>
      </c>
    </row>
    <row r="1824" customFormat="false" ht="15" hidden="true" customHeight="false" outlineLevel="0" collapsed="false">
      <c r="A1824" s="115" t="s">
        <v>277</v>
      </c>
      <c r="B1824" s="115" t="s">
        <v>991</v>
      </c>
      <c r="C1824" s="116" t="s">
        <v>2440</v>
      </c>
      <c r="D1824" s="116"/>
      <c r="E1824" s="116"/>
      <c r="F1824" s="116"/>
      <c r="G1824" s="108" t="s">
        <v>520</v>
      </c>
      <c r="H1824" s="105" t="n">
        <f aca="false">'[2]$ лето'!j1824-'[2]$ лето'!au1824-'[2]$ лето'!at1824-'[2]$ лето'!as1824-'[2]$ лето'!ar1824-'[2]$ лето'!aq1824-'[2]$ лето'!ap1824-'[2]$ лето'!an1824-'[2]$ лето'!am1824-'[2]$ лето'!al1824-'[2]$ лето'!ak1824-'[2]$ лето'!aj1824-'[2]$ лето'!ah1824-'[2]$ лето'!ag1824-'[2]$ лето'!af1824-'[2]$ лето'!ae1824-'[2]$ лето'!ad1824-'[2]$ лето'!ab1824-'[2]$ лето'!aa1824-'[2]$ лето'!z1824-'[2]$ лето'!y1824-'[2]$ лето'!x1824-'[2]$ лето'!v1824-'[2]$ лето'!u1824-'[2]$ лето'!t1824-'[2]$ лето'!s1824-'[2]$ лето'!r1824-'[2]$ лето'!p1824-'[2]$ лето'!o1824-'[2]$ лето'!n1824-'[2]$ лето'!m1824-'[2]$ лето'!l1824+'[2]$ лето'!k1824+'[2]$ лето'!q1824+'[2]$ лето'!w1824+'[2]$ лето'!ac1824+'[2]$ лето'!ai1824+'[2]$ лето'!ao1824</f>
        <v>0</v>
      </c>
      <c r="I1824" s="109" t="n">
        <f aca="false">'[2]$ лето'!ay1824*1.1</f>
        <v>2249.28</v>
      </c>
    </row>
    <row r="1825" customFormat="false" ht="15" hidden="true" customHeight="false" outlineLevel="0" collapsed="false">
      <c r="A1825" s="115" t="s">
        <v>277</v>
      </c>
      <c r="B1825" s="115" t="s">
        <v>568</v>
      </c>
      <c r="C1825" s="116" t="s">
        <v>2441</v>
      </c>
      <c r="D1825" s="116"/>
      <c r="E1825" s="116"/>
      <c r="F1825" s="116"/>
      <c r="G1825" s="108"/>
      <c r="H1825" s="105" t="n">
        <f aca="false">'[2]$ лето'!j1825-'[2]$ лето'!au1825-'[2]$ лето'!at1825-'[2]$ лето'!as1825-'[2]$ лето'!ar1825-'[2]$ лето'!aq1825-'[2]$ лето'!ap1825-'[2]$ лето'!an1825-'[2]$ лето'!am1825-'[2]$ лето'!al1825-'[2]$ лето'!ak1825-'[2]$ лето'!aj1825-'[2]$ лето'!ah1825-'[2]$ лето'!ag1825-'[2]$ лето'!af1825-'[2]$ лето'!ae1825-'[2]$ лето'!ad1825-'[2]$ лето'!ab1825-'[2]$ лето'!aa1825-'[2]$ лето'!z1825-'[2]$ лето'!y1825-'[2]$ лето'!x1825-'[2]$ лето'!v1825-'[2]$ лето'!u1825-'[2]$ лето'!t1825-'[2]$ лето'!s1825-'[2]$ лето'!r1825-'[2]$ лето'!p1825-'[2]$ лето'!o1825-'[2]$ лето'!n1825-'[2]$ лето'!m1825-'[2]$ лето'!l1825+'[2]$ лето'!k1825+'[2]$ лето'!q1825+'[2]$ лето'!w1825+'[2]$ лето'!ac1825+'[2]$ лето'!ai1825+'[2]$ лето'!ao1825</f>
        <v>0</v>
      </c>
      <c r="I1825" s="109" t="n">
        <f aca="false">'[2]$ лето'!ay1825*1.1</f>
        <v>1780.68</v>
      </c>
    </row>
    <row r="1826" customFormat="false" ht="15" hidden="true" customHeight="false" outlineLevel="0" collapsed="false">
      <c r="A1826" s="115" t="s">
        <v>277</v>
      </c>
      <c r="B1826" s="115" t="s">
        <v>601</v>
      </c>
      <c r="C1826" s="116" t="s">
        <v>2442</v>
      </c>
      <c r="D1826" s="116"/>
      <c r="E1826" s="116"/>
      <c r="F1826" s="116"/>
      <c r="G1826" s="108"/>
      <c r="H1826" s="105" t="n">
        <f aca="false">'[2]$ лето'!j1826-'[2]$ лето'!au1826-'[2]$ лето'!at1826-'[2]$ лето'!as1826-'[2]$ лето'!ar1826-'[2]$ лето'!aq1826-'[2]$ лето'!ap1826-'[2]$ лето'!an1826-'[2]$ лето'!am1826-'[2]$ лето'!al1826-'[2]$ лето'!ak1826-'[2]$ лето'!aj1826-'[2]$ лето'!ah1826-'[2]$ лето'!ag1826-'[2]$ лето'!af1826-'[2]$ лето'!ae1826-'[2]$ лето'!ad1826-'[2]$ лето'!ab1826-'[2]$ лето'!aa1826-'[2]$ лето'!z1826-'[2]$ лето'!y1826-'[2]$ лето'!x1826-'[2]$ лето'!v1826-'[2]$ лето'!u1826-'[2]$ лето'!t1826-'[2]$ лето'!s1826-'[2]$ лето'!r1826-'[2]$ лето'!p1826-'[2]$ лето'!o1826-'[2]$ лето'!n1826-'[2]$ лето'!m1826-'[2]$ лето'!l1826+'[2]$ лето'!k1826+'[2]$ лето'!q1826+'[2]$ лето'!w1826+'[2]$ лето'!ac1826+'[2]$ лето'!ai1826+'[2]$ лето'!ao1826</f>
        <v>0</v>
      </c>
      <c r="I1826" s="109" t="n">
        <f aca="false">'[2]$ лето'!ay1826*1.1</f>
        <v>1780.68</v>
      </c>
    </row>
    <row r="1827" customFormat="false" ht="15" hidden="true" customHeight="false" outlineLevel="0" collapsed="false">
      <c r="A1827" s="115" t="s">
        <v>277</v>
      </c>
      <c r="B1827" s="115" t="s">
        <v>557</v>
      </c>
      <c r="C1827" s="116" t="s">
        <v>2443</v>
      </c>
      <c r="D1827" s="116"/>
      <c r="E1827" s="116"/>
      <c r="F1827" s="116"/>
      <c r="G1827" s="108"/>
      <c r="H1827" s="105" t="n">
        <f aca="false">'[2]$ лето'!j1827-'[2]$ лето'!au1827-'[2]$ лето'!at1827-'[2]$ лето'!as1827-'[2]$ лето'!ar1827-'[2]$ лето'!aq1827-'[2]$ лето'!ap1827-'[2]$ лето'!an1827-'[2]$ лето'!am1827-'[2]$ лето'!al1827-'[2]$ лето'!ak1827-'[2]$ лето'!aj1827-'[2]$ лето'!ah1827-'[2]$ лето'!ag1827-'[2]$ лето'!af1827-'[2]$ лето'!ae1827-'[2]$ лето'!ad1827-'[2]$ лето'!ab1827-'[2]$ лето'!aa1827-'[2]$ лето'!z1827-'[2]$ лето'!y1827-'[2]$ лето'!x1827-'[2]$ лето'!v1827-'[2]$ лето'!u1827-'[2]$ лето'!t1827-'[2]$ лето'!s1827-'[2]$ лето'!r1827-'[2]$ лето'!p1827-'[2]$ лето'!o1827-'[2]$ лето'!n1827-'[2]$ лето'!m1827-'[2]$ лето'!l1827+'[2]$ лето'!k1827+'[2]$ лето'!q1827+'[2]$ лето'!w1827+'[2]$ лето'!ac1827+'[2]$ лето'!ai1827+'[2]$ лето'!ao1827</f>
        <v>0</v>
      </c>
      <c r="I1827" s="109" t="n">
        <f aca="false">'[2]$ лето'!ay1827*1.1</f>
        <v>1562</v>
      </c>
    </row>
    <row r="1828" customFormat="false" ht="15" hidden="true" customHeight="false" outlineLevel="0" collapsed="false">
      <c r="A1828" s="115" t="s">
        <v>277</v>
      </c>
      <c r="B1828" s="115" t="s">
        <v>741</v>
      </c>
      <c r="C1828" s="116" t="s">
        <v>2444</v>
      </c>
      <c r="D1828" s="116"/>
      <c r="E1828" s="116"/>
      <c r="F1828" s="116"/>
      <c r="G1828" s="108"/>
      <c r="H1828" s="105" t="n">
        <f aca="false">'[2]$ лето'!j1828-'[2]$ лето'!au1828-'[2]$ лето'!at1828-'[2]$ лето'!as1828-'[2]$ лето'!ar1828-'[2]$ лето'!aq1828-'[2]$ лето'!ap1828-'[2]$ лето'!an1828-'[2]$ лето'!am1828-'[2]$ лето'!al1828-'[2]$ лето'!ak1828-'[2]$ лето'!aj1828-'[2]$ лето'!ah1828-'[2]$ лето'!ag1828-'[2]$ лето'!af1828-'[2]$ лето'!ae1828-'[2]$ лето'!ad1828-'[2]$ лето'!ab1828-'[2]$ лето'!aa1828-'[2]$ лето'!z1828-'[2]$ лето'!y1828-'[2]$ лето'!x1828-'[2]$ лето'!v1828-'[2]$ лето'!u1828-'[2]$ лето'!t1828-'[2]$ лето'!s1828-'[2]$ лето'!r1828-'[2]$ лето'!p1828-'[2]$ лето'!o1828-'[2]$ лето'!n1828-'[2]$ лето'!m1828-'[2]$ лето'!l1828+'[2]$ лето'!k1828+'[2]$ лето'!q1828+'[2]$ лето'!w1828+'[2]$ лето'!ac1828+'[2]$ лето'!ai1828+'[2]$ лето'!ao1828</f>
        <v>0</v>
      </c>
      <c r="I1828" s="109" t="n">
        <f aca="false">'[2]$ лето'!ay1828*1.1</f>
        <v>2499.2</v>
      </c>
    </row>
    <row r="1829" customFormat="false" ht="15" hidden="true" customHeight="false" outlineLevel="0" collapsed="false">
      <c r="A1829" s="115" t="s">
        <v>277</v>
      </c>
      <c r="B1829" s="115" t="s">
        <v>604</v>
      </c>
      <c r="C1829" s="116" t="s">
        <v>2445</v>
      </c>
      <c r="D1829" s="116"/>
      <c r="E1829" s="116"/>
      <c r="F1829" s="116"/>
      <c r="G1829" s="108"/>
      <c r="H1829" s="105" t="n">
        <f aca="false">'[2]$ лето'!j1829-'[2]$ лето'!au1829-'[2]$ лето'!at1829-'[2]$ лето'!as1829-'[2]$ лето'!ar1829-'[2]$ лето'!aq1829-'[2]$ лето'!ap1829-'[2]$ лето'!an1829-'[2]$ лето'!am1829-'[2]$ лето'!al1829-'[2]$ лето'!ak1829-'[2]$ лето'!aj1829-'[2]$ лето'!ah1829-'[2]$ лето'!ag1829-'[2]$ лето'!af1829-'[2]$ лето'!ae1829-'[2]$ лето'!ad1829-'[2]$ лето'!ab1829-'[2]$ лето'!aa1829-'[2]$ лето'!z1829-'[2]$ лето'!y1829-'[2]$ лето'!x1829-'[2]$ лето'!v1829-'[2]$ лето'!u1829-'[2]$ лето'!t1829-'[2]$ лето'!s1829-'[2]$ лето'!r1829-'[2]$ лето'!p1829-'[2]$ лето'!o1829-'[2]$ лето'!n1829-'[2]$ лето'!m1829-'[2]$ лето'!l1829+'[2]$ лето'!k1829+'[2]$ лето'!q1829+'[2]$ лето'!w1829+'[2]$ лето'!ac1829+'[2]$ лето'!ai1829+'[2]$ лето'!ao1829</f>
        <v>0</v>
      </c>
      <c r="I1829" s="109" t="n">
        <f aca="false">'[2]$ лето'!ay1829*1.1</f>
        <v>2374.24</v>
      </c>
    </row>
    <row r="1830" customFormat="false" ht="15" hidden="true" customHeight="false" outlineLevel="0" collapsed="false">
      <c r="A1830" s="115" t="s">
        <v>277</v>
      </c>
      <c r="B1830" s="115" t="s">
        <v>606</v>
      </c>
      <c r="C1830" s="116" t="s">
        <v>2446</v>
      </c>
      <c r="D1830" s="116"/>
      <c r="E1830" s="116"/>
      <c r="F1830" s="116"/>
      <c r="G1830" s="108"/>
      <c r="H1830" s="105" t="n">
        <f aca="false">'[2]$ лето'!j1830-'[2]$ лето'!au1830-'[2]$ лето'!at1830-'[2]$ лето'!as1830-'[2]$ лето'!ar1830-'[2]$ лето'!aq1830-'[2]$ лето'!ap1830-'[2]$ лето'!an1830-'[2]$ лето'!am1830-'[2]$ лето'!al1830-'[2]$ лето'!ak1830-'[2]$ лето'!aj1830-'[2]$ лето'!ah1830-'[2]$ лето'!ag1830-'[2]$ лето'!af1830-'[2]$ лето'!ae1830-'[2]$ лето'!ad1830-'[2]$ лето'!ab1830-'[2]$ лето'!aa1830-'[2]$ лето'!z1830-'[2]$ лето'!y1830-'[2]$ лето'!x1830-'[2]$ лето'!v1830-'[2]$ лето'!u1830-'[2]$ лето'!t1830-'[2]$ лето'!s1830-'[2]$ лето'!r1830-'[2]$ лето'!p1830-'[2]$ лето'!o1830-'[2]$ лето'!n1830-'[2]$ лето'!m1830-'[2]$ лето'!l1830+'[2]$ лето'!k1830+'[2]$ лето'!q1830+'[2]$ лето'!w1830+'[2]$ лето'!ac1830+'[2]$ лето'!ai1830+'[2]$ лето'!ao1830</f>
        <v>0</v>
      </c>
      <c r="I1830" s="109" t="n">
        <f aca="false">'[2]$ лето'!ay1830*1.1</f>
        <v>1749.44</v>
      </c>
    </row>
    <row r="1831" customFormat="false" ht="15" hidden="true" customHeight="false" outlineLevel="0" collapsed="false">
      <c r="A1831" s="115" t="s">
        <v>277</v>
      </c>
      <c r="B1831" s="115" t="s">
        <v>2421</v>
      </c>
      <c r="C1831" s="116" t="s">
        <v>2447</v>
      </c>
      <c r="D1831" s="116"/>
      <c r="E1831" s="116"/>
      <c r="F1831" s="116"/>
      <c r="G1831" s="108"/>
      <c r="H1831" s="105" t="n">
        <f aca="false">'[2]$ лето'!j1831-'[2]$ лето'!au1831-'[2]$ лето'!at1831-'[2]$ лето'!as1831-'[2]$ лето'!ar1831-'[2]$ лето'!aq1831-'[2]$ лето'!ap1831-'[2]$ лето'!an1831-'[2]$ лето'!am1831-'[2]$ лето'!al1831-'[2]$ лето'!ak1831-'[2]$ лето'!aj1831-'[2]$ лето'!ah1831-'[2]$ лето'!ag1831-'[2]$ лето'!af1831-'[2]$ лето'!ae1831-'[2]$ лето'!ad1831-'[2]$ лето'!ab1831-'[2]$ лето'!aa1831-'[2]$ лето'!z1831-'[2]$ лето'!y1831-'[2]$ лето'!x1831-'[2]$ лето'!v1831-'[2]$ лето'!u1831-'[2]$ лето'!t1831-'[2]$ лето'!s1831-'[2]$ лето'!r1831-'[2]$ лето'!p1831-'[2]$ лето'!o1831-'[2]$ лето'!n1831-'[2]$ лето'!m1831-'[2]$ лето'!l1831+'[2]$ лето'!k1831+'[2]$ лето'!q1831+'[2]$ лето'!w1831+'[2]$ лето'!ac1831+'[2]$ лето'!ai1831+'[2]$ лето'!ao1831</f>
        <v>0</v>
      </c>
      <c r="I1831" s="109" t="n">
        <f aca="false">'[2]$ лето'!ay1831*1.1</f>
        <v>1155.88</v>
      </c>
    </row>
    <row r="1832" customFormat="false" ht="15" hidden="true" customHeight="false" outlineLevel="0" collapsed="false">
      <c r="A1832" s="115" t="s">
        <v>277</v>
      </c>
      <c r="B1832" s="115" t="s">
        <v>2423</v>
      </c>
      <c r="C1832" s="116" t="s">
        <v>2424</v>
      </c>
      <c r="D1832" s="116"/>
      <c r="E1832" s="116"/>
      <c r="F1832" s="116"/>
      <c r="G1832" s="108"/>
      <c r="H1832" s="105" t="n">
        <f aca="false">'[2]$ лето'!j1832-'[2]$ лето'!au1832-'[2]$ лето'!at1832-'[2]$ лето'!as1832-'[2]$ лето'!ar1832-'[2]$ лето'!aq1832-'[2]$ лето'!ap1832-'[2]$ лето'!an1832-'[2]$ лето'!am1832-'[2]$ лето'!al1832-'[2]$ лето'!ak1832-'[2]$ лето'!aj1832-'[2]$ лето'!ah1832-'[2]$ лето'!ag1832-'[2]$ лето'!af1832-'[2]$ лето'!ae1832-'[2]$ лето'!ad1832-'[2]$ лето'!ab1832-'[2]$ лето'!aa1832-'[2]$ лето'!z1832-'[2]$ лето'!y1832-'[2]$ лето'!x1832-'[2]$ лето'!v1832-'[2]$ лето'!u1832-'[2]$ лето'!t1832-'[2]$ лето'!s1832-'[2]$ лето'!r1832-'[2]$ лето'!p1832-'[2]$ лето'!o1832-'[2]$ лето'!n1832-'[2]$ лето'!m1832-'[2]$ лето'!l1832+'[2]$ лето'!k1832+'[2]$ лето'!q1832+'[2]$ лето'!w1832+'[2]$ лето'!ac1832+'[2]$ лето'!ai1832+'[2]$ лето'!ao1832</f>
        <v>0</v>
      </c>
      <c r="I1832" s="109" t="n">
        <f aca="false">'[2]$ лето'!ay1832*1.1</f>
        <v>1155.88</v>
      </c>
    </row>
    <row r="1833" customFormat="false" ht="15" hidden="true" customHeight="false" outlineLevel="0" collapsed="false">
      <c r="A1833" s="115" t="s">
        <v>277</v>
      </c>
      <c r="B1833" s="115" t="s">
        <v>1130</v>
      </c>
      <c r="C1833" s="116" t="s">
        <v>2448</v>
      </c>
      <c r="D1833" s="116"/>
      <c r="E1833" s="116"/>
      <c r="F1833" s="116"/>
      <c r="G1833" s="108"/>
      <c r="H1833" s="105" t="n">
        <f aca="false">'[2]$ лето'!j1833-'[2]$ лето'!au1833-'[2]$ лето'!at1833-'[2]$ лето'!as1833-'[2]$ лето'!ar1833-'[2]$ лето'!aq1833-'[2]$ лето'!ap1833-'[2]$ лето'!an1833-'[2]$ лето'!am1833-'[2]$ лето'!al1833-'[2]$ лето'!ak1833-'[2]$ лето'!aj1833-'[2]$ лето'!ah1833-'[2]$ лето'!ag1833-'[2]$ лето'!af1833-'[2]$ лето'!ae1833-'[2]$ лето'!ad1833-'[2]$ лето'!ab1833-'[2]$ лето'!aa1833-'[2]$ лето'!z1833-'[2]$ лето'!y1833-'[2]$ лето'!x1833-'[2]$ лето'!v1833-'[2]$ лето'!u1833-'[2]$ лето'!t1833-'[2]$ лето'!s1833-'[2]$ лето'!r1833-'[2]$ лето'!p1833-'[2]$ лето'!o1833-'[2]$ лето'!n1833-'[2]$ лето'!m1833-'[2]$ лето'!l1833+'[2]$ лето'!k1833+'[2]$ лето'!q1833+'[2]$ лето'!w1833+'[2]$ лето'!ac1833+'[2]$ лето'!ai1833+'[2]$ лето'!ao1833</f>
        <v>0</v>
      </c>
      <c r="I1833" s="109" t="n">
        <f aca="false">'[2]$ лето'!ay1833*1.1</f>
        <v>1312.08</v>
      </c>
    </row>
    <row r="1834" customFormat="false" ht="15" hidden="false" customHeight="false" outlineLevel="0" collapsed="false">
      <c r="A1834" s="115" t="s">
        <v>277</v>
      </c>
      <c r="B1834" s="115" t="s">
        <v>574</v>
      </c>
      <c r="C1834" s="107" t="s">
        <v>2449</v>
      </c>
      <c r="D1834" s="107"/>
      <c r="E1834" s="116"/>
      <c r="F1834" s="116"/>
      <c r="G1834" s="108" t="s">
        <v>576</v>
      </c>
      <c r="H1834" s="105" t="n">
        <f aca="false">'[2]$ лето'!j1834-'[2]$ лето'!au1834-'[2]$ лето'!at1834-'[2]$ лето'!as1834-'[2]$ лето'!ar1834-'[2]$ лето'!aq1834-'[2]$ лето'!ap1834-'[2]$ лето'!an1834-'[2]$ лето'!am1834-'[2]$ лето'!al1834-'[2]$ лето'!ak1834-'[2]$ лето'!aj1834-'[2]$ лето'!ah1834-'[2]$ лето'!ag1834-'[2]$ лето'!af1834-'[2]$ лето'!ae1834-'[2]$ лето'!ad1834-'[2]$ лето'!ab1834-'[2]$ лето'!aa1834-'[2]$ лето'!z1834-'[2]$ лето'!y1834-'[2]$ лето'!x1834-'[2]$ лето'!v1834-'[2]$ лето'!u1834-'[2]$ лето'!t1834-'[2]$ лето'!s1834-'[2]$ лето'!r1834-'[2]$ лето'!p1834-'[2]$ лето'!o1834-'[2]$ лето'!n1834-'[2]$ лето'!m1834-'[2]$ лето'!l1834+'[2]$ лето'!k1834+'[2]$ лето'!q1834+'[2]$ лето'!w1834+'[2]$ лето'!ac1834+'[2]$ лето'!ai1834+'[2]$ лето'!ao1834</f>
        <v>4</v>
      </c>
      <c r="I1834" s="109" t="n">
        <f aca="false">'[2]$ лето'!ay1834*1.1</f>
        <v>1874.4</v>
      </c>
      <c r="J1834" s="85" t="n">
        <v>2018</v>
      </c>
    </row>
    <row r="1835" customFormat="false" ht="15" hidden="false" customHeight="false" outlineLevel="0" collapsed="false">
      <c r="A1835" s="115" t="s">
        <v>277</v>
      </c>
      <c r="B1835" s="115" t="s">
        <v>755</v>
      </c>
      <c r="C1835" s="107" t="s">
        <v>2450</v>
      </c>
      <c r="D1835" s="107"/>
      <c r="E1835" s="116"/>
      <c r="F1835" s="116"/>
      <c r="G1835" s="108"/>
      <c r="H1835" s="105" t="n">
        <f aca="false">'[2]$ лето'!j1835-'[2]$ лето'!au1835-'[2]$ лето'!at1835-'[2]$ лето'!as1835-'[2]$ лето'!ar1835-'[2]$ лето'!aq1835-'[2]$ лето'!ap1835-'[2]$ лето'!an1835-'[2]$ лето'!am1835-'[2]$ лето'!al1835-'[2]$ лето'!ak1835-'[2]$ лето'!aj1835-'[2]$ лето'!ah1835-'[2]$ лето'!ag1835-'[2]$ лето'!af1835-'[2]$ лето'!ae1835-'[2]$ лето'!ad1835-'[2]$ лето'!ab1835-'[2]$ лето'!aa1835-'[2]$ лето'!z1835-'[2]$ лето'!y1835-'[2]$ лето'!x1835-'[2]$ лето'!v1835-'[2]$ лето'!u1835-'[2]$ лето'!t1835-'[2]$ лето'!s1835-'[2]$ лето'!r1835-'[2]$ лето'!p1835-'[2]$ лето'!o1835-'[2]$ лето'!n1835-'[2]$ лето'!m1835-'[2]$ лето'!l1835+'[2]$ лето'!k1835+'[2]$ лето'!q1835+'[2]$ лето'!w1835+'[2]$ лето'!ac1835+'[2]$ лето'!ai1835+'[2]$ лето'!ao1835</f>
        <v>8</v>
      </c>
      <c r="I1835" s="109" t="n">
        <f aca="false">'[2]$ лето'!ay1835*1.1</f>
        <v>1437.04</v>
      </c>
      <c r="J1835" s="85" t="n">
        <v>2017</v>
      </c>
    </row>
    <row r="1836" customFormat="false" ht="15" hidden="false" customHeight="false" outlineLevel="0" collapsed="false">
      <c r="A1836" s="115" t="s">
        <v>277</v>
      </c>
      <c r="B1836" s="115" t="s">
        <v>583</v>
      </c>
      <c r="C1836" s="116" t="s">
        <v>2451</v>
      </c>
      <c r="D1836" s="116"/>
      <c r="E1836" s="116"/>
      <c r="F1836" s="116"/>
      <c r="G1836" s="108"/>
      <c r="H1836" s="105" t="n">
        <f aca="false">'[2]$ лето'!j1836-'[2]$ лето'!au1836-'[2]$ лето'!at1836-'[2]$ лето'!as1836-'[2]$ лето'!ar1836-'[2]$ лето'!aq1836-'[2]$ лето'!ap1836-'[2]$ лето'!an1836-'[2]$ лето'!am1836-'[2]$ лето'!al1836-'[2]$ лето'!ak1836-'[2]$ лето'!aj1836-'[2]$ лето'!ah1836-'[2]$ лето'!ag1836-'[2]$ лето'!af1836-'[2]$ лето'!ae1836-'[2]$ лето'!ad1836-'[2]$ лето'!ab1836-'[2]$ лето'!aa1836-'[2]$ лето'!z1836-'[2]$ лето'!y1836-'[2]$ лето'!x1836-'[2]$ лето'!v1836-'[2]$ лето'!u1836-'[2]$ лето'!t1836-'[2]$ лето'!s1836-'[2]$ лето'!r1836-'[2]$ лето'!p1836-'[2]$ лето'!o1836-'[2]$ лето'!n1836-'[2]$ лето'!m1836-'[2]$ лето'!l1836+'[2]$ лето'!k1836+'[2]$ лето'!q1836+'[2]$ лето'!w1836+'[2]$ лето'!ac1836+'[2]$ лето'!ai1836+'[2]$ лето'!ao1836</f>
        <v>12</v>
      </c>
      <c r="I1836" s="109" t="n">
        <f aca="false">'[2]$ лето'!ay1836*1.1</f>
        <v>1811.92</v>
      </c>
    </row>
    <row r="1837" customFormat="false" ht="15" hidden="true" customHeight="false" outlineLevel="0" collapsed="false">
      <c r="A1837" s="115" t="s">
        <v>277</v>
      </c>
      <c r="B1837" s="115" t="s">
        <v>593</v>
      </c>
      <c r="C1837" s="116" t="s">
        <v>2452</v>
      </c>
      <c r="D1837" s="116"/>
      <c r="E1837" s="116"/>
      <c r="F1837" s="116"/>
      <c r="G1837" s="108" t="s">
        <v>1240</v>
      </c>
      <c r="H1837" s="105" t="n">
        <f aca="false">'[2]$ лето'!j1837-'[2]$ лето'!au1837-'[2]$ лето'!at1837-'[2]$ лето'!as1837-'[2]$ лето'!ar1837-'[2]$ лето'!aq1837-'[2]$ лето'!ap1837-'[2]$ лето'!an1837-'[2]$ лето'!am1837-'[2]$ лето'!al1837-'[2]$ лето'!ak1837-'[2]$ лето'!aj1837-'[2]$ лето'!ah1837-'[2]$ лето'!ag1837-'[2]$ лето'!af1837-'[2]$ лето'!ae1837-'[2]$ лето'!ad1837-'[2]$ лето'!ab1837-'[2]$ лето'!aa1837-'[2]$ лето'!z1837-'[2]$ лето'!y1837-'[2]$ лето'!x1837-'[2]$ лето'!v1837-'[2]$ лето'!u1837-'[2]$ лето'!t1837-'[2]$ лето'!s1837-'[2]$ лето'!r1837-'[2]$ лето'!p1837-'[2]$ лето'!o1837-'[2]$ лето'!n1837-'[2]$ лето'!m1837-'[2]$ лето'!l1837+'[2]$ лето'!k1837+'[2]$ лето'!q1837+'[2]$ лето'!w1837+'[2]$ лето'!ac1837+'[2]$ лето'!ai1837+'[2]$ лето'!ao1837</f>
        <v>0</v>
      </c>
      <c r="I1837" s="109" t="n">
        <f aca="false">'[2]$ лето'!ay1837*1.1</f>
        <v>2218.04</v>
      </c>
    </row>
    <row r="1838" customFormat="false" ht="15" hidden="false" customHeight="false" outlineLevel="0" collapsed="false">
      <c r="A1838" s="115" t="s">
        <v>277</v>
      </c>
      <c r="B1838" s="115" t="s">
        <v>586</v>
      </c>
      <c r="C1838" s="116" t="s">
        <v>2453</v>
      </c>
      <c r="D1838" s="116"/>
      <c r="E1838" s="116"/>
      <c r="F1838" s="116"/>
      <c r="G1838" s="108" t="s">
        <v>520</v>
      </c>
      <c r="H1838" s="105" t="n">
        <f aca="false">'[2]$ лето'!j1838-'[2]$ лето'!au1838-'[2]$ лето'!at1838-'[2]$ лето'!as1838-'[2]$ лето'!ar1838-'[2]$ лето'!aq1838-'[2]$ лето'!ap1838-'[2]$ лето'!an1838-'[2]$ лето'!am1838-'[2]$ лето'!al1838-'[2]$ лето'!ak1838-'[2]$ лето'!aj1838-'[2]$ лето'!ah1838-'[2]$ лето'!ag1838-'[2]$ лето'!af1838-'[2]$ лето'!ae1838-'[2]$ лето'!ad1838-'[2]$ лето'!ab1838-'[2]$ лето'!aa1838-'[2]$ лето'!z1838-'[2]$ лето'!y1838-'[2]$ лето'!x1838-'[2]$ лето'!v1838-'[2]$ лето'!u1838-'[2]$ лето'!t1838-'[2]$ лето'!s1838-'[2]$ лето'!r1838-'[2]$ лето'!p1838-'[2]$ лето'!o1838-'[2]$ лето'!n1838-'[2]$ лето'!m1838-'[2]$ лето'!l1838+'[2]$ лето'!k1838+'[2]$ лето'!q1838+'[2]$ лето'!w1838+'[2]$ лето'!ac1838+'[2]$ лето'!ai1838+'[2]$ лето'!ao1838</f>
        <v>1</v>
      </c>
      <c r="I1838" s="109" t="n">
        <f aca="false">'[2]$ лето'!ay1838*1.1</f>
        <v>1374.56</v>
      </c>
    </row>
    <row r="1839" customFormat="false" ht="15" hidden="false" customHeight="false" outlineLevel="0" collapsed="false">
      <c r="A1839" s="115" t="s">
        <v>277</v>
      </c>
      <c r="B1839" s="115" t="s">
        <v>1214</v>
      </c>
      <c r="C1839" s="116" t="s">
        <v>2454</v>
      </c>
      <c r="D1839" s="116" t="s">
        <v>582</v>
      </c>
      <c r="E1839" s="116" t="s">
        <v>2455</v>
      </c>
      <c r="F1839" s="116"/>
      <c r="G1839" s="108"/>
      <c r="H1839" s="105" t="n">
        <f aca="false">'[2]$ лето'!j1839-'[2]$ лето'!au1839-'[2]$ лето'!at1839-'[2]$ лето'!as1839-'[2]$ лето'!ar1839-'[2]$ лето'!aq1839-'[2]$ лето'!ap1839-'[2]$ лето'!an1839-'[2]$ лето'!am1839-'[2]$ лето'!al1839-'[2]$ лето'!ak1839-'[2]$ лето'!aj1839-'[2]$ лето'!ah1839-'[2]$ лето'!ag1839-'[2]$ лето'!af1839-'[2]$ лето'!ae1839-'[2]$ лето'!ad1839-'[2]$ лето'!ab1839-'[2]$ лето'!aa1839-'[2]$ лето'!z1839-'[2]$ лето'!y1839-'[2]$ лето'!x1839-'[2]$ лето'!v1839-'[2]$ лето'!u1839-'[2]$ лето'!t1839-'[2]$ лето'!s1839-'[2]$ лето'!r1839-'[2]$ лето'!p1839-'[2]$ лето'!o1839-'[2]$ лето'!n1839-'[2]$ лето'!m1839-'[2]$ лето'!l1839+'[2]$ лето'!k1839+'[2]$ лето'!q1839+'[2]$ лето'!w1839+'[2]$ лето'!ac1839+'[2]$ лето'!ai1839+'[2]$ лето'!ao1839</f>
        <v>12</v>
      </c>
      <c r="I1839" s="109" t="n">
        <f aca="false">'[2]$ лето'!ay1839*1.1</f>
        <v>1593.24</v>
      </c>
    </row>
    <row r="1840" customFormat="false" ht="15" hidden="false" customHeight="false" outlineLevel="0" collapsed="false">
      <c r="A1840" s="115" t="s">
        <v>277</v>
      </c>
      <c r="B1840" s="115" t="s">
        <v>2456</v>
      </c>
      <c r="C1840" s="116" t="s">
        <v>2457</v>
      </c>
      <c r="D1840" s="116"/>
      <c r="E1840" s="116"/>
      <c r="F1840" s="116"/>
      <c r="G1840" s="108"/>
      <c r="H1840" s="105" t="n">
        <f aca="false">'[2]$ лето'!j1840-'[2]$ лето'!au1840-'[2]$ лето'!at1840-'[2]$ лето'!as1840-'[2]$ лето'!ar1840-'[2]$ лето'!aq1840-'[2]$ лето'!ap1840-'[2]$ лето'!an1840-'[2]$ лето'!am1840-'[2]$ лето'!al1840-'[2]$ лето'!ak1840-'[2]$ лето'!aj1840-'[2]$ лето'!ah1840-'[2]$ лето'!ag1840-'[2]$ лето'!af1840-'[2]$ лето'!ae1840-'[2]$ лето'!ad1840-'[2]$ лето'!ab1840-'[2]$ лето'!aa1840-'[2]$ лето'!z1840-'[2]$ лето'!y1840-'[2]$ лето'!x1840-'[2]$ лето'!v1840-'[2]$ лето'!u1840-'[2]$ лето'!t1840-'[2]$ лето'!s1840-'[2]$ лето'!r1840-'[2]$ лето'!p1840-'[2]$ лето'!o1840-'[2]$ лето'!n1840-'[2]$ лето'!m1840-'[2]$ лето'!l1840+'[2]$ лето'!k1840+'[2]$ лето'!q1840+'[2]$ лето'!w1840+'[2]$ лето'!ac1840+'[2]$ лето'!ai1840+'[2]$ лето'!ao1840</f>
        <v>4</v>
      </c>
      <c r="I1840" s="109" t="n">
        <f aca="false">'[2]$ лето'!ay1840*1.1</f>
        <v>1780.68</v>
      </c>
    </row>
    <row r="1841" customFormat="false" ht="15" hidden="false" customHeight="false" outlineLevel="0" collapsed="false">
      <c r="A1841" s="115" t="s">
        <v>277</v>
      </c>
      <c r="B1841" s="115" t="s">
        <v>617</v>
      </c>
      <c r="C1841" s="116" t="s">
        <v>2458</v>
      </c>
      <c r="D1841" s="116"/>
      <c r="E1841" s="116"/>
      <c r="F1841" s="116"/>
      <c r="G1841" s="108" t="s">
        <v>625</v>
      </c>
      <c r="H1841" s="105" t="n">
        <f aca="false">'[2]$ лето'!j1841-'[2]$ лето'!au1841-'[2]$ лето'!at1841-'[2]$ лето'!as1841-'[2]$ лето'!ar1841-'[2]$ лето'!aq1841-'[2]$ лето'!ap1841-'[2]$ лето'!an1841-'[2]$ лето'!am1841-'[2]$ лето'!al1841-'[2]$ лето'!ak1841-'[2]$ лето'!aj1841-'[2]$ лето'!ah1841-'[2]$ лето'!ag1841-'[2]$ лето'!af1841-'[2]$ лето'!ae1841-'[2]$ лето'!ad1841-'[2]$ лето'!ab1841-'[2]$ лето'!aa1841-'[2]$ лето'!z1841-'[2]$ лето'!y1841-'[2]$ лето'!x1841-'[2]$ лето'!v1841-'[2]$ лето'!u1841-'[2]$ лето'!t1841-'[2]$ лето'!s1841-'[2]$ лето'!r1841-'[2]$ лето'!p1841-'[2]$ лето'!o1841-'[2]$ лето'!n1841-'[2]$ лето'!m1841-'[2]$ лето'!l1841+'[2]$ лето'!k1841+'[2]$ лето'!q1841+'[2]$ лето'!w1841+'[2]$ лето'!ac1841+'[2]$ лето'!ai1841+'[2]$ лето'!ao1841</f>
        <v>18</v>
      </c>
      <c r="I1841" s="109" t="n">
        <f aca="false">'[2]$ лето'!ay1841*1.1</f>
        <v>1593.24</v>
      </c>
      <c r="J1841" s="85" t="n">
        <v>2017</v>
      </c>
    </row>
    <row r="1842" customFormat="false" ht="15" hidden="true" customHeight="false" outlineLevel="0" collapsed="false">
      <c r="A1842" s="115" t="s">
        <v>277</v>
      </c>
      <c r="B1842" s="115" t="s">
        <v>652</v>
      </c>
      <c r="C1842" s="116" t="s">
        <v>2459</v>
      </c>
      <c r="D1842" s="116"/>
      <c r="E1842" s="116"/>
      <c r="F1842" s="116"/>
      <c r="G1842" s="108"/>
      <c r="H1842" s="105" t="n">
        <f aca="false">'[2]$ лето'!j1842-'[2]$ лето'!au1842-'[2]$ лето'!at1842-'[2]$ лето'!as1842-'[2]$ лето'!ar1842-'[2]$ лето'!aq1842-'[2]$ лето'!ap1842-'[2]$ лето'!an1842-'[2]$ лето'!am1842-'[2]$ лето'!al1842-'[2]$ лето'!ak1842-'[2]$ лето'!aj1842-'[2]$ лето'!ah1842-'[2]$ лето'!ag1842-'[2]$ лето'!af1842-'[2]$ лето'!ae1842-'[2]$ лето'!ad1842-'[2]$ лето'!ab1842-'[2]$ лето'!aa1842-'[2]$ лето'!z1842-'[2]$ лето'!y1842-'[2]$ лето'!x1842-'[2]$ лето'!v1842-'[2]$ лето'!u1842-'[2]$ лето'!t1842-'[2]$ лето'!s1842-'[2]$ лето'!r1842-'[2]$ лето'!p1842-'[2]$ лето'!o1842-'[2]$ лето'!n1842-'[2]$ лето'!m1842-'[2]$ лето'!l1842+'[2]$ лето'!k1842+'[2]$ лето'!q1842+'[2]$ лето'!w1842+'[2]$ лето'!ac1842+'[2]$ лето'!ai1842+'[2]$ лето'!ao1842</f>
        <v>0</v>
      </c>
      <c r="I1842" s="109" t="n">
        <f aca="false">'[2]$ лето'!ay1842*1.1</f>
        <v>1562</v>
      </c>
    </row>
    <row r="1843" customFormat="false" ht="15" hidden="false" customHeight="false" outlineLevel="0" collapsed="false">
      <c r="A1843" s="115" t="s">
        <v>277</v>
      </c>
      <c r="B1843" s="115" t="s">
        <v>623</v>
      </c>
      <c r="C1843" s="116" t="s">
        <v>2460</v>
      </c>
      <c r="D1843" s="116"/>
      <c r="E1843" s="116"/>
      <c r="F1843" s="116"/>
      <c r="G1843" s="108" t="s">
        <v>625</v>
      </c>
      <c r="H1843" s="105" t="n">
        <f aca="false">'[2]$ лето'!j1843-'[2]$ лето'!au1843-'[2]$ лето'!at1843-'[2]$ лето'!as1843-'[2]$ лето'!ar1843-'[2]$ лето'!aq1843-'[2]$ лето'!ap1843-'[2]$ лето'!an1843-'[2]$ лето'!am1843-'[2]$ лето'!al1843-'[2]$ лето'!ak1843-'[2]$ лето'!aj1843-'[2]$ лето'!ah1843-'[2]$ лето'!ag1843-'[2]$ лето'!af1843-'[2]$ лето'!ae1843-'[2]$ лето'!ad1843-'[2]$ лето'!ab1843-'[2]$ лето'!aa1843-'[2]$ лето'!z1843-'[2]$ лето'!y1843-'[2]$ лето'!x1843-'[2]$ лето'!v1843-'[2]$ лето'!u1843-'[2]$ лето'!t1843-'[2]$ лето'!s1843-'[2]$ лето'!r1843-'[2]$ лето'!p1843-'[2]$ лето'!o1843-'[2]$ лето'!n1843-'[2]$ лето'!m1843-'[2]$ лето'!l1843+'[2]$ лето'!k1843+'[2]$ лето'!q1843+'[2]$ лето'!w1843+'[2]$ лето'!ac1843+'[2]$ лето'!ai1843+'[2]$ лето'!ao1843</f>
        <v>2</v>
      </c>
      <c r="I1843" s="109" t="n">
        <f aca="false">'[2]$ лето'!ay1843*1.1</f>
        <v>1562</v>
      </c>
      <c r="J1843" s="85" t="n">
        <v>2017</v>
      </c>
    </row>
    <row r="1844" customFormat="false" ht="15" hidden="false" customHeight="false" outlineLevel="0" collapsed="false">
      <c r="A1844" s="115" t="s">
        <v>277</v>
      </c>
      <c r="B1844" s="115" t="s">
        <v>564</v>
      </c>
      <c r="C1844" s="116" t="s">
        <v>2461</v>
      </c>
      <c r="D1844" s="116"/>
      <c r="E1844" s="116"/>
      <c r="F1844" s="116"/>
      <c r="G1844" s="108" t="s">
        <v>520</v>
      </c>
      <c r="H1844" s="105" t="n">
        <f aca="false">'[2]$ лето'!j1844-'[2]$ лето'!au1844-'[2]$ лето'!at1844-'[2]$ лето'!as1844-'[2]$ лето'!ar1844-'[2]$ лето'!aq1844-'[2]$ лето'!ap1844-'[2]$ лето'!an1844-'[2]$ лето'!am1844-'[2]$ лето'!al1844-'[2]$ лето'!ak1844-'[2]$ лето'!aj1844-'[2]$ лето'!ah1844-'[2]$ лето'!ag1844-'[2]$ лето'!af1844-'[2]$ лето'!ae1844-'[2]$ лето'!ad1844-'[2]$ лето'!ab1844-'[2]$ лето'!aa1844-'[2]$ лето'!z1844-'[2]$ лето'!y1844-'[2]$ лето'!x1844-'[2]$ лето'!v1844-'[2]$ лето'!u1844-'[2]$ лето'!t1844-'[2]$ лето'!s1844-'[2]$ лето'!r1844-'[2]$ лето'!p1844-'[2]$ лето'!o1844-'[2]$ лето'!n1844-'[2]$ лето'!m1844-'[2]$ лето'!l1844+'[2]$ лето'!k1844+'[2]$ лето'!q1844+'[2]$ лето'!w1844+'[2]$ лето'!ac1844+'[2]$ лето'!ai1844+'[2]$ лето'!ao1844</f>
        <v>17</v>
      </c>
      <c r="I1844" s="109" t="n">
        <f aca="false">'[2]$ лето'!ay1844*1.1</f>
        <v>1437.04</v>
      </c>
      <c r="J1844" s="85" t="n">
        <v>2017</v>
      </c>
    </row>
    <row r="1845" customFormat="false" ht="15" hidden="false" customHeight="false" outlineLevel="0" collapsed="false">
      <c r="A1845" s="115" t="s">
        <v>2462</v>
      </c>
      <c r="B1845" s="115" t="s">
        <v>792</v>
      </c>
      <c r="C1845" s="107" t="s">
        <v>2463</v>
      </c>
      <c r="D1845" s="107"/>
      <c r="E1845" s="116"/>
      <c r="F1845" s="116"/>
      <c r="G1845" s="108" t="s">
        <v>520</v>
      </c>
      <c r="H1845" s="105" t="n">
        <f aca="false">'[2]$ лето'!j1845-'[2]$ лето'!au1845-'[2]$ лето'!at1845-'[2]$ лето'!as1845-'[2]$ лето'!ar1845-'[2]$ лето'!aq1845-'[2]$ лето'!ap1845-'[2]$ лето'!an1845-'[2]$ лето'!am1845-'[2]$ лето'!al1845-'[2]$ лето'!ak1845-'[2]$ лето'!aj1845-'[2]$ лето'!ah1845-'[2]$ лето'!ag1845-'[2]$ лето'!af1845-'[2]$ лето'!ae1845-'[2]$ лето'!ad1845-'[2]$ лето'!ab1845-'[2]$ лето'!aa1845-'[2]$ лето'!z1845-'[2]$ лето'!y1845-'[2]$ лето'!x1845-'[2]$ лето'!v1845-'[2]$ лето'!u1845-'[2]$ лето'!t1845-'[2]$ лето'!s1845-'[2]$ лето'!r1845-'[2]$ лето'!p1845-'[2]$ лето'!o1845-'[2]$ лето'!n1845-'[2]$ лето'!m1845-'[2]$ лето'!l1845+'[2]$ лето'!k1845+'[2]$ лето'!q1845+'[2]$ лето'!w1845+'[2]$ лето'!ac1845+'[2]$ лето'!ai1845+'[2]$ лето'!ao1845</f>
        <v>2</v>
      </c>
      <c r="I1845" s="109" t="n">
        <f aca="false">'[2]$ лето'!ay1845*1.1</f>
        <v>1562</v>
      </c>
      <c r="J1845" s="85" t="n">
        <v>2017</v>
      </c>
    </row>
    <row r="1846" customFormat="false" ht="15" hidden="false" customHeight="false" outlineLevel="0" collapsed="false">
      <c r="A1846" s="115" t="s">
        <v>2462</v>
      </c>
      <c r="B1846" s="115" t="s">
        <v>579</v>
      </c>
      <c r="C1846" s="116" t="s">
        <v>2464</v>
      </c>
      <c r="D1846" s="116"/>
      <c r="E1846" s="116"/>
      <c r="F1846" s="116"/>
      <c r="G1846" s="108"/>
      <c r="H1846" s="105" t="n">
        <f aca="false">'[2]$ лето'!j1846-'[2]$ лето'!au1846-'[2]$ лето'!at1846-'[2]$ лето'!as1846-'[2]$ лето'!ar1846-'[2]$ лето'!aq1846-'[2]$ лето'!ap1846-'[2]$ лето'!an1846-'[2]$ лето'!am1846-'[2]$ лето'!al1846-'[2]$ лето'!ak1846-'[2]$ лето'!aj1846-'[2]$ лето'!ah1846-'[2]$ лето'!ag1846-'[2]$ лето'!af1846-'[2]$ лето'!ae1846-'[2]$ лето'!ad1846-'[2]$ лето'!ab1846-'[2]$ лето'!aa1846-'[2]$ лето'!z1846-'[2]$ лето'!y1846-'[2]$ лето'!x1846-'[2]$ лето'!v1846-'[2]$ лето'!u1846-'[2]$ лето'!t1846-'[2]$ лето'!s1846-'[2]$ лето'!r1846-'[2]$ лето'!p1846-'[2]$ лето'!o1846-'[2]$ лето'!n1846-'[2]$ лето'!m1846-'[2]$ лето'!l1846+'[2]$ лето'!k1846+'[2]$ лето'!q1846+'[2]$ лето'!w1846+'[2]$ лето'!ac1846+'[2]$ лето'!ai1846+'[2]$ лето'!ao1846</f>
        <v>4</v>
      </c>
      <c r="I1846" s="109" t="n">
        <f aca="false">'[2]$ лето'!ay1846*1.1</f>
        <v>1624.48</v>
      </c>
    </row>
    <row r="1847" customFormat="false" ht="15" hidden="false" customHeight="false" outlineLevel="0" collapsed="false">
      <c r="A1847" s="115" t="s">
        <v>2465</v>
      </c>
      <c r="B1847" s="115" t="s">
        <v>621</v>
      </c>
      <c r="C1847" s="116" t="s">
        <v>2466</v>
      </c>
      <c r="D1847" s="116"/>
      <c r="E1847" s="116"/>
      <c r="F1847" s="116"/>
      <c r="G1847" s="108" t="s">
        <v>520</v>
      </c>
      <c r="H1847" s="105" t="n">
        <f aca="false">'[2]$ лето'!j1847-'[2]$ лето'!au1847-'[2]$ лето'!at1847-'[2]$ лето'!as1847-'[2]$ лето'!ar1847-'[2]$ лето'!aq1847-'[2]$ лето'!ap1847-'[2]$ лето'!an1847-'[2]$ лето'!am1847-'[2]$ лето'!al1847-'[2]$ лето'!ak1847-'[2]$ лето'!aj1847-'[2]$ лето'!ah1847-'[2]$ лето'!ag1847-'[2]$ лето'!af1847-'[2]$ лето'!ae1847-'[2]$ лето'!ad1847-'[2]$ лето'!ab1847-'[2]$ лето'!aa1847-'[2]$ лето'!z1847-'[2]$ лето'!y1847-'[2]$ лето'!x1847-'[2]$ лето'!v1847-'[2]$ лето'!u1847-'[2]$ лето'!t1847-'[2]$ лето'!s1847-'[2]$ лето'!r1847-'[2]$ лето'!p1847-'[2]$ лето'!o1847-'[2]$ лето'!n1847-'[2]$ лето'!m1847-'[2]$ лето'!l1847+'[2]$ лето'!k1847+'[2]$ лето'!q1847+'[2]$ лето'!w1847+'[2]$ лето'!ac1847+'[2]$ лето'!ai1847+'[2]$ лето'!ao1847</f>
        <v>2</v>
      </c>
      <c r="I1847" s="109" t="n">
        <f aca="false">'[2]$ лето'!ay1847*1.1</f>
        <v>1562</v>
      </c>
    </row>
    <row r="1848" customFormat="false" ht="15" hidden="true" customHeight="false" outlineLevel="0" collapsed="false">
      <c r="A1848" s="115" t="s">
        <v>2462</v>
      </c>
      <c r="B1848" s="115" t="s">
        <v>564</v>
      </c>
      <c r="C1848" s="116" t="s">
        <v>2467</v>
      </c>
      <c r="D1848" s="116"/>
      <c r="E1848" s="116"/>
      <c r="F1848" s="116"/>
      <c r="G1848" s="108" t="s">
        <v>520</v>
      </c>
      <c r="H1848" s="105" t="n">
        <f aca="false">'[2]$ лето'!j1848-'[2]$ лето'!au1848-'[2]$ лето'!at1848-'[2]$ лето'!as1848-'[2]$ лето'!ar1848-'[2]$ лето'!aq1848-'[2]$ лето'!ap1848-'[2]$ лето'!an1848-'[2]$ лето'!am1848-'[2]$ лето'!al1848-'[2]$ лето'!ak1848-'[2]$ лето'!aj1848-'[2]$ лето'!ah1848-'[2]$ лето'!ag1848-'[2]$ лето'!af1848-'[2]$ лето'!ae1848-'[2]$ лето'!ad1848-'[2]$ лето'!ab1848-'[2]$ лето'!aa1848-'[2]$ лето'!z1848-'[2]$ лето'!y1848-'[2]$ лето'!x1848-'[2]$ лето'!v1848-'[2]$ лето'!u1848-'[2]$ лето'!t1848-'[2]$ лето'!s1848-'[2]$ лето'!r1848-'[2]$ лето'!p1848-'[2]$ лето'!o1848-'[2]$ лето'!n1848-'[2]$ лето'!m1848-'[2]$ лето'!l1848+'[2]$ лето'!k1848+'[2]$ лето'!q1848+'[2]$ лето'!w1848+'[2]$ лето'!ac1848+'[2]$ лето'!ai1848+'[2]$ лето'!ao1848</f>
        <v>0</v>
      </c>
      <c r="I1848" s="109" t="n">
        <f aca="false">'[2]$ лето'!ay1848*1.1</f>
        <v>1718.2</v>
      </c>
    </row>
    <row r="1849" customFormat="false" ht="15" hidden="true" customHeight="false" outlineLevel="0" collapsed="false">
      <c r="A1849" s="115" t="s">
        <v>2468</v>
      </c>
      <c r="B1849" s="115" t="s">
        <v>557</v>
      </c>
      <c r="C1849" s="116" t="s">
        <v>2469</v>
      </c>
      <c r="D1849" s="116"/>
      <c r="E1849" s="116"/>
      <c r="F1849" s="116"/>
      <c r="G1849" s="108"/>
      <c r="H1849" s="105" t="n">
        <f aca="false">'[2]$ лето'!j1849-'[2]$ лето'!au1849-'[2]$ лето'!at1849-'[2]$ лето'!as1849-'[2]$ лето'!ar1849-'[2]$ лето'!aq1849-'[2]$ лето'!ap1849-'[2]$ лето'!an1849-'[2]$ лето'!am1849-'[2]$ лето'!al1849-'[2]$ лето'!ak1849-'[2]$ лето'!aj1849-'[2]$ лето'!ah1849-'[2]$ лето'!ag1849-'[2]$ лето'!af1849-'[2]$ лето'!ae1849-'[2]$ лето'!ad1849-'[2]$ лето'!ab1849-'[2]$ лето'!aa1849-'[2]$ лето'!z1849-'[2]$ лето'!y1849-'[2]$ лето'!x1849-'[2]$ лето'!v1849-'[2]$ лето'!u1849-'[2]$ лето'!t1849-'[2]$ лето'!s1849-'[2]$ лето'!r1849-'[2]$ лето'!p1849-'[2]$ лето'!o1849-'[2]$ лето'!n1849-'[2]$ лето'!m1849-'[2]$ лето'!l1849+'[2]$ лето'!k1849+'[2]$ лето'!q1849+'[2]$ лето'!w1849+'[2]$ лето'!ac1849+'[2]$ лето'!ai1849+'[2]$ лето'!ao1849</f>
        <v>0</v>
      </c>
      <c r="I1849" s="109" t="n">
        <f aca="false">'[2]$ лето'!ay1849*1.1</f>
        <v>1874.4</v>
      </c>
    </row>
    <row r="1850" customFormat="false" ht="15" hidden="false" customHeight="false" outlineLevel="0" collapsed="false">
      <c r="A1850" s="120" t="s">
        <v>282</v>
      </c>
      <c r="B1850" s="121"/>
      <c r="C1850" s="122"/>
      <c r="D1850" s="122"/>
      <c r="E1850" s="122"/>
      <c r="F1850" s="122"/>
      <c r="G1850" s="104"/>
      <c r="H1850" s="105"/>
      <c r="I1850" s="105" t="n">
        <f aca="false">'[2]$ лето'!ay1850*1.1</f>
        <v>0</v>
      </c>
    </row>
    <row r="1851" customFormat="false" ht="15" hidden="false" customHeight="false" outlineLevel="0" collapsed="false">
      <c r="A1851" s="129" t="s">
        <v>2470</v>
      </c>
      <c r="B1851" s="129" t="s">
        <v>593</v>
      </c>
      <c r="C1851" s="131" t="s">
        <v>2471</v>
      </c>
      <c r="D1851" s="131"/>
      <c r="E1851" s="131"/>
      <c r="F1851" s="131"/>
      <c r="G1851" s="132"/>
      <c r="H1851" s="105" t="n">
        <f aca="false">'[2]$ лето'!j1851-'[2]$ лето'!au1851-'[2]$ лето'!at1851-'[2]$ лето'!as1851-'[2]$ лето'!ar1851-'[2]$ лето'!aq1851-'[2]$ лето'!ap1851-'[2]$ лето'!an1851-'[2]$ лето'!am1851-'[2]$ лето'!al1851-'[2]$ лето'!ak1851-'[2]$ лето'!aj1851-'[2]$ лето'!ah1851-'[2]$ лето'!ag1851-'[2]$ лето'!af1851-'[2]$ лето'!ae1851-'[2]$ лето'!ad1851-'[2]$ лето'!ab1851-'[2]$ лето'!aa1851-'[2]$ лето'!z1851-'[2]$ лето'!y1851-'[2]$ лето'!x1851-'[2]$ лето'!v1851-'[2]$ лето'!u1851-'[2]$ лето'!t1851-'[2]$ лето'!s1851-'[2]$ лето'!r1851-'[2]$ лето'!p1851-'[2]$ лето'!o1851-'[2]$ лето'!n1851-'[2]$ лето'!m1851-'[2]$ лето'!l1851+'[2]$ лето'!k1851+'[2]$ лето'!q1851+'[2]$ лето'!w1851+'[2]$ лето'!ac1851+'[2]$ лето'!ai1851+'[2]$ лето'!ao1851</f>
        <v>2</v>
      </c>
      <c r="I1851" s="109" t="n">
        <f aca="false">'[2]$ лето'!ay1851*1.1</f>
        <v>594</v>
      </c>
      <c r="J1851" s="85" t="n">
        <v>300</v>
      </c>
    </row>
    <row r="1852" customFormat="false" ht="15" hidden="true" customHeight="false" outlineLevel="0" collapsed="false">
      <c r="A1852" s="115" t="s">
        <v>283</v>
      </c>
      <c r="B1852" s="115" t="s">
        <v>566</v>
      </c>
      <c r="C1852" s="116" t="s">
        <v>2472</v>
      </c>
      <c r="D1852" s="116"/>
      <c r="E1852" s="116"/>
      <c r="F1852" s="116"/>
      <c r="G1852" s="108" t="s">
        <v>563</v>
      </c>
      <c r="H1852" s="105" t="n">
        <f aca="false">'[2]$ лето'!j1852-'[2]$ лето'!au1852-'[2]$ лето'!at1852-'[2]$ лето'!as1852-'[2]$ лето'!ar1852-'[2]$ лето'!aq1852-'[2]$ лето'!ap1852-'[2]$ лето'!an1852-'[2]$ лето'!am1852-'[2]$ лето'!al1852-'[2]$ лето'!ak1852-'[2]$ лето'!aj1852-'[2]$ лето'!ah1852-'[2]$ лето'!ag1852-'[2]$ лето'!af1852-'[2]$ лето'!ae1852-'[2]$ лето'!ad1852-'[2]$ лето'!ab1852-'[2]$ лето'!aa1852-'[2]$ лето'!z1852-'[2]$ лето'!y1852-'[2]$ лето'!x1852-'[2]$ лето'!v1852-'[2]$ лето'!u1852-'[2]$ лето'!t1852-'[2]$ лето'!s1852-'[2]$ лето'!r1852-'[2]$ лето'!p1852-'[2]$ лето'!o1852-'[2]$ лето'!n1852-'[2]$ лето'!m1852-'[2]$ лето'!l1852+'[2]$ лето'!k1852+'[2]$ лето'!q1852+'[2]$ лето'!w1852+'[2]$ лето'!ac1852+'[2]$ лето'!ai1852+'[2]$ лето'!ao1852</f>
        <v>0</v>
      </c>
      <c r="I1852" s="109" t="n">
        <f aca="false">'[2]$ лето'!ay1852*1.1</f>
        <v>1343.32</v>
      </c>
    </row>
    <row r="1853" customFormat="false" ht="15" hidden="true" customHeight="false" outlineLevel="0" collapsed="false">
      <c r="A1853" s="115" t="s">
        <v>283</v>
      </c>
      <c r="B1853" s="115" t="s">
        <v>568</v>
      </c>
      <c r="C1853" s="116" t="s">
        <v>2473</v>
      </c>
      <c r="D1853" s="116"/>
      <c r="E1853" s="116"/>
      <c r="F1853" s="116"/>
      <c r="G1853" s="108" t="s">
        <v>2153</v>
      </c>
      <c r="H1853" s="105" t="n">
        <f aca="false">'[2]$ лето'!j1853-'[2]$ лето'!au1853-'[2]$ лето'!at1853-'[2]$ лето'!as1853-'[2]$ лето'!ar1853-'[2]$ лето'!aq1853-'[2]$ лето'!ap1853-'[2]$ лето'!an1853-'[2]$ лето'!am1853-'[2]$ лето'!al1853-'[2]$ лето'!ak1853-'[2]$ лето'!aj1853-'[2]$ лето'!ah1853-'[2]$ лето'!ag1853-'[2]$ лето'!af1853-'[2]$ лето'!ae1853-'[2]$ лето'!ad1853-'[2]$ лето'!ab1853-'[2]$ лето'!aa1853-'[2]$ лето'!z1853-'[2]$ лето'!y1853-'[2]$ лето'!x1853-'[2]$ лето'!v1853-'[2]$ лето'!u1853-'[2]$ лето'!t1853-'[2]$ лето'!s1853-'[2]$ лето'!r1853-'[2]$ лето'!p1853-'[2]$ лето'!o1853-'[2]$ лето'!n1853-'[2]$ лето'!m1853-'[2]$ лето'!l1853+'[2]$ лето'!k1853+'[2]$ лето'!q1853+'[2]$ лето'!w1853+'[2]$ лето'!ac1853+'[2]$ лето'!ai1853+'[2]$ лето'!ao1853</f>
        <v>0</v>
      </c>
      <c r="I1853" s="109" t="n">
        <f aca="false">'[2]$ лето'!ay1853*1.1</f>
        <v>1811.92</v>
      </c>
    </row>
    <row r="1854" customFormat="false" ht="15" hidden="true" customHeight="false" outlineLevel="0" collapsed="false">
      <c r="A1854" s="115" t="s">
        <v>283</v>
      </c>
      <c r="B1854" s="115" t="s">
        <v>844</v>
      </c>
      <c r="C1854" s="116" t="s">
        <v>2474</v>
      </c>
      <c r="D1854" s="116"/>
      <c r="E1854" s="116"/>
      <c r="F1854" s="116"/>
      <c r="G1854" s="108"/>
      <c r="H1854" s="105" t="n">
        <f aca="false">'[2]$ лето'!j1854-'[2]$ лето'!au1854-'[2]$ лето'!at1854-'[2]$ лето'!as1854-'[2]$ лето'!ar1854-'[2]$ лето'!aq1854-'[2]$ лето'!ap1854-'[2]$ лето'!an1854-'[2]$ лето'!am1854-'[2]$ лето'!al1854-'[2]$ лето'!ak1854-'[2]$ лето'!aj1854-'[2]$ лето'!ah1854-'[2]$ лето'!ag1854-'[2]$ лето'!af1854-'[2]$ лето'!ae1854-'[2]$ лето'!ad1854-'[2]$ лето'!ab1854-'[2]$ лето'!aa1854-'[2]$ лето'!z1854-'[2]$ лето'!y1854-'[2]$ лето'!x1854-'[2]$ лето'!v1854-'[2]$ лето'!u1854-'[2]$ лето'!t1854-'[2]$ лето'!s1854-'[2]$ лето'!r1854-'[2]$ лето'!p1854-'[2]$ лето'!o1854-'[2]$ лето'!n1854-'[2]$ лето'!m1854-'[2]$ лето'!l1854+'[2]$ лето'!k1854+'[2]$ лето'!q1854+'[2]$ лето'!w1854+'[2]$ лето'!ac1854+'[2]$ лето'!ai1854+'[2]$ лето'!ao1854</f>
        <v>0</v>
      </c>
      <c r="I1854" s="109" t="n">
        <f aca="false">'[2]$ лето'!ay1854*1.1</f>
        <v>1811.92</v>
      </c>
      <c r="J1854" s="85" t="s">
        <v>1075</v>
      </c>
    </row>
    <row r="1855" customFormat="false" ht="15" hidden="true" customHeight="false" outlineLevel="0" collapsed="false">
      <c r="A1855" s="115" t="s">
        <v>283</v>
      </c>
      <c r="B1855" s="115" t="s">
        <v>601</v>
      </c>
      <c r="C1855" s="107" t="s">
        <v>2442</v>
      </c>
      <c r="D1855" s="107"/>
      <c r="E1855" s="107"/>
      <c r="F1855" s="107"/>
      <c r="G1855" s="108" t="s">
        <v>876</v>
      </c>
      <c r="H1855" s="105" t="n">
        <f aca="false">'[2]$ лето'!j1855-'[2]$ лето'!au1855-'[2]$ лето'!at1855-'[2]$ лето'!as1855-'[2]$ лето'!ar1855-'[2]$ лето'!aq1855-'[2]$ лето'!ap1855-'[2]$ лето'!an1855-'[2]$ лето'!am1855-'[2]$ лето'!al1855-'[2]$ лето'!ak1855-'[2]$ лето'!aj1855-'[2]$ лето'!ah1855-'[2]$ лето'!ag1855-'[2]$ лето'!af1855-'[2]$ лето'!ae1855-'[2]$ лето'!ad1855-'[2]$ лето'!ab1855-'[2]$ лето'!aa1855-'[2]$ лето'!z1855-'[2]$ лето'!y1855-'[2]$ лето'!x1855-'[2]$ лето'!v1855-'[2]$ лето'!u1855-'[2]$ лето'!t1855-'[2]$ лето'!s1855-'[2]$ лето'!r1855-'[2]$ лето'!p1855-'[2]$ лето'!o1855-'[2]$ лето'!n1855-'[2]$ лето'!m1855-'[2]$ лето'!l1855+'[2]$ лето'!k1855+'[2]$ лето'!q1855+'[2]$ лето'!w1855+'[2]$ лето'!ac1855+'[2]$ лето'!ai1855+'[2]$ лето'!ao1855</f>
        <v>0</v>
      </c>
      <c r="I1855" s="109" t="n">
        <f aca="false">'[2]$ лето'!ay1855*1.1</f>
        <v>1749.44</v>
      </c>
    </row>
    <row r="1856" customFormat="false" ht="15" hidden="false" customHeight="false" outlineLevel="0" collapsed="false">
      <c r="A1856" s="115" t="s">
        <v>283</v>
      </c>
      <c r="B1856" s="115" t="s">
        <v>658</v>
      </c>
      <c r="C1856" s="107" t="s">
        <v>2475</v>
      </c>
      <c r="D1856" s="107"/>
      <c r="E1856" s="116"/>
      <c r="F1856" s="116"/>
      <c r="G1856" s="108" t="s">
        <v>570</v>
      </c>
      <c r="H1856" s="105" t="n">
        <f aca="false">'[2]$ лето'!j1856-'[2]$ лето'!au1856-'[2]$ лето'!at1856-'[2]$ лето'!as1856-'[2]$ лето'!ar1856-'[2]$ лето'!aq1856-'[2]$ лето'!ap1856-'[2]$ лето'!an1856-'[2]$ лето'!am1856-'[2]$ лето'!al1856-'[2]$ лето'!ak1856-'[2]$ лето'!aj1856-'[2]$ лето'!ah1856-'[2]$ лето'!ag1856-'[2]$ лето'!af1856-'[2]$ лето'!ae1856-'[2]$ лето'!ad1856-'[2]$ лето'!ab1856-'[2]$ лето'!aa1856-'[2]$ лето'!z1856-'[2]$ лето'!y1856-'[2]$ лето'!x1856-'[2]$ лето'!v1856-'[2]$ лето'!u1856-'[2]$ лето'!t1856-'[2]$ лето'!s1856-'[2]$ лето'!r1856-'[2]$ лето'!p1856-'[2]$ лето'!o1856-'[2]$ лето'!n1856-'[2]$ лето'!m1856-'[2]$ лето'!l1856+'[2]$ лето'!k1856+'[2]$ лето'!q1856+'[2]$ лето'!w1856+'[2]$ лето'!ac1856+'[2]$ лето'!ai1856+'[2]$ лето'!ao1856</f>
        <v>4</v>
      </c>
      <c r="I1856" s="109" t="n">
        <f aca="false">'[2]$ лето'!ay1856*1.1</f>
        <v>1874.4</v>
      </c>
      <c r="J1856" s="85" t="n">
        <v>2016</v>
      </c>
    </row>
    <row r="1857" customFormat="false" ht="15" hidden="true" customHeight="false" outlineLevel="0" collapsed="false">
      <c r="A1857" s="115" t="s">
        <v>283</v>
      </c>
      <c r="B1857" s="115" t="s">
        <v>557</v>
      </c>
      <c r="C1857" s="107" t="s">
        <v>2476</v>
      </c>
      <c r="D1857" s="107"/>
      <c r="E1857" s="107"/>
      <c r="F1857" s="107"/>
      <c r="G1857" s="108"/>
      <c r="H1857" s="105" t="n">
        <f aca="false">'[2]$ лето'!j1857-'[2]$ лето'!au1857-'[2]$ лето'!at1857-'[2]$ лето'!as1857-'[2]$ лето'!ar1857-'[2]$ лето'!aq1857-'[2]$ лето'!ap1857-'[2]$ лето'!an1857-'[2]$ лето'!am1857-'[2]$ лето'!al1857-'[2]$ лето'!ak1857-'[2]$ лето'!aj1857-'[2]$ лето'!ah1857-'[2]$ лето'!ag1857-'[2]$ лето'!af1857-'[2]$ лето'!ae1857-'[2]$ лето'!ad1857-'[2]$ лето'!ab1857-'[2]$ лето'!aa1857-'[2]$ лето'!z1857-'[2]$ лето'!y1857-'[2]$ лето'!x1857-'[2]$ лето'!v1857-'[2]$ лето'!u1857-'[2]$ лето'!t1857-'[2]$ лето'!s1857-'[2]$ лето'!r1857-'[2]$ лето'!p1857-'[2]$ лето'!o1857-'[2]$ лето'!n1857-'[2]$ лето'!m1857-'[2]$ лето'!l1857+'[2]$ лето'!k1857+'[2]$ лето'!q1857+'[2]$ лето'!w1857+'[2]$ лето'!ac1857+'[2]$ лето'!ai1857+'[2]$ лето'!ao1857</f>
        <v>0</v>
      </c>
      <c r="I1857" s="109" t="n">
        <f aca="false">'[2]$ лето'!ay1857*1.1</f>
        <v>1343.32</v>
      </c>
    </row>
    <row r="1858" customFormat="false" ht="15" hidden="false" customHeight="false" outlineLevel="0" collapsed="false">
      <c r="A1858" s="115" t="s">
        <v>283</v>
      </c>
      <c r="B1858" s="115" t="s">
        <v>741</v>
      </c>
      <c r="C1858" s="116" t="s">
        <v>2477</v>
      </c>
      <c r="D1858" s="116"/>
      <c r="E1858" s="116"/>
      <c r="F1858" s="116"/>
      <c r="G1858" s="108" t="s">
        <v>935</v>
      </c>
      <c r="H1858" s="105" t="n">
        <f aca="false">'[2]$ лето'!j1858-'[2]$ лето'!au1858-'[2]$ лето'!at1858-'[2]$ лето'!as1858-'[2]$ лето'!ar1858-'[2]$ лето'!aq1858-'[2]$ лето'!ap1858-'[2]$ лето'!an1858-'[2]$ лето'!am1858-'[2]$ лето'!al1858-'[2]$ лето'!ak1858-'[2]$ лето'!aj1858-'[2]$ лето'!ah1858-'[2]$ лето'!ag1858-'[2]$ лето'!af1858-'[2]$ лето'!ae1858-'[2]$ лето'!ad1858-'[2]$ лето'!ab1858-'[2]$ лето'!aa1858-'[2]$ лето'!z1858-'[2]$ лето'!y1858-'[2]$ лето'!x1858-'[2]$ лето'!v1858-'[2]$ лето'!u1858-'[2]$ лето'!t1858-'[2]$ лето'!s1858-'[2]$ лето'!r1858-'[2]$ лето'!p1858-'[2]$ лето'!o1858-'[2]$ лето'!n1858-'[2]$ лето'!m1858-'[2]$ лето'!l1858+'[2]$ лето'!k1858+'[2]$ лето'!q1858+'[2]$ лето'!w1858+'[2]$ лето'!ac1858+'[2]$ лето'!ai1858+'[2]$ лето'!ao1858</f>
        <v>2</v>
      </c>
      <c r="I1858" s="109" t="n">
        <f aca="false">'[2]$ лето'!ay1858*1.1</f>
        <v>1936.88</v>
      </c>
      <c r="J1858" s="85" t="n">
        <v>2017</v>
      </c>
    </row>
    <row r="1859" customFormat="false" ht="15" hidden="true" customHeight="false" outlineLevel="0" collapsed="false">
      <c r="A1859" s="115" t="s">
        <v>283</v>
      </c>
      <c r="B1859" s="115" t="s">
        <v>2478</v>
      </c>
      <c r="C1859" s="107" t="s">
        <v>2479</v>
      </c>
      <c r="D1859" s="107"/>
      <c r="E1859" s="107"/>
      <c r="F1859" s="107"/>
      <c r="G1859" s="108"/>
      <c r="H1859" s="105" t="n">
        <f aca="false">'[2]$ лето'!j1859-'[2]$ лето'!au1859-'[2]$ лето'!at1859-'[2]$ лето'!as1859-'[2]$ лето'!ar1859-'[2]$ лето'!aq1859-'[2]$ лето'!ap1859-'[2]$ лето'!an1859-'[2]$ лето'!am1859-'[2]$ лето'!al1859-'[2]$ лето'!ak1859-'[2]$ лето'!aj1859-'[2]$ лето'!ah1859-'[2]$ лето'!ag1859-'[2]$ лето'!af1859-'[2]$ лето'!ae1859-'[2]$ лето'!ad1859-'[2]$ лето'!ab1859-'[2]$ лето'!aa1859-'[2]$ лето'!z1859-'[2]$ лето'!y1859-'[2]$ лето'!x1859-'[2]$ лето'!v1859-'[2]$ лето'!u1859-'[2]$ лето'!t1859-'[2]$ лето'!s1859-'[2]$ лето'!r1859-'[2]$ лето'!p1859-'[2]$ лето'!o1859-'[2]$ лето'!n1859-'[2]$ лето'!m1859-'[2]$ лето'!l1859+'[2]$ лето'!k1859+'[2]$ лето'!q1859+'[2]$ лето'!w1859+'[2]$ лето'!ac1859+'[2]$ лето'!ai1859+'[2]$ лето'!ao1859</f>
        <v>0</v>
      </c>
      <c r="I1859" s="109" t="n">
        <f aca="false">'[2]$ лето'!ay1859*1.1</f>
        <v>1718.2</v>
      </c>
    </row>
    <row r="1860" customFormat="false" ht="15" hidden="true" customHeight="false" outlineLevel="0" collapsed="false">
      <c r="A1860" s="115" t="s">
        <v>283</v>
      </c>
      <c r="B1860" s="115" t="s">
        <v>2480</v>
      </c>
      <c r="C1860" s="107" t="s">
        <v>2481</v>
      </c>
      <c r="D1860" s="107"/>
      <c r="E1860" s="107"/>
      <c r="F1860" s="107"/>
      <c r="G1860" s="108" t="s">
        <v>1075</v>
      </c>
      <c r="H1860" s="105" t="n">
        <f aca="false">'[2]$ лето'!j1860-'[2]$ лето'!au1860-'[2]$ лето'!at1860-'[2]$ лето'!as1860-'[2]$ лето'!ar1860-'[2]$ лето'!aq1860-'[2]$ лето'!ap1860-'[2]$ лето'!an1860-'[2]$ лето'!am1860-'[2]$ лето'!al1860-'[2]$ лето'!ak1860-'[2]$ лето'!aj1860-'[2]$ лето'!ah1860-'[2]$ лето'!ag1860-'[2]$ лето'!af1860-'[2]$ лето'!ae1860-'[2]$ лето'!ad1860-'[2]$ лето'!ab1860-'[2]$ лето'!aa1860-'[2]$ лето'!z1860-'[2]$ лето'!y1860-'[2]$ лето'!x1860-'[2]$ лето'!v1860-'[2]$ лето'!u1860-'[2]$ лето'!t1860-'[2]$ лето'!s1860-'[2]$ лето'!r1860-'[2]$ лето'!p1860-'[2]$ лето'!o1860-'[2]$ лето'!n1860-'[2]$ лето'!m1860-'[2]$ лето'!l1860+'[2]$ лето'!k1860+'[2]$ лето'!q1860+'[2]$ лето'!w1860+'[2]$ лето'!ac1860+'[2]$ лето'!ai1860+'[2]$ лето'!ao1860</f>
        <v>0</v>
      </c>
      <c r="I1860" s="109" t="n">
        <f aca="false">'[2]$ лето'!ay1860*1.1</f>
        <v>1530.76</v>
      </c>
      <c r="J1860" s="85" t="n">
        <v>2017</v>
      </c>
    </row>
    <row r="1861" customFormat="false" ht="15" hidden="true" customHeight="false" outlineLevel="0" collapsed="false">
      <c r="A1861" s="115" t="s">
        <v>283</v>
      </c>
      <c r="B1861" s="115" t="s">
        <v>606</v>
      </c>
      <c r="C1861" s="107" t="s">
        <v>2482</v>
      </c>
      <c r="D1861" s="107"/>
      <c r="E1861" s="107"/>
      <c r="F1861" s="107"/>
      <c r="G1861" s="108"/>
      <c r="H1861" s="105" t="n">
        <f aca="false">'[2]$ лето'!j1861-'[2]$ лето'!au1861-'[2]$ лето'!at1861-'[2]$ лето'!as1861-'[2]$ лето'!ar1861-'[2]$ лето'!aq1861-'[2]$ лето'!ap1861-'[2]$ лето'!an1861-'[2]$ лето'!am1861-'[2]$ лето'!al1861-'[2]$ лето'!ak1861-'[2]$ лето'!aj1861-'[2]$ лето'!ah1861-'[2]$ лето'!ag1861-'[2]$ лето'!af1861-'[2]$ лето'!ae1861-'[2]$ лето'!ad1861-'[2]$ лето'!ab1861-'[2]$ лето'!aa1861-'[2]$ лето'!z1861-'[2]$ лето'!y1861-'[2]$ лето'!x1861-'[2]$ лето'!v1861-'[2]$ лето'!u1861-'[2]$ лето'!t1861-'[2]$ лето'!s1861-'[2]$ лето'!r1861-'[2]$ лето'!p1861-'[2]$ лето'!o1861-'[2]$ лето'!n1861-'[2]$ лето'!m1861-'[2]$ лето'!l1861+'[2]$ лето'!k1861+'[2]$ лето'!q1861+'[2]$ лето'!w1861+'[2]$ лето'!ac1861+'[2]$ лето'!ai1861+'[2]$ лето'!ao1861</f>
        <v>0</v>
      </c>
      <c r="I1861" s="109" t="n">
        <f aca="false">'[2]$ лето'!ay1861*1.1</f>
        <v>1624.48</v>
      </c>
    </row>
    <row r="1862" customFormat="false" ht="15" hidden="true" customHeight="false" outlineLevel="0" collapsed="false">
      <c r="A1862" s="115" t="s">
        <v>283</v>
      </c>
      <c r="B1862" s="115" t="s">
        <v>2421</v>
      </c>
      <c r="C1862" s="116" t="s">
        <v>2483</v>
      </c>
      <c r="D1862" s="116"/>
      <c r="E1862" s="116"/>
      <c r="F1862" s="116"/>
      <c r="G1862" s="108"/>
      <c r="H1862" s="105" t="n">
        <f aca="false">'[2]$ лето'!j1862-'[2]$ лето'!au1862-'[2]$ лето'!at1862-'[2]$ лето'!as1862-'[2]$ лето'!ar1862-'[2]$ лето'!aq1862-'[2]$ лето'!ap1862-'[2]$ лето'!an1862-'[2]$ лето'!am1862-'[2]$ лето'!al1862-'[2]$ лето'!ak1862-'[2]$ лето'!aj1862-'[2]$ лето'!ah1862-'[2]$ лето'!ag1862-'[2]$ лето'!af1862-'[2]$ лето'!ae1862-'[2]$ лето'!ad1862-'[2]$ лето'!ab1862-'[2]$ лето'!aa1862-'[2]$ лето'!z1862-'[2]$ лето'!y1862-'[2]$ лето'!x1862-'[2]$ лето'!v1862-'[2]$ лето'!u1862-'[2]$ лето'!t1862-'[2]$ лето'!s1862-'[2]$ лето'!r1862-'[2]$ лето'!p1862-'[2]$ лето'!o1862-'[2]$ лето'!n1862-'[2]$ лето'!m1862-'[2]$ лето'!l1862+'[2]$ лето'!k1862+'[2]$ лето'!q1862+'[2]$ лето'!w1862+'[2]$ лето'!ac1862+'[2]$ лето'!ai1862+'[2]$ лето'!ao1862</f>
        <v>0</v>
      </c>
      <c r="I1862" s="109" t="n">
        <f aca="false">'[2]$ лето'!ay1862*1.1</f>
        <v>1249.6</v>
      </c>
    </row>
    <row r="1863" customFormat="false" ht="15" hidden="true" customHeight="false" outlineLevel="0" collapsed="false">
      <c r="A1863" s="115" t="s">
        <v>283</v>
      </c>
      <c r="B1863" s="115" t="s">
        <v>2423</v>
      </c>
      <c r="C1863" s="126" t="s">
        <v>2424</v>
      </c>
      <c r="D1863" s="126"/>
      <c r="E1863" s="126"/>
      <c r="F1863" s="126"/>
      <c r="G1863" s="108"/>
      <c r="H1863" s="105" t="n">
        <f aca="false">'[2]$ лето'!j1863-'[2]$ лето'!au1863-'[2]$ лето'!at1863-'[2]$ лето'!as1863-'[2]$ лето'!ar1863-'[2]$ лето'!aq1863-'[2]$ лето'!ap1863-'[2]$ лето'!an1863-'[2]$ лето'!am1863-'[2]$ лето'!al1863-'[2]$ лето'!ak1863-'[2]$ лето'!aj1863-'[2]$ лето'!ah1863-'[2]$ лето'!ag1863-'[2]$ лето'!af1863-'[2]$ лето'!ae1863-'[2]$ лето'!ad1863-'[2]$ лето'!ab1863-'[2]$ лето'!aa1863-'[2]$ лето'!z1863-'[2]$ лето'!y1863-'[2]$ лето'!x1863-'[2]$ лето'!v1863-'[2]$ лето'!u1863-'[2]$ лето'!t1863-'[2]$ лето'!s1863-'[2]$ лето'!r1863-'[2]$ лето'!p1863-'[2]$ лето'!o1863-'[2]$ лето'!n1863-'[2]$ лето'!m1863-'[2]$ лето'!l1863+'[2]$ лето'!k1863+'[2]$ лето'!q1863+'[2]$ лето'!w1863+'[2]$ лето'!ac1863+'[2]$ лето'!ai1863+'[2]$ лето'!ao1863</f>
        <v>0</v>
      </c>
      <c r="I1863" s="109" t="n">
        <f aca="false">'[2]$ лето'!ay1863*1.1</f>
        <v>1312.08</v>
      </c>
    </row>
    <row r="1864" customFormat="false" ht="15" hidden="false" customHeight="false" outlineLevel="0" collapsed="false">
      <c r="A1864" s="115" t="s">
        <v>283</v>
      </c>
      <c r="B1864" s="115" t="s">
        <v>1537</v>
      </c>
      <c r="C1864" s="126" t="s">
        <v>2484</v>
      </c>
      <c r="D1864" s="126"/>
      <c r="E1864" s="126"/>
      <c r="F1864" s="126"/>
      <c r="G1864" s="108"/>
      <c r="H1864" s="105" t="n">
        <f aca="false">'[2]$ лето'!j1864-'[2]$ лето'!au1864-'[2]$ лето'!at1864-'[2]$ лето'!as1864-'[2]$ лето'!ar1864-'[2]$ лето'!aq1864-'[2]$ лето'!ap1864-'[2]$ лето'!an1864-'[2]$ лето'!am1864-'[2]$ лето'!al1864-'[2]$ лето'!ak1864-'[2]$ лето'!aj1864-'[2]$ лето'!ah1864-'[2]$ лето'!ag1864-'[2]$ лето'!af1864-'[2]$ лето'!ae1864-'[2]$ лето'!ad1864-'[2]$ лето'!ab1864-'[2]$ лето'!aa1864-'[2]$ лето'!z1864-'[2]$ лето'!y1864-'[2]$ лето'!x1864-'[2]$ лето'!v1864-'[2]$ лето'!u1864-'[2]$ лето'!t1864-'[2]$ лето'!s1864-'[2]$ лето'!r1864-'[2]$ лето'!p1864-'[2]$ лето'!o1864-'[2]$ лето'!n1864-'[2]$ лето'!m1864-'[2]$ лето'!l1864+'[2]$ лето'!k1864+'[2]$ лето'!q1864+'[2]$ лето'!w1864+'[2]$ лето'!ac1864+'[2]$ лето'!ai1864+'[2]$ лето'!ao1864</f>
        <v>4</v>
      </c>
      <c r="I1864" s="109" t="n">
        <f aca="false">'[2]$ лето'!ay1864*1.1</f>
        <v>1374.56</v>
      </c>
      <c r="J1864" s="85" t="n">
        <v>2018</v>
      </c>
    </row>
    <row r="1865" customFormat="false" ht="15" hidden="false" customHeight="false" outlineLevel="0" collapsed="false">
      <c r="A1865" s="115" t="s">
        <v>283</v>
      </c>
      <c r="B1865" s="115" t="s">
        <v>666</v>
      </c>
      <c r="C1865" s="116" t="s">
        <v>2485</v>
      </c>
      <c r="D1865" s="116"/>
      <c r="E1865" s="116"/>
      <c r="F1865" s="116"/>
      <c r="G1865" s="108" t="s">
        <v>2486</v>
      </c>
      <c r="H1865" s="105" t="n">
        <f aca="false">'[2]$ лето'!j1865-'[2]$ лето'!au1865-'[2]$ лето'!at1865-'[2]$ лето'!as1865-'[2]$ лето'!ar1865-'[2]$ лето'!aq1865-'[2]$ лето'!ap1865-'[2]$ лето'!an1865-'[2]$ лето'!am1865-'[2]$ лето'!al1865-'[2]$ лето'!ak1865-'[2]$ лето'!aj1865-'[2]$ лето'!ah1865-'[2]$ лето'!ag1865-'[2]$ лето'!af1865-'[2]$ лето'!ae1865-'[2]$ лето'!ad1865-'[2]$ лето'!ab1865-'[2]$ лето'!aa1865-'[2]$ лето'!z1865-'[2]$ лето'!y1865-'[2]$ лето'!x1865-'[2]$ лето'!v1865-'[2]$ лето'!u1865-'[2]$ лето'!t1865-'[2]$ лето'!s1865-'[2]$ лето'!r1865-'[2]$ лето'!p1865-'[2]$ лето'!o1865-'[2]$ лето'!n1865-'[2]$ лето'!m1865-'[2]$ лето'!l1865+'[2]$ лето'!k1865+'[2]$ лето'!q1865+'[2]$ лето'!w1865+'[2]$ лето'!ac1865+'[2]$ лето'!ai1865+'[2]$ лето'!ao1865</f>
        <v>2</v>
      </c>
      <c r="I1865" s="109" t="n">
        <f aca="false">'[2]$ лето'!ay1865*1.1</f>
        <v>1843.16</v>
      </c>
      <c r="J1865" s="85" t="n">
        <v>2018</v>
      </c>
    </row>
    <row r="1866" customFormat="false" ht="15" hidden="true" customHeight="false" outlineLevel="0" collapsed="false">
      <c r="A1866" s="115" t="s">
        <v>283</v>
      </c>
      <c r="B1866" s="115" t="s">
        <v>666</v>
      </c>
      <c r="C1866" s="116" t="s">
        <v>2487</v>
      </c>
      <c r="D1866" s="116"/>
      <c r="E1866" s="116"/>
      <c r="F1866" s="116"/>
      <c r="G1866" s="108" t="s">
        <v>631</v>
      </c>
      <c r="H1866" s="105" t="n">
        <f aca="false">'[2]$ лето'!j1866-'[2]$ лето'!au1866-'[2]$ лето'!at1866-'[2]$ лето'!as1866-'[2]$ лето'!ar1866-'[2]$ лето'!aq1866-'[2]$ лето'!ap1866-'[2]$ лето'!an1866-'[2]$ лето'!am1866-'[2]$ лето'!al1866-'[2]$ лето'!ak1866-'[2]$ лето'!aj1866-'[2]$ лето'!ah1866-'[2]$ лето'!ag1866-'[2]$ лето'!af1866-'[2]$ лето'!ae1866-'[2]$ лето'!ad1866-'[2]$ лето'!ab1866-'[2]$ лето'!aa1866-'[2]$ лето'!z1866-'[2]$ лето'!y1866-'[2]$ лето'!x1866-'[2]$ лето'!v1866-'[2]$ лето'!u1866-'[2]$ лето'!t1866-'[2]$ лето'!s1866-'[2]$ лето'!r1866-'[2]$ лето'!p1866-'[2]$ лето'!o1866-'[2]$ лето'!n1866-'[2]$ лето'!m1866-'[2]$ лето'!l1866+'[2]$ лето'!k1866+'[2]$ лето'!q1866+'[2]$ лето'!w1866+'[2]$ лето'!ac1866+'[2]$ лето'!ai1866+'[2]$ лето'!ao1866</f>
        <v>0</v>
      </c>
      <c r="I1866" s="109" t="n">
        <f aca="false">'[2]$ лето'!ay1866*1.1</f>
        <v>2061.84</v>
      </c>
      <c r="J1866" s="85" t="n">
        <v>2018</v>
      </c>
    </row>
    <row r="1867" customFormat="false" ht="15" hidden="true" customHeight="false" outlineLevel="0" collapsed="false">
      <c r="A1867" s="115" t="s">
        <v>283</v>
      </c>
      <c r="B1867" s="115" t="s">
        <v>572</v>
      </c>
      <c r="C1867" s="116" t="s">
        <v>2488</v>
      </c>
      <c r="D1867" s="116"/>
      <c r="E1867" s="116"/>
      <c r="F1867" s="116"/>
      <c r="G1867" s="108"/>
      <c r="H1867" s="105" t="n">
        <f aca="false">'[2]$ лето'!j1867-'[2]$ лето'!au1867-'[2]$ лето'!at1867-'[2]$ лето'!as1867-'[2]$ лето'!ar1867-'[2]$ лето'!aq1867-'[2]$ лето'!ap1867-'[2]$ лето'!an1867-'[2]$ лето'!am1867-'[2]$ лето'!al1867-'[2]$ лето'!ak1867-'[2]$ лето'!aj1867-'[2]$ лето'!ah1867-'[2]$ лето'!ag1867-'[2]$ лето'!af1867-'[2]$ лето'!ae1867-'[2]$ лето'!ad1867-'[2]$ лето'!ab1867-'[2]$ лето'!aa1867-'[2]$ лето'!z1867-'[2]$ лето'!y1867-'[2]$ лето'!x1867-'[2]$ лето'!v1867-'[2]$ лето'!u1867-'[2]$ лето'!t1867-'[2]$ лето'!s1867-'[2]$ лето'!r1867-'[2]$ лето'!p1867-'[2]$ лето'!o1867-'[2]$ лето'!n1867-'[2]$ лето'!m1867-'[2]$ лето'!l1867+'[2]$ лето'!k1867+'[2]$ лето'!q1867+'[2]$ лето'!w1867+'[2]$ лето'!ac1867+'[2]$ лето'!ai1867+'[2]$ лето'!ao1867</f>
        <v>0</v>
      </c>
      <c r="I1867" s="109" t="n">
        <f aca="false">'[2]$ лето'!ay1867*1.1</f>
        <v>2093.08</v>
      </c>
    </row>
    <row r="1868" customFormat="false" ht="15" hidden="true" customHeight="false" outlineLevel="0" collapsed="false">
      <c r="A1868" s="115" t="s">
        <v>283</v>
      </c>
      <c r="B1868" s="115" t="s">
        <v>668</v>
      </c>
      <c r="C1868" s="116" t="s">
        <v>2489</v>
      </c>
      <c r="D1868" s="116"/>
      <c r="E1868" s="116"/>
      <c r="F1868" s="116"/>
      <c r="G1868" s="108" t="s">
        <v>609</v>
      </c>
      <c r="H1868" s="105" t="n">
        <f aca="false">'[2]$ лето'!j1868-'[2]$ лето'!au1868-'[2]$ лето'!at1868-'[2]$ лето'!as1868-'[2]$ лето'!ar1868-'[2]$ лето'!aq1868-'[2]$ лето'!ap1868-'[2]$ лето'!an1868-'[2]$ лето'!am1868-'[2]$ лето'!al1868-'[2]$ лето'!ak1868-'[2]$ лето'!aj1868-'[2]$ лето'!ah1868-'[2]$ лето'!ag1868-'[2]$ лето'!af1868-'[2]$ лето'!ae1868-'[2]$ лето'!ad1868-'[2]$ лето'!ab1868-'[2]$ лето'!aa1868-'[2]$ лето'!z1868-'[2]$ лето'!y1868-'[2]$ лето'!x1868-'[2]$ лето'!v1868-'[2]$ лето'!u1868-'[2]$ лето'!t1868-'[2]$ лето'!s1868-'[2]$ лето'!r1868-'[2]$ лето'!p1868-'[2]$ лето'!o1868-'[2]$ лето'!n1868-'[2]$ лето'!m1868-'[2]$ лето'!l1868+'[2]$ лето'!k1868+'[2]$ лето'!q1868+'[2]$ лето'!w1868+'[2]$ лето'!ac1868+'[2]$ лето'!ai1868+'[2]$ лето'!ao1868</f>
        <v>0</v>
      </c>
      <c r="I1868" s="109" t="n">
        <f aca="false">'[2]$ лето'!ay1868*1.1</f>
        <v>1312.08</v>
      </c>
    </row>
    <row r="1869" customFormat="false" ht="15" hidden="true" customHeight="false" outlineLevel="0" collapsed="false">
      <c r="A1869" s="115" t="s">
        <v>283</v>
      </c>
      <c r="B1869" s="115" t="s">
        <v>577</v>
      </c>
      <c r="C1869" s="116" t="s">
        <v>2490</v>
      </c>
      <c r="D1869" s="116"/>
      <c r="E1869" s="116"/>
      <c r="F1869" s="116"/>
      <c r="G1869" s="108" t="s">
        <v>563</v>
      </c>
      <c r="H1869" s="105" t="n">
        <f aca="false">'[2]$ лето'!j1869-'[2]$ лето'!au1869-'[2]$ лето'!at1869-'[2]$ лето'!as1869-'[2]$ лето'!ar1869-'[2]$ лето'!aq1869-'[2]$ лето'!ap1869-'[2]$ лето'!an1869-'[2]$ лето'!am1869-'[2]$ лето'!al1869-'[2]$ лето'!ak1869-'[2]$ лето'!aj1869-'[2]$ лето'!ah1869-'[2]$ лето'!ag1869-'[2]$ лето'!af1869-'[2]$ лето'!ae1869-'[2]$ лето'!ad1869-'[2]$ лето'!ab1869-'[2]$ лето'!aa1869-'[2]$ лето'!z1869-'[2]$ лето'!y1869-'[2]$ лето'!x1869-'[2]$ лето'!v1869-'[2]$ лето'!u1869-'[2]$ лето'!t1869-'[2]$ лето'!s1869-'[2]$ лето'!r1869-'[2]$ лето'!p1869-'[2]$ лето'!o1869-'[2]$ лето'!n1869-'[2]$ лето'!m1869-'[2]$ лето'!l1869+'[2]$ лето'!k1869+'[2]$ лето'!q1869+'[2]$ лето'!w1869+'[2]$ лето'!ac1869+'[2]$ лето'!ai1869+'[2]$ лето'!ao1869</f>
        <v>0</v>
      </c>
      <c r="I1869" s="109" t="n">
        <f aca="false">'[2]$ лето'!ay1869*1.1</f>
        <v>1624.48</v>
      </c>
    </row>
    <row r="1870" customFormat="false" ht="15" hidden="false" customHeight="false" outlineLevel="0" collapsed="false">
      <c r="A1870" s="115" t="s">
        <v>283</v>
      </c>
      <c r="B1870" s="115" t="s">
        <v>574</v>
      </c>
      <c r="C1870" s="107" t="s">
        <v>2491</v>
      </c>
      <c r="D1870" s="107"/>
      <c r="E1870" s="116"/>
      <c r="F1870" s="116"/>
      <c r="G1870" s="108" t="s">
        <v>576</v>
      </c>
      <c r="H1870" s="105" t="n">
        <f aca="false">'[2]$ лето'!j1870-'[2]$ лето'!au1870-'[2]$ лето'!at1870-'[2]$ лето'!as1870-'[2]$ лето'!ar1870-'[2]$ лето'!aq1870-'[2]$ лето'!ap1870-'[2]$ лето'!an1870-'[2]$ лето'!am1870-'[2]$ лето'!al1870-'[2]$ лето'!ak1870-'[2]$ лето'!aj1870-'[2]$ лето'!ah1870-'[2]$ лето'!ag1870-'[2]$ лето'!af1870-'[2]$ лето'!ae1870-'[2]$ лето'!ad1870-'[2]$ лето'!ab1870-'[2]$ лето'!aa1870-'[2]$ лето'!z1870-'[2]$ лето'!y1870-'[2]$ лето'!x1870-'[2]$ лето'!v1870-'[2]$ лето'!u1870-'[2]$ лето'!t1870-'[2]$ лето'!s1870-'[2]$ лето'!r1870-'[2]$ лето'!p1870-'[2]$ лето'!o1870-'[2]$ лето'!n1870-'[2]$ лето'!m1870-'[2]$ лето'!l1870+'[2]$ лето'!k1870+'[2]$ лето'!q1870+'[2]$ лето'!w1870+'[2]$ лето'!ac1870+'[2]$ лето'!ai1870+'[2]$ лето'!ao1870</f>
        <v>4</v>
      </c>
      <c r="I1870" s="109" t="n">
        <f aca="false">'[2]$ лето'!ay1870*1.1</f>
        <v>1749.44</v>
      </c>
    </row>
    <row r="1871" customFormat="false" ht="15" hidden="false" customHeight="false" outlineLevel="0" collapsed="false">
      <c r="A1871" s="115" t="s">
        <v>283</v>
      </c>
      <c r="B1871" s="115" t="s">
        <v>574</v>
      </c>
      <c r="C1871" s="107" t="s">
        <v>2492</v>
      </c>
      <c r="D1871" s="107"/>
      <c r="E1871" s="116"/>
      <c r="F1871" s="116"/>
      <c r="G1871" s="108" t="s">
        <v>576</v>
      </c>
      <c r="H1871" s="105" t="n">
        <f aca="false">'[2]$ лето'!j1871-'[2]$ лето'!au1871-'[2]$ лето'!at1871-'[2]$ лето'!as1871-'[2]$ лето'!ar1871-'[2]$ лето'!aq1871-'[2]$ лето'!ap1871-'[2]$ лето'!an1871-'[2]$ лето'!am1871-'[2]$ лето'!al1871-'[2]$ лето'!ak1871-'[2]$ лето'!aj1871-'[2]$ лето'!ah1871-'[2]$ лето'!ag1871-'[2]$ лето'!af1871-'[2]$ лето'!ae1871-'[2]$ лето'!ad1871-'[2]$ лето'!ab1871-'[2]$ лето'!aa1871-'[2]$ лето'!z1871-'[2]$ лето'!y1871-'[2]$ лето'!x1871-'[2]$ лето'!v1871-'[2]$ лето'!u1871-'[2]$ лето'!t1871-'[2]$ лето'!s1871-'[2]$ лето'!r1871-'[2]$ лето'!p1871-'[2]$ лето'!o1871-'[2]$ лето'!n1871-'[2]$ лето'!m1871-'[2]$ лето'!l1871+'[2]$ лето'!k1871+'[2]$ лето'!q1871+'[2]$ лето'!w1871+'[2]$ лето'!ac1871+'[2]$ лето'!ai1871+'[2]$ лето'!ao1871</f>
        <v>18</v>
      </c>
      <c r="I1871" s="109" t="n">
        <f aca="false">'[2]$ лето'!ay1871*1.1</f>
        <v>1780.68</v>
      </c>
      <c r="J1871" s="85" t="n">
        <v>2017</v>
      </c>
    </row>
    <row r="1872" customFormat="false" ht="15" hidden="false" customHeight="false" outlineLevel="0" collapsed="false">
      <c r="A1872" s="115" t="s">
        <v>283</v>
      </c>
      <c r="B1872" s="115" t="s">
        <v>583</v>
      </c>
      <c r="C1872" s="126" t="s">
        <v>2493</v>
      </c>
      <c r="D1872" s="126"/>
      <c r="E1872" s="126"/>
      <c r="F1872" s="126"/>
      <c r="G1872" s="108"/>
      <c r="H1872" s="105" t="n">
        <f aca="false">'[2]$ лето'!j1872-'[2]$ лето'!au1872-'[2]$ лето'!at1872-'[2]$ лето'!as1872-'[2]$ лето'!ar1872-'[2]$ лето'!aq1872-'[2]$ лето'!ap1872-'[2]$ лето'!an1872-'[2]$ лето'!am1872-'[2]$ лето'!al1872-'[2]$ лето'!ak1872-'[2]$ лето'!aj1872-'[2]$ лето'!ah1872-'[2]$ лето'!ag1872-'[2]$ лето'!af1872-'[2]$ лето'!ae1872-'[2]$ лето'!ad1872-'[2]$ лето'!ab1872-'[2]$ лето'!aa1872-'[2]$ лето'!z1872-'[2]$ лето'!y1872-'[2]$ лето'!x1872-'[2]$ лето'!v1872-'[2]$ лето'!u1872-'[2]$ лето'!t1872-'[2]$ лето'!s1872-'[2]$ лето'!r1872-'[2]$ лето'!p1872-'[2]$ лето'!o1872-'[2]$ лето'!n1872-'[2]$ лето'!m1872-'[2]$ лето'!l1872+'[2]$ лето'!k1872+'[2]$ лето'!q1872+'[2]$ лето'!w1872+'[2]$ лето'!ac1872+'[2]$ лето'!ai1872+'[2]$ лето'!ao1872</f>
        <v>32</v>
      </c>
      <c r="I1872" s="109" t="n">
        <f aca="false">'[2]$ лето'!ay1872*1.1</f>
        <v>1811.92</v>
      </c>
      <c r="J1872" s="85" t="n">
        <v>2018</v>
      </c>
    </row>
    <row r="1873" customFormat="false" ht="15" hidden="false" customHeight="false" outlineLevel="0" collapsed="false">
      <c r="A1873" s="115" t="s">
        <v>283</v>
      </c>
      <c r="B1873" s="115" t="s">
        <v>583</v>
      </c>
      <c r="C1873" s="116" t="s">
        <v>2494</v>
      </c>
      <c r="D1873" s="116"/>
      <c r="E1873" s="116"/>
      <c r="F1873" s="116"/>
      <c r="G1873" s="108"/>
      <c r="H1873" s="105" t="n">
        <f aca="false">'[2]$ лето'!j1873-'[2]$ лето'!au1873-'[2]$ лето'!at1873-'[2]$ лето'!as1873-'[2]$ лето'!ar1873-'[2]$ лето'!aq1873-'[2]$ лето'!ap1873-'[2]$ лето'!an1873-'[2]$ лето'!am1873-'[2]$ лето'!al1873-'[2]$ лето'!ak1873-'[2]$ лето'!aj1873-'[2]$ лето'!ah1873-'[2]$ лето'!ag1873-'[2]$ лето'!af1873-'[2]$ лето'!ae1873-'[2]$ лето'!ad1873-'[2]$ лето'!ab1873-'[2]$ лето'!aa1873-'[2]$ лето'!z1873-'[2]$ лето'!y1873-'[2]$ лето'!x1873-'[2]$ лето'!v1873-'[2]$ лето'!u1873-'[2]$ лето'!t1873-'[2]$ лето'!s1873-'[2]$ лето'!r1873-'[2]$ лето'!p1873-'[2]$ лето'!o1873-'[2]$ лето'!n1873-'[2]$ лето'!m1873-'[2]$ лето'!l1873+'[2]$ лето'!k1873+'[2]$ лето'!q1873+'[2]$ лето'!w1873+'[2]$ лето'!ac1873+'[2]$ лето'!ai1873+'[2]$ лето'!ao1873</f>
        <v>1</v>
      </c>
      <c r="I1873" s="109" t="n">
        <f aca="false">'[2]$ лето'!ay1873*1.1</f>
        <v>781</v>
      </c>
    </row>
    <row r="1874" customFormat="false" ht="15" hidden="false" customHeight="false" outlineLevel="0" collapsed="false">
      <c r="A1874" s="115" t="s">
        <v>283</v>
      </c>
      <c r="B1874" s="115" t="s">
        <v>583</v>
      </c>
      <c r="C1874" s="116" t="s">
        <v>2495</v>
      </c>
      <c r="D1874" s="116"/>
      <c r="E1874" s="116"/>
      <c r="F1874" s="116"/>
      <c r="G1874" s="108" t="s">
        <v>631</v>
      </c>
      <c r="H1874" s="105" t="n">
        <f aca="false">'[2]$ лето'!j1874-'[2]$ лето'!au1874-'[2]$ лето'!at1874-'[2]$ лето'!as1874-'[2]$ лето'!ar1874-'[2]$ лето'!aq1874-'[2]$ лето'!ap1874-'[2]$ лето'!an1874-'[2]$ лето'!am1874-'[2]$ лето'!al1874-'[2]$ лето'!ak1874-'[2]$ лето'!aj1874-'[2]$ лето'!ah1874-'[2]$ лето'!ag1874-'[2]$ лето'!af1874-'[2]$ лето'!ae1874-'[2]$ лето'!ad1874-'[2]$ лето'!ab1874-'[2]$ лето'!aa1874-'[2]$ лето'!z1874-'[2]$ лето'!y1874-'[2]$ лето'!x1874-'[2]$ лето'!v1874-'[2]$ лето'!u1874-'[2]$ лето'!t1874-'[2]$ лето'!s1874-'[2]$ лето'!r1874-'[2]$ лето'!p1874-'[2]$ лето'!o1874-'[2]$ лето'!n1874-'[2]$ лето'!m1874-'[2]$ лето'!l1874+'[2]$ лето'!k1874+'[2]$ лето'!q1874+'[2]$ лето'!w1874+'[2]$ лето'!ac1874+'[2]$ лето'!ai1874+'[2]$ лето'!ao1874</f>
        <v>11</v>
      </c>
      <c r="I1874" s="109" t="n">
        <f aca="false">'[2]$ лето'!ay1874*1.1</f>
        <v>1593.24</v>
      </c>
    </row>
    <row r="1875" customFormat="false" ht="15" hidden="false" customHeight="false" outlineLevel="0" collapsed="false">
      <c r="A1875" s="115" t="s">
        <v>283</v>
      </c>
      <c r="B1875" s="115" t="s">
        <v>593</v>
      </c>
      <c r="C1875" s="116" t="s">
        <v>2496</v>
      </c>
      <c r="D1875" s="116"/>
      <c r="E1875" s="116"/>
      <c r="F1875" s="116"/>
      <c r="G1875" s="108" t="s">
        <v>933</v>
      </c>
      <c r="H1875" s="105" t="n">
        <f aca="false">'[2]$ лето'!j1875-'[2]$ лето'!au1875-'[2]$ лето'!at1875-'[2]$ лето'!as1875-'[2]$ лето'!ar1875-'[2]$ лето'!aq1875-'[2]$ лето'!ap1875-'[2]$ лето'!an1875-'[2]$ лето'!am1875-'[2]$ лето'!al1875-'[2]$ лето'!ak1875-'[2]$ лето'!aj1875-'[2]$ лето'!ah1875-'[2]$ лето'!ag1875-'[2]$ лето'!af1875-'[2]$ лето'!ae1875-'[2]$ лето'!ad1875-'[2]$ лето'!ab1875-'[2]$ лето'!aa1875-'[2]$ лето'!z1875-'[2]$ лето'!y1875-'[2]$ лето'!x1875-'[2]$ лето'!v1875-'[2]$ лето'!u1875-'[2]$ лето'!t1875-'[2]$ лето'!s1875-'[2]$ лето'!r1875-'[2]$ лето'!p1875-'[2]$ лето'!o1875-'[2]$ лето'!n1875-'[2]$ лето'!m1875-'[2]$ лето'!l1875+'[2]$ лето'!k1875+'[2]$ лето'!q1875+'[2]$ лето'!w1875+'[2]$ лето'!ac1875+'[2]$ лето'!ai1875+'[2]$ лето'!ao1875</f>
        <v>8</v>
      </c>
      <c r="I1875" s="109" t="n">
        <f aca="false">'[2]$ лето'!ay1875*1.1</f>
        <v>2655.4</v>
      </c>
      <c r="J1875" s="85" t="n">
        <v>2017</v>
      </c>
    </row>
    <row r="1876" customFormat="false" ht="15" hidden="false" customHeight="false" outlineLevel="0" collapsed="false">
      <c r="A1876" s="115" t="s">
        <v>283</v>
      </c>
      <c r="B1876" s="115" t="s">
        <v>586</v>
      </c>
      <c r="C1876" s="116" t="s">
        <v>2497</v>
      </c>
      <c r="D1876" s="116"/>
      <c r="E1876" s="116"/>
      <c r="F1876" s="116"/>
      <c r="G1876" s="108" t="s">
        <v>520</v>
      </c>
      <c r="H1876" s="105" t="n">
        <f aca="false">'[2]$ лето'!j1876-'[2]$ лето'!au1876-'[2]$ лето'!at1876-'[2]$ лето'!as1876-'[2]$ лето'!ar1876-'[2]$ лето'!aq1876-'[2]$ лето'!ap1876-'[2]$ лето'!an1876-'[2]$ лето'!am1876-'[2]$ лето'!al1876-'[2]$ лето'!ak1876-'[2]$ лето'!aj1876-'[2]$ лето'!ah1876-'[2]$ лето'!ag1876-'[2]$ лето'!af1876-'[2]$ лето'!ae1876-'[2]$ лето'!ad1876-'[2]$ лето'!ab1876-'[2]$ лето'!aa1876-'[2]$ лето'!z1876-'[2]$ лето'!y1876-'[2]$ лето'!x1876-'[2]$ лето'!v1876-'[2]$ лето'!u1876-'[2]$ лето'!t1876-'[2]$ лето'!s1876-'[2]$ лето'!r1876-'[2]$ лето'!p1876-'[2]$ лето'!o1876-'[2]$ лето'!n1876-'[2]$ лето'!m1876-'[2]$ лето'!l1876+'[2]$ лето'!k1876+'[2]$ лето'!q1876+'[2]$ лето'!w1876+'[2]$ лето'!ac1876+'[2]$ лето'!ai1876+'[2]$ лето'!ao1876</f>
        <v>8</v>
      </c>
      <c r="I1876" s="109" t="n">
        <f aca="false">'[2]$ лето'!ay1876*1.1</f>
        <v>1343.32</v>
      </c>
    </row>
    <row r="1877" customFormat="false" ht="15" hidden="false" customHeight="false" outlineLevel="0" collapsed="false">
      <c r="A1877" s="115" t="s">
        <v>283</v>
      </c>
      <c r="B1877" s="115" t="s">
        <v>1214</v>
      </c>
      <c r="C1877" s="116" t="s">
        <v>2498</v>
      </c>
      <c r="D1877" s="116" t="s">
        <v>582</v>
      </c>
      <c r="E1877" s="116" t="s">
        <v>2475</v>
      </c>
      <c r="F1877" s="116"/>
      <c r="G1877" s="108"/>
      <c r="H1877" s="105" t="n">
        <f aca="false">'[2]$ лето'!j1877-'[2]$ лето'!au1877-'[2]$ лето'!at1877-'[2]$ лето'!as1877-'[2]$ лето'!ar1877-'[2]$ лето'!aq1877-'[2]$ лето'!ap1877-'[2]$ лето'!an1877-'[2]$ лето'!am1877-'[2]$ лето'!al1877-'[2]$ лето'!ak1877-'[2]$ лето'!aj1877-'[2]$ лето'!ah1877-'[2]$ лето'!ag1877-'[2]$ лето'!af1877-'[2]$ лето'!ae1877-'[2]$ лето'!ad1877-'[2]$ лето'!ab1877-'[2]$ лето'!aa1877-'[2]$ лето'!z1877-'[2]$ лето'!y1877-'[2]$ лето'!x1877-'[2]$ лето'!v1877-'[2]$ лето'!u1877-'[2]$ лето'!t1877-'[2]$ лето'!s1877-'[2]$ лето'!r1877-'[2]$ лето'!p1877-'[2]$ лето'!o1877-'[2]$ лето'!n1877-'[2]$ лето'!m1877-'[2]$ лето'!l1877+'[2]$ лето'!k1877+'[2]$ лето'!q1877+'[2]$ лето'!w1877+'[2]$ лето'!ac1877+'[2]$ лето'!ai1877+'[2]$ лето'!ao1877</f>
        <v>18</v>
      </c>
      <c r="I1877" s="109" t="n">
        <f aca="false">'[2]$ лето'!ay1877*1.1</f>
        <v>1562</v>
      </c>
    </row>
    <row r="1878" customFormat="false" ht="15" hidden="false" customHeight="false" outlineLevel="0" collapsed="false">
      <c r="A1878" s="115" t="s">
        <v>283</v>
      </c>
      <c r="B1878" s="115" t="s">
        <v>762</v>
      </c>
      <c r="C1878" s="116" t="s">
        <v>2499</v>
      </c>
      <c r="D1878" s="116"/>
      <c r="E1878" s="116"/>
      <c r="F1878" s="116"/>
      <c r="G1878" s="108"/>
      <c r="H1878" s="105" t="n">
        <f aca="false">'[2]$ лето'!j1878-'[2]$ лето'!au1878-'[2]$ лето'!at1878-'[2]$ лето'!as1878-'[2]$ лето'!ar1878-'[2]$ лето'!aq1878-'[2]$ лето'!ap1878-'[2]$ лето'!an1878-'[2]$ лето'!am1878-'[2]$ лето'!al1878-'[2]$ лето'!ak1878-'[2]$ лето'!aj1878-'[2]$ лето'!ah1878-'[2]$ лето'!ag1878-'[2]$ лето'!af1878-'[2]$ лето'!ae1878-'[2]$ лето'!ad1878-'[2]$ лето'!ab1878-'[2]$ лето'!aa1878-'[2]$ лето'!z1878-'[2]$ лето'!y1878-'[2]$ лето'!x1878-'[2]$ лето'!v1878-'[2]$ лето'!u1878-'[2]$ лето'!t1878-'[2]$ лето'!s1878-'[2]$ лето'!r1878-'[2]$ лето'!p1878-'[2]$ лето'!o1878-'[2]$ лето'!n1878-'[2]$ лето'!m1878-'[2]$ лето'!l1878+'[2]$ лето'!k1878+'[2]$ лето'!q1878+'[2]$ лето'!w1878+'[2]$ лето'!ac1878+'[2]$ лето'!ai1878+'[2]$ лето'!ao1878</f>
        <v>6</v>
      </c>
      <c r="I1878" s="109" t="n">
        <f aca="false">'[2]$ лето'!ay1878*1.1</f>
        <v>1593.24</v>
      </c>
      <c r="J1878" s="85" t="n">
        <v>2018</v>
      </c>
    </row>
    <row r="1879" customFormat="false" ht="15" hidden="false" customHeight="false" outlineLevel="0" collapsed="false">
      <c r="A1879" s="115" t="s">
        <v>283</v>
      </c>
      <c r="B1879" s="115" t="s">
        <v>677</v>
      </c>
      <c r="C1879" s="116" t="s">
        <v>2500</v>
      </c>
      <c r="D1879" s="116"/>
      <c r="E1879" s="116"/>
      <c r="F1879" s="116"/>
      <c r="G1879" s="108"/>
      <c r="H1879" s="105" t="n">
        <f aca="false">'[2]$ лето'!j1879-'[2]$ лето'!au1879-'[2]$ лето'!at1879-'[2]$ лето'!as1879-'[2]$ лето'!ar1879-'[2]$ лето'!aq1879-'[2]$ лето'!ap1879-'[2]$ лето'!an1879-'[2]$ лето'!am1879-'[2]$ лето'!al1879-'[2]$ лето'!ak1879-'[2]$ лето'!aj1879-'[2]$ лето'!ah1879-'[2]$ лето'!ag1879-'[2]$ лето'!af1879-'[2]$ лето'!ae1879-'[2]$ лето'!ad1879-'[2]$ лето'!ab1879-'[2]$ лето'!aa1879-'[2]$ лето'!z1879-'[2]$ лето'!y1879-'[2]$ лето'!x1879-'[2]$ лето'!v1879-'[2]$ лето'!u1879-'[2]$ лето'!t1879-'[2]$ лето'!s1879-'[2]$ лето'!r1879-'[2]$ лето'!p1879-'[2]$ лето'!o1879-'[2]$ лето'!n1879-'[2]$ лето'!m1879-'[2]$ лето'!l1879+'[2]$ лето'!k1879+'[2]$ лето'!q1879+'[2]$ лето'!w1879+'[2]$ лето'!ac1879+'[2]$ лето'!ai1879+'[2]$ лето'!ao1879</f>
        <v>2</v>
      </c>
      <c r="I1879" s="109" t="n">
        <f aca="false">'[2]$ лето'!ay1879*1.1</f>
        <v>1499.52</v>
      </c>
      <c r="J1879" s="85" t="n">
        <v>2018</v>
      </c>
    </row>
    <row r="1880" customFormat="false" ht="15" hidden="false" customHeight="false" outlineLevel="0" collapsed="false">
      <c r="A1880" s="115" t="s">
        <v>283</v>
      </c>
      <c r="B1880" s="115" t="s">
        <v>564</v>
      </c>
      <c r="C1880" s="116" t="s">
        <v>2501</v>
      </c>
      <c r="D1880" s="116"/>
      <c r="E1880" s="116"/>
      <c r="F1880" s="116"/>
      <c r="G1880" s="108" t="s">
        <v>520</v>
      </c>
      <c r="H1880" s="105" t="n">
        <f aca="false">'[2]$ лето'!j1880-'[2]$ лето'!au1880-'[2]$ лето'!at1880-'[2]$ лето'!as1880-'[2]$ лето'!ar1880-'[2]$ лето'!aq1880-'[2]$ лето'!ap1880-'[2]$ лето'!an1880-'[2]$ лето'!am1880-'[2]$ лето'!al1880-'[2]$ лето'!ak1880-'[2]$ лето'!aj1880-'[2]$ лето'!ah1880-'[2]$ лето'!ag1880-'[2]$ лето'!af1880-'[2]$ лето'!ae1880-'[2]$ лето'!ad1880-'[2]$ лето'!ab1880-'[2]$ лето'!aa1880-'[2]$ лето'!z1880-'[2]$ лето'!y1880-'[2]$ лето'!x1880-'[2]$ лето'!v1880-'[2]$ лето'!u1880-'[2]$ лето'!t1880-'[2]$ лето'!s1880-'[2]$ лето'!r1880-'[2]$ лето'!p1880-'[2]$ лето'!o1880-'[2]$ лето'!n1880-'[2]$ лето'!m1880-'[2]$ лето'!l1880+'[2]$ лето'!k1880+'[2]$ лето'!q1880+'[2]$ лето'!w1880+'[2]$ лето'!ac1880+'[2]$ лето'!ai1880+'[2]$ лето'!ao1880</f>
        <v>2</v>
      </c>
      <c r="I1880" s="109" t="n">
        <f aca="false">'[2]$ лето'!ay1880*1.1</f>
        <v>1374.56</v>
      </c>
      <c r="J1880" s="85" t="n">
        <v>2017</v>
      </c>
    </row>
    <row r="1881" customFormat="false" ht="15" hidden="false" customHeight="false" outlineLevel="0" collapsed="false">
      <c r="A1881" s="115" t="s">
        <v>283</v>
      </c>
      <c r="B1881" s="115" t="s">
        <v>981</v>
      </c>
      <c r="C1881" s="116" t="s">
        <v>2502</v>
      </c>
      <c r="D1881" s="116"/>
      <c r="E1881" s="116"/>
      <c r="F1881" s="116"/>
      <c r="G1881" s="108" t="s">
        <v>570</v>
      </c>
      <c r="H1881" s="105" t="n">
        <f aca="false">'[2]$ лето'!j1881-'[2]$ лето'!au1881-'[2]$ лето'!at1881-'[2]$ лето'!as1881-'[2]$ лето'!ar1881-'[2]$ лето'!aq1881-'[2]$ лето'!ap1881-'[2]$ лето'!an1881-'[2]$ лето'!am1881-'[2]$ лето'!al1881-'[2]$ лето'!ak1881-'[2]$ лето'!aj1881-'[2]$ лето'!ah1881-'[2]$ лето'!ag1881-'[2]$ лето'!af1881-'[2]$ лето'!ae1881-'[2]$ лето'!ad1881-'[2]$ лето'!ab1881-'[2]$ лето'!aa1881-'[2]$ лето'!z1881-'[2]$ лето'!y1881-'[2]$ лето'!x1881-'[2]$ лето'!v1881-'[2]$ лето'!u1881-'[2]$ лето'!t1881-'[2]$ лето'!s1881-'[2]$ лето'!r1881-'[2]$ лето'!p1881-'[2]$ лето'!o1881-'[2]$ лето'!n1881-'[2]$ лето'!m1881-'[2]$ лето'!l1881+'[2]$ лето'!k1881+'[2]$ лето'!q1881+'[2]$ лето'!w1881+'[2]$ лето'!ac1881+'[2]$ лето'!ai1881+'[2]$ лето'!ao1881</f>
        <v>4</v>
      </c>
      <c r="I1881" s="109" t="n">
        <f aca="false">'[2]$ лето'!ay1881*1.1</f>
        <v>1624.48</v>
      </c>
      <c r="J1881" s="85" t="n">
        <v>2017</v>
      </c>
    </row>
    <row r="1882" customFormat="false" ht="15" hidden="true" customHeight="false" outlineLevel="0" collapsed="false">
      <c r="A1882" s="115" t="s">
        <v>2503</v>
      </c>
      <c r="B1882" s="115" t="s">
        <v>741</v>
      </c>
      <c r="C1882" s="116" t="s">
        <v>2504</v>
      </c>
      <c r="D1882" s="116"/>
      <c r="E1882" s="116"/>
      <c r="F1882" s="116"/>
      <c r="G1882" s="108"/>
      <c r="H1882" s="105" t="n">
        <f aca="false">'[2]$ лето'!j1882-'[2]$ лето'!au1882-'[2]$ лето'!at1882-'[2]$ лето'!as1882-'[2]$ лето'!ar1882-'[2]$ лето'!aq1882-'[2]$ лето'!ap1882-'[2]$ лето'!an1882-'[2]$ лето'!am1882-'[2]$ лето'!al1882-'[2]$ лето'!ak1882-'[2]$ лето'!aj1882-'[2]$ лето'!ah1882-'[2]$ лето'!ag1882-'[2]$ лето'!af1882-'[2]$ лето'!ae1882-'[2]$ лето'!ad1882-'[2]$ лето'!ab1882-'[2]$ лето'!aa1882-'[2]$ лето'!z1882-'[2]$ лето'!y1882-'[2]$ лето'!x1882-'[2]$ лето'!v1882-'[2]$ лето'!u1882-'[2]$ лето'!t1882-'[2]$ лето'!s1882-'[2]$ лето'!r1882-'[2]$ лето'!p1882-'[2]$ лето'!o1882-'[2]$ лето'!n1882-'[2]$ лето'!m1882-'[2]$ лето'!l1882+'[2]$ лето'!k1882+'[2]$ лето'!q1882+'[2]$ лето'!w1882+'[2]$ лето'!ac1882+'[2]$ лето'!ai1882+'[2]$ лето'!ao1882</f>
        <v>0</v>
      </c>
      <c r="I1882" s="109" t="n">
        <f aca="false">'[2]$ лето'!ay1882*1.1</f>
        <v>1562</v>
      </c>
    </row>
    <row r="1883" customFormat="false" ht="15" hidden="true" customHeight="false" outlineLevel="0" collapsed="false">
      <c r="A1883" s="115" t="s">
        <v>2503</v>
      </c>
      <c r="B1883" s="115" t="s">
        <v>574</v>
      </c>
      <c r="C1883" s="116" t="s">
        <v>2505</v>
      </c>
      <c r="D1883" s="116"/>
      <c r="E1883" s="116"/>
      <c r="F1883" s="116"/>
      <c r="G1883" s="108" t="s">
        <v>576</v>
      </c>
      <c r="H1883" s="105" t="n">
        <f aca="false">'[2]$ лето'!j1883-'[2]$ лето'!au1883-'[2]$ лето'!at1883-'[2]$ лето'!as1883-'[2]$ лето'!ar1883-'[2]$ лето'!aq1883-'[2]$ лето'!ap1883-'[2]$ лето'!an1883-'[2]$ лето'!am1883-'[2]$ лето'!al1883-'[2]$ лето'!ak1883-'[2]$ лето'!aj1883-'[2]$ лето'!ah1883-'[2]$ лето'!ag1883-'[2]$ лето'!af1883-'[2]$ лето'!ae1883-'[2]$ лето'!ad1883-'[2]$ лето'!ab1883-'[2]$ лето'!aa1883-'[2]$ лето'!z1883-'[2]$ лето'!y1883-'[2]$ лето'!x1883-'[2]$ лето'!v1883-'[2]$ лето'!u1883-'[2]$ лето'!t1883-'[2]$ лето'!s1883-'[2]$ лето'!r1883-'[2]$ лето'!p1883-'[2]$ лето'!o1883-'[2]$ лето'!n1883-'[2]$ лето'!m1883-'[2]$ лето'!l1883+'[2]$ лето'!k1883+'[2]$ лето'!q1883+'[2]$ лето'!w1883+'[2]$ лето'!ac1883+'[2]$ лето'!ai1883+'[2]$ лето'!ao1883</f>
        <v>0</v>
      </c>
      <c r="I1883" s="109" t="n">
        <f aca="false">'[2]$ лето'!ay1883*1.1</f>
        <v>0</v>
      </c>
    </row>
    <row r="1884" customFormat="false" ht="15" hidden="false" customHeight="false" outlineLevel="0" collapsed="false">
      <c r="A1884" s="115" t="s">
        <v>2503</v>
      </c>
      <c r="B1884" s="115" t="s">
        <v>583</v>
      </c>
      <c r="C1884" s="116" t="s">
        <v>2506</v>
      </c>
      <c r="D1884" s="116"/>
      <c r="E1884" s="116"/>
      <c r="F1884" s="116"/>
      <c r="G1884" s="108"/>
      <c r="H1884" s="105" t="n">
        <f aca="false">'[2]$ лето'!j1884-'[2]$ лето'!au1884-'[2]$ лето'!at1884-'[2]$ лето'!as1884-'[2]$ лето'!ar1884-'[2]$ лето'!aq1884-'[2]$ лето'!ap1884-'[2]$ лето'!an1884-'[2]$ лето'!am1884-'[2]$ лето'!al1884-'[2]$ лето'!ak1884-'[2]$ лето'!aj1884-'[2]$ лето'!ah1884-'[2]$ лето'!ag1884-'[2]$ лето'!af1884-'[2]$ лето'!ae1884-'[2]$ лето'!ad1884-'[2]$ лето'!ab1884-'[2]$ лето'!aa1884-'[2]$ лето'!z1884-'[2]$ лето'!y1884-'[2]$ лето'!x1884-'[2]$ лето'!v1884-'[2]$ лето'!u1884-'[2]$ лето'!t1884-'[2]$ лето'!s1884-'[2]$ лето'!r1884-'[2]$ лето'!p1884-'[2]$ лето'!o1884-'[2]$ лето'!n1884-'[2]$ лето'!m1884-'[2]$ лето'!l1884+'[2]$ лето'!k1884+'[2]$ лето'!q1884+'[2]$ лето'!w1884+'[2]$ лето'!ac1884+'[2]$ лето'!ai1884+'[2]$ лето'!ao1884</f>
        <v>4</v>
      </c>
      <c r="I1884" s="109" t="n">
        <f aca="false">'[2]$ лето'!ay1884*1.1</f>
        <v>1874.4</v>
      </c>
      <c r="J1884" s="85" t="n">
        <v>2017</v>
      </c>
    </row>
    <row r="1885" customFormat="false" ht="15" hidden="true" customHeight="false" outlineLevel="0" collapsed="false">
      <c r="A1885" s="115" t="s">
        <v>2503</v>
      </c>
      <c r="B1885" s="115" t="s">
        <v>583</v>
      </c>
      <c r="C1885" s="116" t="s">
        <v>2507</v>
      </c>
      <c r="D1885" s="116"/>
      <c r="E1885" s="116"/>
      <c r="F1885" s="116"/>
      <c r="G1885" s="108"/>
      <c r="H1885" s="105" t="n">
        <f aca="false">'[2]$ лето'!j1885-'[2]$ лето'!au1885-'[2]$ лето'!at1885-'[2]$ лето'!as1885-'[2]$ лето'!ar1885-'[2]$ лето'!aq1885-'[2]$ лето'!ap1885-'[2]$ лето'!an1885-'[2]$ лето'!am1885-'[2]$ лето'!al1885-'[2]$ лето'!ak1885-'[2]$ лето'!aj1885-'[2]$ лето'!ah1885-'[2]$ лето'!ag1885-'[2]$ лето'!af1885-'[2]$ лето'!ae1885-'[2]$ лето'!ad1885-'[2]$ лето'!ab1885-'[2]$ лето'!aa1885-'[2]$ лето'!z1885-'[2]$ лето'!y1885-'[2]$ лето'!x1885-'[2]$ лето'!v1885-'[2]$ лето'!u1885-'[2]$ лето'!t1885-'[2]$ лето'!s1885-'[2]$ лето'!r1885-'[2]$ лето'!p1885-'[2]$ лето'!o1885-'[2]$ лето'!n1885-'[2]$ лето'!m1885-'[2]$ лето'!l1885+'[2]$ лето'!k1885+'[2]$ лето'!q1885+'[2]$ лето'!w1885+'[2]$ лето'!ac1885+'[2]$ лето'!ai1885+'[2]$ лето'!ao1885</f>
        <v>0</v>
      </c>
      <c r="I1885" s="109" t="n">
        <f aca="false">'[2]$ лето'!ay1885*1.1</f>
        <v>1562</v>
      </c>
    </row>
    <row r="1886" customFormat="false" ht="15" hidden="true" customHeight="false" outlineLevel="0" collapsed="false">
      <c r="A1886" s="115" t="s">
        <v>289</v>
      </c>
      <c r="B1886" s="115" t="s">
        <v>568</v>
      </c>
      <c r="C1886" s="116" t="s">
        <v>2441</v>
      </c>
      <c r="D1886" s="116"/>
      <c r="E1886" s="116"/>
      <c r="F1886" s="116"/>
      <c r="G1886" s="108"/>
      <c r="H1886" s="105" t="n">
        <f aca="false">'[2]$ лето'!j1886-'[2]$ лето'!au1886-'[2]$ лето'!at1886-'[2]$ лето'!as1886-'[2]$ лето'!ar1886-'[2]$ лето'!aq1886-'[2]$ лето'!ap1886-'[2]$ лето'!an1886-'[2]$ лето'!am1886-'[2]$ лето'!al1886-'[2]$ лето'!ak1886-'[2]$ лето'!aj1886-'[2]$ лето'!ah1886-'[2]$ лето'!ag1886-'[2]$ лето'!af1886-'[2]$ лето'!ae1886-'[2]$ лето'!ad1886-'[2]$ лето'!ab1886-'[2]$ лето'!aa1886-'[2]$ лето'!z1886-'[2]$ лето'!y1886-'[2]$ лето'!x1886-'[2]$ лето'!v1886-'[2]$ лето'!u1886-'[2]$ лето'!t1886-'[2]$ лето'!s1886-'[2]$ лето'!r1886-'[2]$ лето'!p1886-'[2]$ лето'!o1886-'[2]$ лето'!n1886-'[2]$ лето'!m1886-'[2]$ лето'!l1886+'[2]$ лето'!k1886+'[2]$ лето'!q1886+'[2]$ лето'!w1886+'[2]$ лето'!ac1886+'[2]$ лето'!ai1886+'[2]$ лето'!ao1886</f>
        <v>0</v>
      </c>
      <c r="I1886" s="109" t="n">
        <f aca="false">'[2]$ лето'!ay1886*1.1</f>
        <v>1811.92</v>
      </c>
    </row>
    <row r="1887" customFormat="false" ht="15" hidden="true" customHeight="false" outlineLevel="0" collapsed="false">
      <c r="A1887" s="115" t="s">
        <v>289</v>
      </c>
      <c r="B1887" s="115" t="s">
        <v>844</v>
      </c>
      <c r="C1887" s="116" t="s">
        <v>2508</v>
      </c>
      <c r="D1887" s="116"/>
      <c r="E1887" s="116"/>
      <c r="F1887" s="116"/>
      <c r="G1887" s="108" t="s">
        <v>1240</v>
      </c>
      <c r="H1887" s="105" t="n">
        <f aca="false">'[2]$ лето'!j1887-'[2]$ лето'!au1887-'[2]$ лето'!at1887-'[2]$ лето'!as1887-'[2]$ лето'!ar1887-'[2]$ лето'!aq1887-'[2]$ лето'!ap1887-'[2]$ лето'!an1887-'[2]$ лето'!am1887-'[2]$ лето'!al1887-'[2]$ лето'!ak1887-'[2]$ лето'!aj1887-'[2]$ лето'!ah1887-'[2]$ лето'!ag1887-'[2]$ лето'!af1887-'[2]$ лето'!ae1887-'[2]$ лето'!ad1887-'[2]$ лето'!ab1887-'[2]$ лето'!aa1887-'[2]$ лето'!z1887-'[2]$ лето'!y1887-'[2]$ лето'!x1887-'[2]$ лето'!v1887-'[2]$ лето'!u1887-'[2]$ лето'!t1887-'[2]$ лето'!s1887-'[2]$ лето'!r1887-'[2]$ лето'!p1887-'[2]$ лето'!o1887-'[2]$ лето'!n1887-'[2]$ лето'!m1887-'[2]$ лето'!l1887+'[2]$ лето'!k1887+'[2]$ лето'!q1887+'[2]$ лето'!w1887+'[2]$ лето'!ac1887+'[2]$ лето'!ai1887+'[2]$ лето'!ao1887</f>
        <v>0</v>
      </c>
      <c r="I1887" s="109" t="n">
        <f aca="false">'[2]$ лето'!ay1887*1.1</f>
        <v>2280.52</v>
      </c>
    </row>
    <row r="1888" customFormat="false" ht="15" hidden="false" customHeight="false" outlineLevel="0" collapsed="false">
      <c r="A1888" s="115" t="s">
        <v>289</v>
      </c>
      <c r="B1888" s="115" t="s">
        <v>658</v>
      </c>
      <c r="C1888" s="116" t="s">
        <v>2509</v>
      </c>
      <c r="D1888" s="116"/>
      <c r="E1888" s="116"/>
      <c r="F1888" s="116"/>
      <c r="G1888" s="108"/>
      <c r="H1888" s="105" t="n">
        <f aca="false">'[2]$ лето'!j1888-'[2]$ лето'!au1888-'[2]$ лето'!at1888-'[2]$ лето'!as1888-'[2]$ лето'!ar1888-'[2]$ лето'!aq1888-'[2]$ лето'!ap1888-'[2]$ лето'!an1888-'[2]$ лето'!am1888-'[2]$ лето'!al1888-'[2]$ лето'!ak1888-'[2]$ лето'!aj1888-'[2]$ лето'!ah1888-'[2]$ лето'!ag1888-'[2]$ лето'!af1888-'[2]$ лето'!ae1888-'[2]$ лето'!ad1888-'[2]$ лето'!ab1888-'[2]$ лето'!aa1888-'[2]$ лето'!z1888-'[2]$ лето'!y1888-'[2]$ лето'!x1888-'[2]$ лето'!v1888-'[2]$ лето'!u1888-'[2]$ лето'!t1888-'[2]$ лето'!s1888-'[2]$ лето'!r1888-'[2]$ лето'!p1888-'[2]$ лето'!o1888-'[2]$ лето'!n1888-'[2]$ лето'!m1888-'[2]$ лето'!l1888+'[2]$ лето'!k1888+'[2]$ лето'!q1888+'[2]$ лето'!w1888+'[2]$ лето'!ac1888+'[2]$ лето'!ai1888+'[2]$ лето'!ao1888</f>
        <v>4</v>
      </c>
      <c r="I1888" s="109" t="n">
        <f aca="false">'[2]$ лето'!ay1888*1.1</f>
        <v>2436.72</v>
      </c>
    </row>
    <row r="1889" customFormat="false" ht="15" hidden="true" customHeight="false" outlineLevel="0" collapsed="false">
      <c r="A1889" s="115" t="s">
        <v>289</v>
      </c>
      <c r="B1889" s="115" t="s">
        <v>557</v>
      </c>
      <c r="C1889" s="107" t="s">
        <v>2476</v>
      </c>
      <c r="D1889" s="107"/>
      <c r="E1889" s="107"/>
      <c r="F1889" s="107"/>
      <c r="G1889" s="108"/>
      <c r="H1889" s="105" t="n">
        <f aca="false">'[2]$ лето'!j1889-'[2]$ лето'!au1889-'[2]$ лето'!at1889-'[2]$ лето'!as1889-'[2]$ лето'!ar1889-'[2]$ лето'!aq1889-'[2]$ лето'!ap1889-'[2]$ лето'!an1889-'[2]$ лето'!am1889-'[2]$ лето'!al1889-'[2]$ лето'!ak1889-'[2]$ лето'!aj1889-'[2]$ лето'!ah1889-'[2]$ лето'!ag1889-'[2]$ лето'!af1889-'[2]$ лето'!ae1889-'[2]$ лето'!ad1889-'[2]$ лето'!ab1889-'[2]$ лето'!aa1889-'[2]$ лето'!z1889-'[2]$ лето'!y1889-'[2]$ лето'!x1889-'[2]$ лето'!v1889-'[2]$ лето'!u1889-'[2]$ лето'!t1889-'[2]$ лето'!s1889-'[2]$ лето'!r1889-'[2]$ лето'!p1889-'[2]$ лето'!o1889-'[2]$ лето'!n1889-'[2]$ лето'!m1889-'[2]$ лето'!l1889+'[2]$ лето'!k1889+'[2]$ лето'!q1889+'[2]$ лето'!w1889+'[2]$ лето'!ac1889+'[2]$ лето'!ai1889+'[2]$ лето'!ao1889</f>
        <v>0</v>
      </c>
      <c r="I1889" s="109" t="n">
        <f aca="false">'[2]$ лето'!ay1889*1.1</f>
        <v>1562</v>
      </c>
    </row>
    <row r="1890" customFormat="false" ht="15" hidden="true" customHeight="false" outlineLevel="0" collapsed="false">
      <c r="A1890" s="115" t="s">
        <v>289</v>
      </c>
      <c r="B1890" s="115" t="s">
        <v>741</v>
      </c>
      <c r="C1890" s="116" t="s">
        <v>2510</v>
      </c>
      <c r="D1890" s="116"/>
      <c r="E1890" s="116"/>
      <c r="F1890" s="116"/>
      <c r="G1890" s="108" t="s">
        <v>1954</v>
      </c>
      <c r="H1890" s="105" t="n">
        <f aca="false">'[2]$ лето'!j1890-'[2]$ лето'!au1890-'[2]$ лето'!at1890-'[2]$ лето'!as1890-'[2]$ лето'!ar1890-'[2]$ лето'!aq1890-'[2]$ лето'!ap1890-'[2]$ лето'!an1890-'[2]$ лето'!am1890-'[2]$ лето'!al1890-'[2]$ лето'!ak1890-'[2]$ лето'!aj1890-'[2]$ лето'!ah1890-'[2]$ лето'!ag1890-'[2]$ лето'!af1890-'[2]$ лето'!ae1890-'[2]$ лето'!ad1890-'[2]$ лето'!ab1890-'[2]$ лето'!aa1890-'[2]$ лето'!z1890-'[2]$ лето'!y1890-'[2]$ лето'!x1890-'[2]$ лето'!v1890-'[2]$ лето'!u1890-'[2]$ лето'!t1890-'[2]$ лето'!s1890-'[2]$ лето'!r1890-'[2]$ лето'!p1890-'[2]$ лето'!o1890-'[2]$ лето'!n1890-'[2]$ лето'!m1890-'[2]$ лето'!l1890+'[2]$ лето'!k1890+'[2]$ лето'!q1890+'[2]$ лето'!w1890+'[2]$ лето'!ac1890+'[2]$ лето'!ai1890+'[2]$ лето'!ao1890</f>
        <v>0</v>
      </c>
      <c r="I1890" s="109" t="n">
        <f aca="false">'[2]$ лето'!ay1890*1.1</f>
        <v>2061.84</v>
      </c>
    </row>
    <row r="1891" customFormat="false" ht="15" hidden="false" customHeight="false" outlineLevel="0" collapsed="false">
      <c r="A1891" s="115" t="s">
        <v>289</v>
      </c>
      <c r="B1891" s="115" t="s">
        <v>666</v>
      </c>
      <c r="C1891" s="116" t="s">
        <v>2511</v>
      </c>
      <c r="D1891" s="116"/>
      <c r="E1891" s="116"/>
      <c r="F1891" s="116"/>
      <c r="G1891" s="108" t="s">
        <v>631</v>
      </c>
      <c r="H1891" s="105" t="n">
        <f aca="false">'[2]$ лето'!j1891-'[2]$ лето'!au1891-'[2]$ лето'!at1891-'[2]$ лето'!as1891-'[2]$ лето'!ar1891-'[2]$ лето'!aq1891-'[2]$ лето'!ap1891-'[2]$ лето'!an1891-'[2]$ лето'!am1891-'[2]$ лето'!al1891-'[2]$ лето'!ak1891-'[2]$ лето'!aj1891-'[2]$ лето'!ah1891-'[2]$ лето'!ag1891-'[2]$ лето'!af1891-'[2]$ лето'!ae1891-'[2]$ лето'!ad1891-'[2]$ лето'!ab1891-'[2]$ лето'!aa1891-'[2]$ лето'!z1891-'[2]$ лето'!y1891-'[2]$ лето'!x1891-'[2]$ лето'!v1891-'[2]$ лето'!u1891-'[2]$ лето'!t1891-'[2]$ лето'!s1891-'[2]$ лето'!r1891-'[2]$ лето'!p1891-'[2]$ лето'!o1891-'[2]$ лето'!n1891-'[2]$ лето'!m1891-'[2]$ лето'!l1891+'[2]$ лето'!k1891+'[2]$ лето'!q1891+'[2]$ лето'!w1891+'[2]$ лето'!ac1891+'[2]$ лето'!ai1891+'[2]$ лето'!ao1891</f>
        <v>4</v>
      </c>
      <c r="I1891" s="109" t="n">
        <f aca="false">'[2]$ лето'!ay1891*1.1</f>
        <v>2311.76</v>
      </c>
    </row>
    <row r="1892" customFormat="false" ht="15" hidden="true" customHeight="false" outlineLevel="0" collapsed="false">
      <c r="A1892" s="115" t="s">
        <v>289</v>
      </c>
      <c r="B1892" s="115" t="s">
        <v>668</v>
      </c>
      <c r="C1892" s="116" t="s">
        <v>2512</v>
      </c>
      <c r="D1892" s="116"/>
      <c r="E1892" s="116"/>
      <c r="F1892" s="116"/>
      <c r="G1892" s="108" t="s">
        <v>609</v>
      </c>
      <c r="H1892" s="105" t="n">
        <f aca="false">'[2]$ лето'!j1892-'[2]$ лето'!au1892-'[2]$ лето'!at1892-'[2]$ лето'!as1892-'[2]$ лето'!ar1892-'[2]$ лето'!aq1892-'[2]$ лето'!ap1892-'[2]$ лето'!an1892-'[2]$ лето'!am1892-'[2]$ лето'!al1892-'[2]$ лето'!ak1892-'[2]$ лето'!aj1892-'[2]$ лето'!ah1892-'[2]$ лето'!ag1892-'[2]$ лето'!af1892-'[2]$ лето'!ae1892-'[2]$ лето'!ad1892-'[2]$ лето'!ab1892-'[2]$ лето'!aa1892-'[2]$ лето'!z1892-'[2]$ лето'!y1892-'[2]$ лето'!x1892-'[2]$ лето'!v1892-'[2]$ лето'!u1892-'[2]$ лето'!t1892-'[2]$ лето'!s1892-'[2]$ лето'!r1892-'[2]$ лето'!p1892-'[2]$ лето'!o1892-'[2]$ лето'!n1892-'[2]$ лето'!m1892-'[2]$ лето'!l1892+'[2]$ лето'!k1892+'[2]$ лето'!q1892+'[2]$ лето'!w1892+'[2]$ лето'!ac1892+'[2]$ лето'!ai1892+'[2]$ лето'!ao1892</f>
        <v>0</v>
      </c>
      <c r="I1892" s="109" t="n">
        <f aca="false">'[2]$ лето'!ay1892*1.1</f>
        <v>2499.2</v>
      </c>
    </row>
    <row r="1893" customFormat="false" ht="15" hidden="false" customHeight="false" outlineLevel="0" collapsed="false">
      <c r="A1893" s="115" t="s">
        <v>289</v>
      </c>
      <c r="B1893" s="115" t="s">
        <v>574</v>
      </c>
      <c r="C1893" s="107" t="s">
        <v>2505</v>
      </c>
      <c r="D1893" s="107"/>
      <c r="E1893" s="116"/>
      <c r="F1893" s="116"/>
      <c r="G1893" s="108" t="s">
        <v>576</v>
      </c>
      <c r="H1893" s="105" t="n">
        <f aca="false">'[2]$ лето'!j1893-'[2]$ лето'!au1893-'[2]$ лето'!at1893-'[2]$ лето'!as1893-'[2]$ лето'!ar1893-'[2]$ лето'!aq1893-'[2]$ лето'!ap1893-'[2]$ лето'!an1893-'[2]$ лето'!am1893-'[2]$ лето'!al1893-'[2]$ лето'!ak1893-'[2]$ лето'!aj1893-'[2]$ лето'!ah1893-'[2]$ лето'!ag1893-'[2]$ лето'!af1893-'[2]$ лето'!ae1893-'[2]$ лето'!ad1893-'[2]$ лето'!ab1893-'[2]$ лето'!aa1893-'[2]$ лето'!z1893-'[2]$ лето'!y1893-'[2]$ лето'!x1893-'[2]$ лето'!v1893-'[2]$ лето'!u1893-'[2]$ лето'!t1893-'[2]$ лето'!s1893-'[2]$ лето'!r1893-'[2]$ лето'!p1893-'[2]$ лето'!o1893-'[2]$ лето'!n1893-'[2]$ лето'!m1893-'[2]$ лето'!l1893+'[2]$ лето'!k1893+'[2]$ лето'!q1893+'[2]$ лето'!w1893+'[2]$ лето'!ac1893+'[2]$ лето'!ai1893+'[2]$ лето'!ao1893</f>
        <v>2</v>
      </c>
      <c r="I1893" s="109" t="n">
        <f aca="false">'[2]$ лето'!ay1893*1.1</f>
        <v>2124.32</v>
      </c>
      <c r="J1893" s="85" t="s">
        <v>2513</v>
      </c>
    </row>
    <row r="1894" customFormat="false" ht="15" hidden="true" customHeight="false" outlineLevel="0" collapsed="false">
      <c r="A1894" s="115" t="s">
        <v>289</v>
      </c>
      <c r="B1894" s="115" t="s">
        <v>1471</v>
      </c>
      <c r="C1894" s="107" t="s">
        <v>2514</v>
      </c>
      <c r="D1894" s="107"/>
      <c r="E1894" s="107"/>
      <c r="F1894" s="107"/>
      <c r="G1894" s="108"/>
      <c r="H1894" s="105" t="n">
        <f aca="false">'[2]$ лето'!j1894-'[2]$ лето'!au1894-'[2]$ лето'!at1894-'[2]$ лето'!as1894-'[2]$ лето'!ar1894-'[2]$ лето'!aq1894-'[2]$ лето'!ap1894-'[2]$ лето'!an1894-'[2]$ лето'!am1894-'[2]$ лето'!al1894-'[2]$ лето'!ak1894-'[2]$ лето'!aj1894-'[2]$ лето'!ah1894-'[2]$ лето'!ag1894-'[2]$ лето'!af1894-'[2]$ лето'!ae1894-'[2]$ лето'!ad1894-'[2]$ лето'!ab1894-'[2]$ лето'!aa1894-'[2]$ лето'!z1894-'[2]$ лето'!y1894-'[2]$ лето'!x1894-'[2]$ лето'!v1894-'[2]$ лето'!u1894-'[2]$ лето'!t1894-'[2]$ лето'!s1894-'[2]$ лето'!r1894-'[2]$ лето'!p1894-'[2]$ лето'!o1894-'[2]$ лето'!n1894-'[2]$ лето'!m1894-'[2]$ лето'!l1894+'[2]$ лето'!k1894+'[2]$ лето'!q1894+'[2]$ лето'!w1894+'[2]$ лето'!ac1894+'[2]$ лето'!ai1894+'[2]$ лето'!ao1894</f>
        <v>0</v>
      </c>
      <c r="I1894" s="109" t="n">
        <f aca="false">'[2]$ лето'!ay1894*1.1</f>
        <v>1249.6</v>
      </c>
      <c r="J1894" s="85" t="n">
        <v>2012</v>
      </c>
    </row>
    <row r="1895" customFormat="false" ht="15" hidden="false" customHeight="false" outlineLevel="0" collapsed="false">
      <c r="A1895" s="115" t="s">
        <v>289</v>
      </c>
      <c r="B1895" s="115" t="s">
        <v>583</v>
      </c>
      <c r="C1895" s="107" t="s">
        <v>2515</v>
      </c>
      <c r="D1895" s="107"/>
      <c r="E1895" s="116"/>
      <c r="F1895" s="116"/>
      <c r="G1895" s="108" t="s">
        <v>585</v>
      </c>
      <c r="H1895" s="105" t="n">
        <f aca="false">'[2]$ лето'!j1895-'[2]$ лето'!au1895-'[2]$ лето'!at1895-'[2]$ лето'!as1895-'[2]$ лето'!ar1895-'[2]$ лето'!aq1895-'[2]$ лето'!ap1895-'[2]$ лето'!an1895-'[2]$ лето'!am1895-'[2]$ лето'!al1895-'[2]$ лето'!ak1895-'[2]$ лето'!aj1895-'[2]$ лето'!ah1895-'[2]$ лето'!ag1895-'[2]$ лето'!af1895-'[2]$ лето'!ae1895-'[2]$ лето'!ad1895-'[2]$ лето'!ab1895-'[2]$ лето'!aa1895-'[2]$ лето'!z1895-'[2]$ лето'!y1895-'[2]$ лето'!x1895-'[2]$ лето'!v1895-'[2]$ лето'!u1895-'[2]$ лето'!t1895-'[2]$ лето'!s1895-'[2]$ лето'!r1895-'[2]$ лето'!p1895-'[2]$ лето'!o1895-'[2]$ лето'!n1895-'[2]$ лето'!m1895-'[2]$ лето'!l1895+'[2]$ лето'!k1895+'[2]$ лето'!q1895+'[2]$ лето'!w1895+'[2]$ лето'!ac1895+'[2]$ лето'!ai1895+'[2]$ лето'!ao1895</f>
        <v>8</v>
      </c>
      <c r="I1895" s="109" t="n">
        <f aca="false">'[2]$ лето'!ay1895*1.1</f>
        <v>2124.32</v>
      </c>
    </row>
    <row r="1896" customFormat="false" ht="15" hidden="false" customHeight="false" outlineLevel="0" collapsed="false">
      <c r="A1896" s="115" t="s">
        <v>289</v>
      </c>
      <c r="B1896" s="115" t="s">
        <v>583</v>
      </c>
      <c r="C1896" s="107" t="s">
        <v>2451</v>
      </c>
      <c r="D1896" s="107"/>
      <c r="E1896" s="116"/>
      <c r="F1896" s="116"/>
      <c r="G1896" s="108"/>
      <c r="H1896" s="105" t="n">
        <f aca="false">'[2]$ лето'!j1896-'[2]$ лето'!au1896-'[2]$ лето'!at1896-'[2]$ лето'!as1896-'[2]$ лето'!ar1896-'[2]$ лето'!aq1896-'[2]$ лето'!ap1896-'[2]$ лето'!an1896-'[2]$ лето'!am1896-'[2]$ лето'!al1896-'[2]$ лето'!ak1896-'[2]$ лето'!aj1896-'[2]$ лето'!ah1896-'[2]$ лето'!ag1896-'[2]$ лето'!af1896-'[2]$ лето'!ae1896-'[2]$ лето'!ad1896-'[2]$ лето'!ab1896-'[2]$ лето'!aa1896-'[2]$ лето'!z1896-'[2]$ лето'!y1896-'[2]$ лето'!x1896-'[2]$ лето'!v1896-'[2]$ лето'!u1896-'[2]$ лето'!t1896-'[2]$ лето'!s1896-'[2]$ лето'!r1896-'[2]$ лето'!p1896-'[2]$ лето'!o1896-'[2]$ лето'!n1896-'[2]$ лето'!m1896-'[2]$ лето'!l1896+'[2]$ лето'!k1896+'[2]$ лето'!q1896+'[2]$ лето'!w1896+'[2]$ лето'!ac1896+'[2]$ лето'!ai1896+'[2]$ лето'!ao1896</f>
        <v>4</v>
      </c>
      <c r="I1896" s="109" t="n">
        <f aca="false">'[2]$ лето'!ay1896*1.1</f>
        <v>2030.6</v>
      </c>
    </row>
    <row r="1897" customFormat="false" ht="15" hidden="false" customHeight="false" outlineLevel="0" collapsed="false">
      <c r="A1897" s="115" t="s">
        <v>289</v>
      </c>
      <c r="B1897" s="115" t="s">
        <v>593</v>
      </c>
      <c r="C1897" s="116" t="s">
        <v>2452</v>
      </c>
      <c r="D1897" s="116"/>
      <c r="E1897" s="116"/>
      <c r="F1897" s="116"/>
      <c r="G1897" s="108" t="s">
        <v>933</v>
      </c>
      <c r="H1897" s="105" t="n">
        <f aca="false">'[2]$ лето'!j1897-'[2]$ лето'!au1897-'[2]$ лето'!at1897-'[2]$ лето'!as1897-'[2]$ лето'!ar1897-'[2]$ лето'!aq1897-'[2]$ лето'!ap1897-'[2]$ лето'!an1897-'[2]$ лето'!am1897-'[2]$ лето'!al1897-'[2]$ лето'!ak1897-'[2]$ лето'!aj1897-'[2]$ лето'!ah1897-'[2]$ лето'!ag1897-'[2]$ лето'!af1897-'[2]$ лето'!ae1897-'[2]$ лето'!ad1897-'[2]$ лето'!ab1897-'[2]$ лето'!aa1897-'[2]$ лето'!z1897-'[2]$ лето'!y1897-'[2]$ лето'!x1897-'[2]$ лето'!v1897-'[2]$ лето'!u1897-'[2]$ лето'!t1897-'[2]$ лето'!s1897-'[2]$ лето'!r1897-'[2]$ лето'!p1897-'[2]$ лето'!o1897-'[2]$ лето'!n1897-'[2]$ лето'!m1897-'[2]$ лето'!l1897+'[2]$ лето'!k1897+'[2]$ лето'!q1897+'[2]$ лето'!w1897+'[2]$ лето'!ac1897+'[2]$ лето'!ai1897+'[2]$ лето'!ao1897</f>
        <v>20</v>
      </c>
      <c r="I1897" s="109" t="n">
        <f aca="false">'[2]$ лето'!ay1897*1.1</f>
        <v>3436.4</v>
      </c>
      <c r="J1897" s="85" t="n">
        <v>2017</v>
      </c>
    </row>
    <row r="1898" customFormat="false" ht="15" hidden="true" customHeight="false" outlineLevel="0" collapsed="false">
      <c r="A1898" s="115" t="s">
        <v>289</v>
      </c>
      <c r="B1898" s="115" t="s">
        <v>586</v>
      </c>
      <c r="C1898" s="116" t="s">
        <v>2516</v>
      </c>
      <c r="D1898" s="116"/>
      <c r="E1898" s="116"/>
      <c r="F1898" s="116"/>
      <c r="G1898" s="108" t="s">
        <v>520</v>
      </c>
      <c r="H1898" s="105" t="n">
        <f aca="false">'[2]$ лето'!j1898-'[2]$ лето'!au1898-'[2]$ лето'!at1898-'[2]$ лето'!as1898-'[2]$ лето'!ar1898-'[2]$ лето'!aq1898-'[2]$ лето'!ap1898-'[2]$ лето'!an1898-'[2]$ лето'!am1898-'[2]$ лето'!al1898-'[2]$ лето'!ak1898-'[2]$ лето'!aj1898-'[2]$ лето'!ah1898-'[2]$ лето'!ag1898-'[2]$ лето'!af1898-'[2]$ лето'!ae1898-'[2]$ лето'!ad1898-'[2]$ лето'!ab1898-'[2]$ лето'!aa1898-'[2]$ лето'!z1898-'[2]$ лето'!y1898-'[2]$ лето'!x1898-'[2]$ лето'!v1898-'[2]$ лето'!u1898-'[2]$ лето'!t1898-'[2]$ лето'!s1898-'[2]$ лето'!r1898-'[2]$ лето'!p1898-'[2]$ лето'!o1898-'[2]$ лето'!n1898-'[2]$ лето'!m1898-'[2]$ лето'!l1898+'[2]$ лето'!k1898+'[2]$ лето'!q1898+'[2]$ лето'!w1898+'[2]$ лето'!ac1898+'[2]$ лето'!ai1898+'[2]$ лето'!ao1898</f>
        <v>0</v>
      </c>
      <c r="I1898" s="109" t="n">
        <f aca="false">'[2]$ лето'!ay1898*1.1</f>
        <v>1405.8</v>
      </c>
    </row>
    <row r="1899" customFormat="false" ht="15" hidden="false" customHeight="false" outlineLevel="0" collapsed="false">
      <c r="A1899" s="115" t="s">
        <v>289</v>
      </c>
      <c r="B1899" s="115" t="s">
        <v>621</v>
      </c>
      <c r="C1899" s="116" t="s">
        <v>2517</v>
      </c>
      <c r="D1899" s="116"/>
      <c r="E1899" s="116"/>
      <c r="F1899" s="116"/>
      <c r="G1899" s="108" t="s">
        <v>520</v>
      </c>
      <c r="H1899" s="105" t="n">
        <f aca="false">'[2]$ лето'!j1899-'[2]$ лето'!au1899-'[2]$ лето'!at1899-'[2]$ лето'!as1899-'[2]$ лето'!ar1899-'[2]$ лето'!aq1899-'[2]$ лето'!ap1899-'[2]$ лето'!an1899-'[2]$ лето'!am1899-'[2]$ лето'!al1899-'[2]$ лето'!ak1899-'[2]$ лето'!aj1899-'[2]$ лето'!ah1899-'[2]$ лето'!ag1899-'[2]$ лето'!af1899-'[2]$ лето'!ae1899-'[2]$ лето'!ad1899-'[2]$ лето'!ab1899-'[2]$ лето'!aa1899-'[2]$ лето'!z1899-'[2]$ лето'!y1899-'[2]$ лето'!x1899-'[2]$ лето'!v1899-'[2]$ лето'!u1899-'[2]$ лето'!t1899-'[2]$ лето'!s1899-'[2]$ лето'!r1899-'[2]$ лето'!p1899-'[2]$ лето'!o1899-'[2]$ лето'!n1899-'[2]$ лето'!m1899-'[2]$ лето'!l1899+'[2]$ лето'!k1899+'[2]$ лето'!q1899+'[2]$ лето'!w1899+'[2]$ лето'!ac1899+'[2]$ лето'!ai1899+'[2]$ лето'!ao1899</f>
        <v>2</v>
      </c>
      <c r="I1899" s="109" t="n">
        <f aca="false">'[2]$ лето'!ay1899*1.1</f>
        <v>1624.48</v>
      </c>
    </row>
    <row r="1900" customFormat="false" ht="15" hidden="false" customHeight="false" outlineLevel="0" collapsed="false">
      <c r="A1900" s="115" t="s">
        <v>289</v>
      </c>
      <c r="B1900" s="115" t="s">
        <v>564</v>
      </c>
      <c r="C1900" s="116" t="s">
        <v>2518</v>
      </c>
      <c r="D1900" s="116"/>
      <c r="E1900" s="116"/>
      <c r="F1900" s="116"/>
      <c r="G1900" s="108" t="s">
        <v>520</v>
      </c>
      <c r="H1900" s="105" t="n">
        <f aca="false">'[2]$ лето'!j1900-'[2]$ лето'!au1900-'[2]$ лето'!at1900-'[2]$ лето'!as1900-'[2]$ лето'!ar1900-'[2]$ лето'!aq1900-'[2]$ лето'!ap1900-'[2]$ лето'!an1900-'[2]$ лето'!am1900-'[2]$ лето'!al1900-'[2]$ лето'!ak1900-'[2]$ лето'!aj1900-'[2]$ лето'!ah1900-'[2]$ лето'!ag1900-'[2]$ лето'!af1900-'[2]$ лето'!ae1900-'[2]$ лето'!ad1900-'[2]$ лето'!ab1900-'[2]$ лето'!aa1900-'[2]$ лето'!z1900-'[2]$ лето'!y1900-'[2]$ лето'!x1900-'[2]$ лето'!v1900-'[2]$ лето'!u1900-'[2]$ лето'!t1900-'[2]$ лето'!s1900-'[2]$ лето'!r1900-'[2]$ лето'!p1900-'[2]$ лето'!o1900-'[2]$ лето'!n1900-'[2]$ лето'!m1900-'[2]$ лето'!l1900+'[2]$ лето'!k1900+'[2]$ лето'!q1900+'[2]$ лето'!w1900+'[2]$ лето'!ac1900+'[2]$ лето'!ai1900+'[2]$ лето'!ao1900</f>
        <v>6</v>
      </c>
      <c r="I1900" s="109" t="n">
        <f aca="false">'[2]$ лето'!ay1900*1.1</f>
        <v>1905.64</v>
      </c>
    </row>
    <row r="1901" customFormat="false" ht="15" hidden="true" customHeight="false" outlineLevel="0" collapsed="false">
      <c r="A1901" s="115" t="s">
        <v>290</v>
      </c>
      <c r="B1901" s="115" t="s">
        <v>568</v>
      </c>
      <c r="C1901" s="107" t="s">
        <v>2519</v>
      </c>
      <c r="D1901" s="107"/>
      <c r="E1901" s="107"/>
      <c r="F1901" s="107"/>
      <c r="G1901" s="108"/>
      <c r="H1901" s="105" t="n">
        <f aca="false">'[2]$ лето'!j1901-'[2]$ лето'!au1901-'[2]$ лето'!at1901-'[2]$ лето'!as1901-'[2]$ лето'!ar1901-'[2]$ лето'!aq1901-'[2]$ лето'!ap1901-'[2]$ лето'!an1901-'[2]$ лето'!am1901-'[2]$ лето'!al1901-'[2]$ лето'!ak1901-'[2]$ лето'!aj1901-'[2]$ лето'!ah1901-'[2]$ лето'!ag1901-'[2]$ лето'!af1901-'[2]$ лето'!ae1901-'[2]$ лето'!ad1901-'[2]$ лето'!ab1901-'[2]$ лето'!aa1901-'[2]$ лето'!z1901-'[2]$ лето'!y1901-'[2]$ лето'!x1901-'[2]$ лето'!v1901-'[2]$ лето'!u1901-'[2]$ лето'!t1901-'[2]$ лето'!s1901-'[2]$ лето'!r1901-'[2]$ лето'!p1901-'[2]$ лето'!o1901-'[2]$ лето'!n1901-'[2]$ лето'!m1901-'[2]$ лето'!l1901+'[2]$ лето'!k1901+'[2]$ лето'!q1901+'[2]$ лето'!w1901+'[2]$ лето'!ac1901+'[2]$ лето'!ai1901+'[2]$ лето'!ao1901</f>
        <v>0</v>
      </c>
      <c r="I1901" s="109" t="n">
        <f aca="false">'[2]$ лето'!ay1901*1.1</f>
        <v>2811.6</v>
      </c>
    </row>
    <row r="1902" customFormat="false" ht="15" hidden="true" customHeight="false" outlineLevel="0" collapsed="false">
      <c r="A1902" s="115" t="s">
        <v>290</v>
      </c>
      <c r="B1902" s="115" t="s">
        <v>844</v>
      </c>
      <c r="C1902" s="107" t="s">
        <v>2520</v>
      </c>
      <c r="D1902" s="107"/>
      <c r="E1902" s="107"/>
      <c r="F1902" s="107"/>
      <c r="G1902" s="108" t="s">
        <v>1075</v>
      </c>
      <c r="H1902" s="105" t="n">
        <f aca="false">'[2]$ лето'!j1902-'[2]$ лето'!au1902-'[2]$ лето'!at1902-'[2]$ лето'!as1902-'[2]$ лето'!ar1902-'[2]$ лето'!aq1902-'[2]$ лето'!ap1902-'[2]$ лето'!an1902-'[2]$ лето'!am1902-'[2]$ лето'!al1902-'[2]$ лето'!ak1902-'[2]$ лето'!aj1902-'[2]$ лето'!ah1902-'[2]$ лето'!ag1902-'[2]$ лето'!af1902-'[2]$ лето'!ae1902-'[2]$ лето'!ad1902-'[2]$ лето'!ab1902-'[2]$ лето'!aa1902-'[2]$ лето'!z1902-'[2]$ лето'!y1902-'[2]$ лето'!x1902-'[2]$ лето'!v1902-'[2]$ лето'!u1902-'[2]$ лето'!t1902-'[2]$ лето'!s1902-'[2]$ лето'!r1902-'[2]$ лето'!p1902-'[2]$ лето'!o1902-'[2]$ лето'!n1902-'[2]$ лето'!m1902-'[2]$ лето'!l1902+'[2]$ лето'!k1902+'[2]$ лето'!q1902+'[2]$ лето'!w1902+'[2]$ лето'!ac1902+'[2]$ лето'!ai1902+'[2]$ лето'!ao1902</f>
        <v>0</v>
      </c>
      <c r="I1902" s="109" t="n">
        <f aca="false">'[2]$ лето'!ay1902*1.1</f>
        <v>2436.72</v>
      </c>
    </row>
    <row r="1903" customFormat="false" ht="15" hidden="true" customHeight="false" outlineLevel="0" collapsed="false">
      <c r="A1903" s="115" t="s">
        <v>290</v>
      </c>
      <c r="B1903" s="115" t="s">
        <v>601</v>
      </c>
      <c r="C1903" s="107" t="s">
        <v>2521</v>
      </c>
      <c r="D1903" s="107"/>
      <c r="E1903" s="107"/>
      <c r="F1903" s="107"/>
      <c r="G1903" s="108"/>
      <c r="H1903" s="105" t="n">
        <f aca="false">'[2]$ лето'!j1903-'[2]$ лето'!au1903-'[2]$ лето'!at1903-'[2]$ лето'!as1903-'[2]$ лето'!ar1903-'[2]$ лето'!aq1903-'[2]$ лето'!ap1903-'[2]$ лето'!an1903-'[2]$ лето'!am1903-'[2]$ лето'!al1903-'[2]$ лето'!ak1903-'[2]$ лето'!aj1903-'[2]$ лето'!ah1903-'[2]$ лето'!ag1903-'[2]$ лето'!af1903-'[2]$ лето'!ae1903-'[2]$ лето'!ad1903-'[2]$ лето'!ab1903-'[2]$ лето'!aa1903-'[2]$ лето'!z1903-'[2]$ лето'!y1903-'[2]$ лето'!x1903-'[2]$ лето'!v1903-'[2]$ лето'!u1903-'[2]$ лето'!t1903-'[2]$ лето'!s1903-'[2]$ лето'!r1903-'[2]$ лето'!p1903-'[2]$ лето'!o1903-'[2]$ лето'!n1903-'[2]$ лето'!m1903-'[2]$ лето'!l1903+'[2]$ лето'!k1903+'[2]$ лето'!q1903+'[2]$ лето'!w1903+'[2]$ лето'!ac1903+'[2]$ лето'!ai1903+'[2]$ лето'!ao1903</f>
        <v>0</v>
      </c>
      <c r="I1903" s="109" t="n">
        <f aca="false">'[2]$ лето'!ay1903*1.1</f>
        <v>2811.6</v>
      </c>
    </row>
    <row r="1904" customFormat="false" ht="15" hidden="true" customHeight="false" outlineLevel="0" collapsed="false">
      <c r="A1904" s="115" t="s">
        <v>290</v>
      </c>
      <c r="B1904" s="115" t="s">
        <v>741</v>
      </c>
      <c r="C1904" s="107" t="s">
        <v>2522</v>
      </c>
      <c r="D1904" s="107"/>
      <c r="E1904" s="107"/>
      <c r="F1904" s="107"/>
      <c r="G1904" s="108"/>
      <c r="H1904" s="105" t="n">
        <f aca="false">'[2]$ лето'!j1904-'[2]$ лето'!au1904-'[2]$ лето'!at1904-'[2]$ лето'!as1904-'[2]$ лето'!ar1904-'[2]$ лето'!aq1904-'[2]$ лето'!ap1904-'[2]$ лето'!an1904-'[2]$ лето'!am1904-'[2]$ лето'!al1904-'[2]$ лето'!ak1904-'[2]$ лето'!aj1904-'[2]$ лето'!ah1904-'[2]$ лето'!ag1904-'[2]$ лето'!af1904-'[2]$ лето'!ae1904-'[2]$ лето'!ad1904-'[2]$ лето'!ab1904-'[2]$ лето'!aa1904-'[2]$ лето'!z1904-'[2]$ лето'!y1904-'[2]$ лето'!x1904-'[2]$ лето'!v1904-'[2]$ лето'!u1904-'[2]$ лето'!t1904-'[2]$ лето'!s1904-'[2]$ лето'!r1904-'[2]$ лето'!p1904-'[2]$ лето'!o1904-'[2]$ лето'!n1904-'[2]$ лето'!m1904-'[2]$ лето'!l1904+'[2]$ лето'!k1904+'[2]$ лето'!q1904+'[2]$ лето'!w1904+'[2]$ лето'!ac1904+'[2]$ лето'!ai1904+'[2]$ лето'!ao1904</f>
        <v>0</v>
      </c>
      <c r="I1904" s="109" t="n">
        <f aca="false">'[2]$ лето'!ay1904*1.1</f>
        <v>2311.76</v>
      </c>
    </row>
    <row r="1905" customFormat="false" ht="15" hidden="true" customHeight="false" outlineLevel="0" collapsed="false">
      <c r="A1905" s="115" t="s">
        <v>290</v>
      </c>
      <c r="B1905" s="115" t="s">
        <v>666</v>
      </c>
      <c r="C1905" s="107" t="s">
        <v>2523</v>
      </c>
      <c r="D1905" s="107"/>
      <c r="E1905" s="107"/>
      <c r="F1905" s="107"/>
      <c r="G1905" s="108" t="s">
        <v>1075</v>
      </c>
      <c r="H1905" s="105" t="n">
        <f aca="false">'[2]$ лето'!j1905-'[2]$ лето'!au1905-'[2]$ лето'!at1905-'[2]$ лето'!as1905-'[2]$ лето'!ar1905-'[2]$ лето'!aq1905-'[2]$ лето'!ap1905-'[2]$ лето'!an1905-'[2]$ лето'!am1905-'[2]$ лето'!al1905-'[2]$ лето'!ak1905-'[2]$ лето'!aj1905-'[2]$ лето'!ah1905-'[2]$ лето'!ag1905-'[2]$ лето'!af1905-'[2]$ лето'!ae1905-'[2]$ лето'!ad1905-'[2]$ лето'!ab1905-'[2]$ лето'!aa1905-'[2]$ лето'!z1905-'[2]$ лето'!y1905-'[2]$ лето'!x1905-'[2]$ лето'!v1905-'[2]$ лето'!u1905-'[2]$ лето'!t1905-'[2]$ лето'!s1905-'[2]$ лето'!r1905-'[2]$ лето'!p1905-'[2]$ лето'!o1905-'[2]$ лето'!n1905-'[2]$ лето'!m1905-'[2]$ лето'!l1905+'[2]$ лето'!k1905+'[2]$ лето'!q1905+'[2]$ лето'!w1905+'[2]$ лето'!ac1905+'[2]$ лето'!ai1905+'[2]$ лето'!ao1905</f>
        <v>0</v>
      </c>
      <c r="I1905" s="109" t="n">
        <f aca="false">'[2]$ лето'!ay1905*1.1</f>
        <v>2405.48</v>
      </c>
    </row>
    <row r="1906" customFormat="false" ht="15" hidden="true" customHeight="false" outlineLevel="0" collapsed="false">
      <c r="A1906" s="115" t="s">
        <v>290</v>
      </c>
      <c r="B1906" s="115" t="s">
        <v>574</v>
      </c>
      <c r="C1906" s="107" t="s">
        <v>2505</v>
      </c>
      <c r="D1906" s="107"/>
      <c r="E1906" s="107"/>
      <c r="F1906" s="107"/>
      <c r="G1906" s="108" t="s">
        <v>576</v>
      </c>
      <c r="H1906" s="105" t="n">
        <f aca="false">'[2]$ лето'!j1906-'[2]$ лето'!au1906-'[2]$ лето'!at1906-'[2]$ лето'!as1906-'[2]$ лето'!ar1906-'[2]$ лето'!aq1906-'[2]$ лето'!ap1906-'[2]$ лето'!an1906-'[2]$ лето'!am1906-'[2]$ лето'!al1906-'[2]$ лето'!ak1906-'[2]$ лето'!aj1906-'[2]$ лето'!ah1906-'[2]$ лето'!ag1906-'[2]$ лето'!af1906-'[2]$ лето'!ae1906-'[2]$ лето'!ad1906-'[2]$ лето'!ab1906-'[2]$ лето'!aa1906-'[2]$ лето'!z1906-'[2]$ лето'!y1906-'[2]$ лето'!x1906-'[2]$ лето'!v1906-'[2]$ лето'!u1906-'[2]$ лето'!t1906-'[2]$ лето'!s1906-'[2]$ лето'!r1906-'[2]$ лето'!p1906-'[2]$ лето'!o1906-'[2]$ лето'!n1906-'[2]$ лето'!m1906-'[2]$ лето'!l1906+'[2]$ лето'!k1906+'[2]$ лето'!q1906+'[2]$ лето'!w1906+'[2]$ лето'!ac1906+'[2]$ лето'!ai1906+'[2]$ лето'!ao1906</f>
        <v>0</v>
      </c>
      <c r="I1906" s="109" t="n">
        <f aca="false">'[2]$ лето'!ay1906*1.1</f>
        <v>2093.08</v>
      </c>
    </row>
    <row r="1907" customFormat="false" ht="15" hidden="true" customHeight="false" outlineLevel="0" collapsed="false">
      <c r="A1907" s="115" t="s">
        <v>290</v>
      </c>
      <c r="B1907" s="115" t="s">
        <v>583</v>
      </c>
      <c r="C1907" s="107" t="s">
        <v>2524</v>
      </c>
      <c r="D1907" s="107"/>
      <c r="E1907" s="107"/>
      <c r="F1907" s="107"/>
      <c r="G1907" s="108"/>
      <c r="H1907" s="105" t="n">
        <f aca="false">'[2]$ лето'!j1907-'[2]$ лето'!au1907-'[2]$ лето'!at1907-'[2]$ лето'!as1907-'[2]$ лето'!ar1907-'[2]$ лето'!aq1907-'[2]$ лето'!ap1907-'[2]$ лето'!an1907-'[2]$ лето'!am1907-'[2]$ лето'!al1907-'[2]$ лето'!ak1907-'[2]$ лето'!aj1907-'[2]$ лето'!ah1907-'[2]$ лето'!ag1907-'[2]$ лето'!af1907-'[2]$ лето'!ae1907-'[2]$ лето'!ad1907-'[2]$ лето'!ab1907-'[2]$ лето'!aa1907-'[2]$ лето'!z1907-'[2]$ лето'!y1907-'[2]$ лето'!x1907-'[2]$ лето'!v1907-'[2]$ лето'!u1907-'[2]$ лето'!t1907-'[2]$ лето'!s1907-'[2]$ лето'!r1907-'[2]$ лето'!p1907-'[2]$ лето'!o1907-'[2]$ лето'!n1907-'[2]$ лето'!m1907-'[2]$ лето'!l1907+'[2]$ лето'!k1907+'[2]$ лето'!q1907+'[2]$ лето'!w1907+'[2]$ лето'!ac1907+'[2]$ лето'!ai1907+'[2]$ лето'!ao1907</f>
        <v>0</v>
      </c>
      <c r="I1907" s="109" t="n">
        <f aca="false">'[2]$ лето'!ay1907*1.1</f>
        <v>1999.36</v>
      </c>
    </row>
    <row r="1908" customFormat="false" ht="15" hidden="true" customHeight="false" outlineLevel="0" collapsed="false">
      <c r="A1908" s="115" t="s">
        <v>290</v>
      </c>
      <c r="B1908" s="115" t="s">
        <v>593</v>
      </c>
      <c r="C1908" s="116" t="s">
        <v>2429</v>
      </c>
      <c r="D1908" s="116"/>
      <c r="E1908" s="116"/>
      <c r="F1908" s="116"/>
      <c r="G1908" s="108" t="s">
        <v>1240</v>
      </c>
      <c r="H1908" s="105" t="n">
        <f aca="false">'[2]$ лето'!j1908-'[2]$ лето'!au1908-'[2]$ лето'!at1908-'[2]$ лето'!as1908-'[2]$ лето'!ar1908-'[2]$ лето'!aq1908-'[2]$ лето'!ap1908-'[2]$ лето'!an1908-'[2]$ лето'!am1908-'[2]$ лето'!al1908-'[2]$ лето'!ak1908-'[2]$ лето'!aj1908-'[2]$ лето'!ah1908-'[2]$ лето'!ag1908-'[2]$ лето'!af1908-'[2]$ лето'!ae1908-'[2]$ лето'!ad1908-'[2]$ лето'!ab1908-'[2]$ лето'!aa1908-'[2]$ лето'!z1908-'[2]$ лето'!y1908-'[2]$ лето'!x1908-'[2]$ лето'!v1908-'[2]$ лето'!u1908-'[2]$ лето'!t1908-'[2]$ лето'!s1908-'[2]$ лето'!r1908-'[2]$ лето'!p1908-'[2]$ лето'!o1908-'[2]$ лето'!n1908-'[2]$ лето'!m1908-'[2]$ лето'!l1908+'[2]$ лето'!k1908+'[2]$ лето'!q1908+'[2]$ лето'!w1908+'[2]$ лето'!ac1908+'[2]$ лето'!ai1908+'[2]$ лето'!ao1908</f>
        <v>0</v>
      </c>
      <c r="I1908" s="109" t="n">
        <f aca="false">'[2]$ лето'!ay1908*1.1</f>
        <v>3124</v>
      </c>
    </row>
    <row r="1909" customFormat="false" ht="15" hidden="true" customHeight="false" outlineLevel="0" collapsed="false">
      <c r="A1909" s="115" t="s">
        <v>290</v>
      </c>
      <c r="B1909" s="115" t="s">
        <v>617</v>
      </c>
      <c r="C1909" s="116" t="s">
        <v>2525</v>
      </c>
      <c r="D1909" s="116"/>
      <c r="E1909" s="116"/>
      <c r="F1909" s="116"/>
      <c r="G1909" s="108" t="s">
        <v>837</v>
      </c>
      <c r="H1909" s="105" t="n">
        <f aca="false">'[2]$ лето'!j1909-'[2]$ лето'!au1909-'[2]$ лето'!at1909-'[2]$ лето'!as1909-'[2]$ лето'!ar1909-'[2]$ лето'!aq1909-'[2]$ лето'!ap1909-'[2]$ лето'!an1909-'[2]$ лето'!am1909-'[2]$ лето'!al1909-'[2]$ лето'!ak1909-'[2]$ лето'!aj1909-'[2]$ лето'!ah1909-'[2]$ лето'!ag1909-'[2]$ лето'!af1909-'[2]$ лето'!ae1909-'[2]$ лето'!ad1909-'[2]$ лето'!ab1909-'[2]$ лето'!aa1909-'[2]$ лето'!z1909-'[2]$ лето'!y1909-'[2]$ лето'!x1909-'[2]$ лето'!v1909-'[2]$ лето'!u1909-'[2]$ лето'!t1909-'[2]$ лето'!s1909-'[2]$ лето'!r1909-'[2]$ лето'!p1909-'[2]$ лето'!o1909-'[2]$ лето'!n1909-'[2]$ лето'!m1909-'[2]$ лето'!l1909+'[2]$ лето'!k1909+'[2]$ лето'!q1909+'[2]$ лето'!w1909+'[2]$ лето'!ac1909+'[2]$ лето'!ai1909+'[2]$ лето'!ao1909</f>
        <v>0</v>
      </c>
      <c r="I1909" s="109" t="n">
        <f aca="false">'[2]$ лето'!ay1909*1.1</f>
        <v>1780.68</v>
      </c>
      <c r="J1909" s="85" t="n">
        <v>2018</v>
      </c>
    </row>
    <row r="1910" customFormat="false" ht="15" hidden="true" customHeight="false" outlineLevel="0" collapsed="false">
      <c r="A1910" s="115" t="s">
        <v>290</v>
      </c>
      <c r="B1910" s="115" t="s">
        <v>564</v>
      </c>
      <c r="C1910" s="116" t="s">
        <v>2518</v>
      </c>
      <c r="D1910" s="116"/>
      <c r="E1910" s="116"/>
      <c r="F1910" s="116"/>
      <c r="G1910" s="108" t="s">
        <v>520</v>
      </c>
      <c r="H1910" s="105" t="n">
        <f aca="false">'[2]$ лето'!j1910-'[2]$ лето'!au1910-'[2]$ лето'!at1910-'[2]$ лето'!as1910-'[2]$ лето'!ar1910-'[2]$ лето'!aq1910-'[2]$ лето'!ap1910-'[2]$ лето'!an1910-'[2]$ лето'!am1910-'[2]$ лето'!al1910-'[2]$ лето'!ak1910-'[2]$ лето'!aj1910-'[2]$ лето'!ah1910-'[2]$ лето'!ag1910-'[2]$ лето'!af1910-'[2]$ лето'!ae1910-'[2]$ лето'!ad1910-'[2]$ лето'!ab1910-'[2]$ лето'!aa1910-'[2]$ лето'!z1910-'[2]$ лето'!y1910-'[2]$ лето'!x1910-'[2]$ лето'!v1910-'[2]$ лето'!u1910-'[2]$ лето'!t1910-'[2]$ лето'!s1910-'[2]$ лето'!r1910-'[2]$ лето'!p1910-'[2]$ лето'!o1910-'[2]$ лето'!n1910-'[2]$ лето'!m1910-'[2]$ лето'!l1910+'[2]$ лето'!k1910+'[2]$ лето'!q1910+'[2]$ лето'!w1910+'[2]$ лето'!ac1910+'[2]$ лето'!ai1910+'[2]$ лето'!ao1910</f>
        <v>0</v>
      </c>
      <c r="I1910" s="109" t="n">
        <f aca="false">'[2]$ лето'!ay1910*1.1</f>
        <v>1874.4</v>
      </c>
    </row>
    <row r="1911" customFormat="false" ht="15" hidden="true" customHeight="false" outlineLevel="0" collapsed="false">
      <c r="A1911" s="115" t="s">
        <v>295</v>
      </c>
      <c r="B1911" s="115" t="s">
        <v>991</v>
      </c>
      <c r="C1911" s="116" t="s">
        <v>2440</v>
      </c>
      <c r="D1911" s="116"/>
      <c r="E1911" s="116"/>
      <c r="F1911" s="116"/>
      <c r="G1911" s="108" t="s">
        <v>520</v>
      </c>
      <c r="H1911" s="105" t="n">
        <f aca="false">'[2]$ лето'!j1911-'[2]$ лето'!au1911-'[2]$ лето'!at1911-'[2]$ лето'!as1911-'[2]$ лето'!ar1911-'[2]$ лето'!aq1911-'[2]$ лето'!ap1911-'[2]$ лето'!an1911-'[2]$ лето'!am1911-'[2]$ лето'!al1911-'[2]$ лето'!ak1911-'[2]$ лето'!aj1911-'[2]$ лето'!ah1911-'[2]$ лето'!ag1911-'[2]$ лето'!af1911-'[2]$ лето'!ae1911-'[2]$ лето'!ad1911-'[2]$ лето'!ab1911-'[2]$ лето'!aa1911-'[2]$ лето'!z1911-'[2]$ лето'!y1911-'[2]$ лето'!x1911-'[2]$ лето'!v1911-'[2]$ лето'!u1911-'[2]$ лето'!t1911-'[2]$ лето'!s1911-'[2]$ лето'!r1911-'[2]$ лето'!p1911-'[2]$ лето'!o1911-'[2]$ лето'!n1911-'[2]$ лето'!m1911-'[2]$ лето'!l1911+'[2]$ лето'!k1911+'[2]$ лето'!q1911+'[2]$ лето'!w1911+'[2]$ лето'!ac1911+'[2]$ лето'!ai1911+'[2]$ лето'!ao1911</f>
        <v>0</v>
      </c>
      <c r="I1911" s="109" t="n">
        <f aca="false">'[2]$ лето'!ay1911*1.1</f>
        <v>2624.16</v>
      </c>
    </row>
    <row r="1912" customFormat="false" ht="15" hidden="true" customHeight="false" outlineLevel="0" collapsed="false">
      <c r="A1912" s="115" t="s">
        <v>295</v>
      </c>
      <c r="B1912" s="115" t="s">
        <v>568</v>
      </c>
      <c r="C1912" s="116" t="s">
        <v>2526</v>
      </c>
      <c r="D1912" s="116"/>
      <c r="E1912" s="116"/>
      <c r="F1912" s="116"/>
      <c r="G1912" s="108"/>
      <c r="H1912" s="105" t="n">
        <f aca="false">'[2]$ лето'!j1912-'[2]$ лето'!au1912-'[2]$ лето'!at1912-'[2]$ лето'!as1912-'[2]$ лето'!ar1912-'[2]$ лето'!aq1912-'[2]$ лето'!ap1912-'[2]$ лето'!an1912-'[2]$ лето'!am1912-'[2]$ лето'!al1912-'[2]$ лето'!ak1912-'[2]$ лето'!aj1912-'[2]$ лето'!ah1912-'[2]$ лето'!ag1912-'[2]$ лето'!af1912-'[2]$ лето'!ae1912-'[2]$ лето'!ad1912-'[2]$ лето'!ab1912-'[2]$ лето'!aa1912-'[2]$ лето'!z1912-'[2]$ лето'!y1912-'[2]$ лето'!x1912-'[2]$ лето'!v1912-'[2]$ лето'!u1912-'[2]$ лето'!t1912-'[2]$ лето'!s1912-'[2]$ лето'!r1912-'[2]$ лето'!p1912-'[2]$ лето'!o1912-'[2]$ лето'!n1912-'[2]$ лето'!m1912-'[2]$ лето'!l1912+'[2]$ лето'!k1912+'[2]$ лето'!q1912+'[2]$ лето'!w1912+'[2]$ лето'!ac1912+'[2]$ лето'!ai1912+'[2]$ лето'!ao1912</f>
        <v>0</v>
      </c>
      <c r="I1912" s="109" t="n">
        <f aca="false">'[2]$ лето'!ay1912*1.1</f>
        <v>1905.64</v>
      </c>
    </row>
    <row r="1913" customFormat="false" ht="15" hidden="true" customHeight="false" outlineLevel="0" collapsed="false">
      <c r="A1913" s="115" t="s">
        <v>295</v>
      </c>
      <c r="B1913" s="115" t="s">
        <v>601</v>
      </c>
      <c r="C1913" s="116" t="s">
        <v>2527</v>
      </c>
      <c r="D1913" s="116"/>
      <c r="E1913" s="116"/>
      <c r="F1913" s="116"/>
      <c r="G1913" s="108" t="s">
        <v>661</v>
      </c>
      <c r="H1913" s="105" t="n">
        <f aca="false">'[2]$ лето'!j1913-'[2]$ лето'!au1913-'[2]$ лето'!at1913-'[2]$ лето'!as1913-'[2]$ лето'!ar1913-'[2]$ лето'!aq1913-'[2]$ лето'!ap1913-'[2]$ лето'!an1913-'[2]$ лето'!am1913-'[2]$ лето'!al1913-'[2]$ лето'!ak1913-'[2]$ лето'!aj1913-'[2]$ лето'!ah1913-'[2]$ лето'!ag1913-'[2]$ лето'!af1913-'[2]$ лето'!ae1913-'[2]$ лето'!ad1913-'[2]$ лето'!ab1913-'[2]$ лето'!aa1913-'[2]$ лето'!z1913-'[2]$ лето'!y1913-'[2]$ лето'!x1913-'[2]$ лето'!v1913-'[2]$ лето'!u1913-'[2]$ лето'!t1913-'[2]$ лето'!s1913-'[2]$ лето'!r1913-'[2]$ лето'!p1913-'[2]$ лето'!o1913-'[2]$ лето'!n1913-'[2]$ лето'!m1913-'[2]$ лето'!l1913+'[2]$ лето'!k1913+'[2]$ лето'!q1913+'[2]$ лето'!w1913+'[2]$ лето'!ac1913+'[2]$ лето'!ai1913+'[2]$ лето'!ao1913</f>
        <v>0</v>
      </c>
      <c r="I1913" s="109" t="n">
        <f aca="false">'[2]$ лето'!ay1913*1.1</f>
        <v>2343</v>
      </c>
      <c r="J1913" s="85" t="n">
        <v>2015</v>
      </c>
    </row>
    <row r="1914" customFormat="false" ht="15" hidden="true" customHeight="false" outlineLevel="0" collapsed="false">
      <c r="A1914" s="115" t="s">
        <v>295</v>
      </c>
      <c r="B1914" s="115" t="s">
        <v>844</v>
      </c>
      <c r="C1914" s="116" t="s">
        <v>2528</v>
      </c>
      <c r="D1914" s="116"/>
      <c r="E1914" s="116"/>
      <c r="F1914" s="116"/>
      <c r="G1914" s="108"/>
      <c r="H1914" s="105" t="n">
        <f aca="false">'[2]$ лето'!j1914-'[2]$ лето'!au1914-'[2]$ лето'!at1914-'[2]$ лето'!as1914-'[2]$ лето'!ar1914-'[2]$ лето'!aq1914-'[2]$ лето'!ap1914-'[2]$ лето'!an1914-'[2]$ лето'!am1914-'[2]$ лето'!al1914-'[2]$ лето'!ak1914-'[2]$ лето'!aj1914-'[2]$ лето'!ah1914-'[2]$ лето'!ag1914-'[2]$ лето'!af1914-'[2]$ лето'!ae1914-'[2]$ лето'!ad1914-'[2]$ лето'!ab1914-'[2]$ лето'!aa1914-'[2]$ лето'!z1914-'[2]$ лето'!y1914-'[2]$ лето'!x1914-'[2]$ лето'!v1914-'[2]$ лето'!u1914-'[2]$ лето'!t1914-'[2]$ лето'!s1914-'[2]$ лето'!r1914-'[2]$ лето'!p1914-'[2]$ лето'!o1914-'[2]$ лето'!n1914-'[2]$ лето'!m1914-'[2]$ лето'!l1914+'[2]$ лето'!k1914+'[2]$ лето'!q1914+'[2]$ лето'!w1914+'[2]$ лето'!ac1914+'[2]$ лето'!ai1914+'[2]$ лето'!ao1914</f>
        <v>0</v>
      </c>
      <c r="I1914" s="109" t="n">
        <f aca="false">'[2]$ лето'!ay1914*1.1</f>
        <v>2499.2</v>
      </c>
      <c r="J1914" s="85" t="n">
        <v>2016</v>
      </c>
    </row>
    <row r="1915" customFormat="false" ht="15" hidden="true" customHeight="false" outlineLevel="0" collapsed="false">
      <c r="A1915" s="115" t="s">
        <v>295</v>
      </c>
      <c r="B1915" s="115" t="s">
        <v>658</v>
      </c>
      <c r="C1915" s="116" t="s">
        <v>2509</v>
      </c>
      <c r="D1915" s="116"/>
      <c r="E1915" s="116"/>
      <c r="F1915" s="116"/>
      <c r="G1915" s="108"/>
      <c r="H1915" s="105" t="n">
        <f aca="false">'[2]$ лето'!j1915-'[2]$ лето'!au1915-'[2]$ лето'!at1915-'[2]$ лето'!as1915-'[2]$ лето'!ar1915-'[2]$ лето'!aq1915-'[2]$ лето'!ap1915-'[2]$ лето'!an1915-'[2]$ лето'!am1915-'[2]$ лето'!al1915-'[2]$ лето'!ak1915-'[2]$ лето'!aj1915-'[2]$ лето'!ah1915-'[2]$ лето'!ag1915-'[2]$ лето'!af1915-'[2]$ лето'!ae1915-'[2]$ лето'!ad1915-'[2]$ лето'!ab1915-'[2]$ лето'!aa1915-'[2]$ лето'!z1915-'[2]$ лето'!y1915-'[2]$ лето'!x1915-'[2]$ лето'!v1915-'[2]$ лето'!u1915-'[2]$ лето'!t1915-'[2]$ лето'!s1915-'[2]$ лето'!r1915-'[2]$ лето'!p1915-'[2]$ лето'!o1915-'[2]$ лето'!n1915-'[2]$ лето'!m1915-'[2]$ лето'!l1915+'[2]$ лето'!k1915+'[2]$ лето'!q1915+'[2]$ лето'!w1915+'[2]$ лето'!ac1915+'[2]$ лето'!ai1915+'[2]$ лето'!ao1915</f>
        <v>0</v>
      </c>
      <c r="I1915" s="109" t="n">
        <f aca="false">'[2]$ лето'!ay1915*1.1</f>
        <v>2499.2</v>
      </c>
    </row>
    <row r="1916" customFormat="false" ht="15" hidden="true" customHeight="false" outlineLevel="0" collapsed="false">
      <c r="A1916" s="115" t="s">
        <v>295</v>
      </c>
      <c r="B1916" s="115" t="s">
        <v>658</v>
      </c>
      <c r="C1916" s="116" t="s">
        <v>2529</v>
      </c>
      <c r="D1916" s="116"/>
      <c r="E1916" s="116"/>
      <c r="F1916" s="116"/>
      <c r="G1916" s="108"/>
      <c r="H1916" s="105" t="n">
        <f aca="false">'[2]$ лето'!j1916-'[2]$ лето'!au1916-'[2]$ лето'!at1916-'[2]$ лето'!as1916-'[2]$ лето'!ar1916-'[2]$ лето'!aq1916-'[2]$ лето'!ap1916-'[2]$ лето'!an1916-'[2]$ лето'!am1916-'[2]$ лето'!al1916-'[2]$ лето'!ak1916-'[2]$ лето'!aj1916-'[2]$ лето'!ah1916-'[2]$ лето'!ag1916-'[2]$ лето'!af1916-'[2]$ лето'!ae1916-'[2]$ лето'!ad1916-'[2]$ лето'!ab1916-'[2]$ лето'!aa1916-'[2]$ лето'!z1916-'[2]$ лето'!y1916-'[2]$ лето'!x1916-'[2]$ лето'!v1916-'[2]$ лето'!u1916-'[2]$ лето'!t1916-'[2]$ лето'!s1916-'[2]$ лето'!r1916-'[2]$ лето'!p1916-'[2]$ лето'!o1916-'[2]$ лето'!n1916-'[2]$ лето'!m1916-'[2]$ лето'!l1916+'[2]$ лето'!k1916+'[2]$ лето'!q1916+'[2]$ лето'!w1916+'[2]$ лето'!ac1916+'[2]$ лето'!ai1916+'[2]$ лето'!ao1916</f>
        <v>0</v>
      </c>
      <c r="I1916" s="109" t="n">
        <f aca="false">'[2]$ лето'!ay1916*1.1</f>
        <v>2499.2</v>
      </c>
    </row>
    <row r="1917" customFormat="false" ht="15" hidden="true" customHeight="false" outlineLevel="0" collapsed="false">
      <c r="A1917" s="115" t="s">
        <v>295</v>
      </c>
      <c r="B1917" s="115" t="s">
        <v>741</v>
      </c>
      <c r="C1917" s="107" t="s">
        <v>2530</v>
      </c>
      <c r="D1917" s="107"/>
      <c r="E1917" s="107"/>
      <c r="F1917" s="107"/>
      <c r="G1917" s="108" t="s">
        <v>1954</v>
      </c>
      <c r="H1917" s="105" t="n">
        <f aca="false">'[2]$ лето'!j1917-'[2]$ лето'!au1917-'[2]$ лето'!at1917-'[2]$ лето'!as1917-'[2]$ лето'!ar1917-'[2]$ лето'!aq1917-'[2]$ лето'!ap1917-'[2]$ лето'!an1917-'[2]$ лето'!am1917-'[2]$ лето'!al1917-'[2]$ лето'!ak1917-'[2]$ лето'!aj1917-'[2]$ лето'!ah1917-'[2]$ лето'!ag1917-'[2]$ лето'!af1917-'[2]$ лето'!ae1917-'[2]$ лето'!ad1917-'[2]$ лето'!ab1917-'[2]$ лето'!aa1917-'[2]$ лето'!z1917-'[2]$ лето'!y1917-'[2]$ лето'!x1917-'[2]$ лето'!v1917-'[2]$ лето'!u1917-'[2]$ лето'!t1917-'[2]$ лето'!s1917-'[2]$ лето'!r1917-'[2]$ лето'!p1917-'[2]$ лето'!o1917-'[2]$ лето'!n1917-'[2]$ лето'!m1917-'[2]$ лето'!l1917+'[2]$ лето'!k1917+'[2]$ лето'!q1917+'[2]$ лето'!w1917+'[2]$ лето'!ac1917+'[2]$ лето'!ai1917+'[2]$ лето'!ao1917</f>
        <v>0</v>
      </c>
      <c r="I1917" s="109" t="n">
        <f aca="false">'[2]$ лето'!ay1917*1.1</f>
        <v>2280.52</v>
      </c>
    </row>
    <row r="1918" customFormat="false" ht="15" hidden="true" customHeight="false" outlineLevel="0" collapsed="false">
      <c r="A1918" s="115" t="s">
        <v>295</v>
      </c>
      <c r="B1918" s="115" t="s">
        <v>604</v>
      </c>
      <c r="C1918" s="116" t="s">
        <v>2531</v>
      </c>
      <c r="D1918" s="116"/>
      <c r="E1918" s="116"/>
      <c r="F1918" s="116"/>
      <c r="G1918" s="108"/>
      <c r="H1918" s="105" t="n">
        <f aca="false">'[2]$ лето'!j1918-'[2]$ лето'!au1918-'[2]$ лето'!at1918-'[2]$ лето'!as1918-'[2]$ лето'!ar1918-'[2]$ лето'!aq1918-'[2]$ лето'!ap1918-'[2]$ лето'!an1918-'[2]$ лето'!am1918-'[2]$ лето'!al1918-'[2]$ лето'!ak1918-'[2]$ лето'!aj1918-'[2]$ лето'!ah1918-'[2]$ лето'!ag1918-'[2]$ лето'!af1918-'[2]$ лето'!ae1918-'[2]$ лето'!ad1918-'[2]$ лето'!ab1918-'[2]$ лето'!aa1918-'[2]$ лето'!z1918-'[2]$ лето'!y1918-'[2]$ лето'!x1918-'[2]$ лето'!v1918-'[2]$ лето'!u1918-'[2]$ лето'!t1918-'[2]$ лето'!s1918-'[2]$ лето'!r1918-'[2]$ лето'!p1918-'[2]$ лето'!o1918-'[2]$ лето'!n1918-'[2]$ лето'!m1918-'[2]$ лето'!l1918+'[2]$ лето'!k1918+'[2]$ лето'!q1918+'[2]$ лето'!w1918+'[2]$ лето'!ac1918+'[2]$ лето'!ai1918+'[2]$ лето'!ao1918</f>
        <v>0</v>
      </c>
      <c r="I1918" s="109" t="n">
        <f aca="false">'[2]$ лето'!ay1918*1.1</f>
        <v>2499.2</v>
      </c>
    </row>
    <row r="1919" customFormat="false" ht="15" hidden="true" customHeight="false" outlineLevel="0" collapsed="false">
      <c r="A1919" s="115" t="s">
        <v>295</v>
      </c>
      <c r="B1919" s="115" t="s">
        <v>2532</v>
      </c>
      <c r="C1919" s="116" t="s">
        <v>2533</v>
      </c>
      <c r="D1919" s="116"/>
      <c r="E1919" s="116"/>
      <c r="F1919" s="116"/>
      <c r="G1919" s="108"/>
      <c r="H1919" s="105" t="n">
        <f aca="false">'[2]$ лето'!j1919-'[2]$ лето'!au1919-'[2]$ лето'!at1919-'[2]$ лето'!as1919-'[2]$ лето'!ar1919-'[2]$ лето'!aq1919-'[2]$ лето'!ap1919-'[2]$ лето'!an1919-'[2]$ лето'!am1919-'[2]$ лето'!al1919-'[2]$ лето'!ak1919-'[2]$ лето'!aj1919-'[2]$ лето'!ah1919-'[2]$ лето'!ag1919-'[2]$ лето'!af1919-'[2]$ лето'!ae1919-'[2]$ лето'!ad1919-'[2]$ лето'!ab1919-'[2]$ лето'!aa1919-'[2]$ лето'!z1919-'[2]$ лето'!y1919-'[2]$ лето'!x1919-'[2]$ лето'!v1919-'[2]$ лето'!u1919-'[2]$ лето'!t1919-'[2]$ лето'!s1919-'[2]$ лето'!r1919-'[2]$ лето'!p1919-'[2]$ лето'!o1919-'[2]$ лето'!n1919-'[2]$ лето'!m1919-'[2]$ лето'!l1919+'[2]$ лето'!k1919+'[2]$ лето'!q1919+'[2]$ лето'!w1919+'[2]$ лето'!ac1919+'[2]$ лето'!ai1919+'[2]$ лето'!ao1919</f>
        <v>0</v>
      </c>
      <c r="I1919" s="109" t="n">
        <f aca="false">'[2]$ лето'!ay1919*1.1</f>
        <v>1562</v>
      </c>
    </row>
    <row r="1920" customFormat="false" ht="15" hidden="true" customHeight="false" outlineLevel="0" collapsed="false">
      <c r="A1920" s="115" t="s">
        <v>295</v>
      </c>
      <c r="B1920" s="115" t="s">
        <v>606</v>
      </c>
      <c r="C1920" s="116" t="s">
        <v>2534</v>
      </c>
      <c r="D1920" s="116"/>
      <c r="E1920" s="116"/>
      <c r="F1920" s="116"/>
      <c r="G1920" s="108"/>
      <c r="H1920" s="105" t="n">
        <f aca="false">'[2]$ лето'!j1920-'[2]$ лето'!au1920-'[2]$ лето'!at1920-'[2]$ лето'!as1920-'[2]$ лето'!ar1920-'[2]$ лето'!aq1920-'[2]$ лето'!ap1920-'[2]$ лето'!an1920-'[2]$ лето'!am1920-'[2]$ лето'!al1920-'[2]$ лето'!ak1920-'[2]$ лето'!aj1920-'[2]$ лето'!ah1920-'[2]$ лето'!ag1920-'[2]$ лето'!af1920-'[2]$ лето'!ae1920-'[2]$ лето'!ad1920-'[2]$ лето'!ab1920-'[2]$ лето'!aa1920-'[2]$ лето'!z1920-'[2]$ лето'!y1920-'[2]$ лето'!x1920-'[2]$ лето'!v1920-'[2]$ лето'!u1920-'[2]$ лето'!t1920-'[2]$ лето'!s1920-'[2]$ лето'!r1920-'[2]$ лето'!p1920-'[2]$ лето'!o1920-'[2]$ лето'!n1920-'[2]$ лето'!m1920-'[2]$ лето'!l1920+'[2]$ лето'!k1920+'[2]$ лето'!q1920+'[2]$ лето'!w1920+'[2]$ лето'!ac1920+'[2]$ лето'!ai1920+'[2]$ лето'!ao1920</f>
        <v>0</v>
      </c>
      <c r="I1920" s="109" t="n">
        <f aca="false">'[2]$ лето'!ay1920*1.1</f>
        <v>1718.2</v>
      </c>
    </row>
    <row r="1921" customFormat="false" ht="15" hidden="true" customHeight="false" outlineLevel="0" collapsed="false">
      <c r="A1921" s="115" t="s">
        <v>295</v>
      </c>
      <c r="B1921" s="115" t="s">
        <v>2535</v>
      </c>
      <c r="C1921" s="116"/>
      <c r="D1921" s="116"/>
      <c r="E1921" s="116"/>
      <c r="F1921" s="116"/>
      <c r="G1921" s="108"/>
      <c r="H1921" s="105" t="n">
        <f aca="false">'[2]$ лето'!j1921-'[2]$ лето'!au1921-'[2]$ лето'!at1921-'[2]$ лето'!as1921-'[2]$ лето'!ar1921-'[2]$ лето'!aq1921-'[2]$ лето'!ap1921-'[2]$ лето'!an1921-'[2]$ лето'!am1921-'[2]$ лето'!al1921-'[2]$ лето'!ak1921-'[2]$ лето'!aj1921-'[2]$ лето'!ah1921-'[2]$ лето'!ag1921-'[2]$ лето'!af1921-'[2]$ лето'!ae1921-'[2]$ лето'!ad1921-'[2]$ лето'!ab1921-'[2]$ лето'!aa1921-'[2]$ лето'!z1921-'[2]$ лето'!y1921-'[2]$ лето'!x1921-'[2]$ лето'!v1921-'[2]$ лето'!u1921-'[2]$ лето'!t1921-'[2]$ лето'!s1921-'[2]$ лето'!r1921-'[2]$ лето'!p1921-'[2]$ лето'!o1921-'[2]$ лето'!n1921-'[2]$ лето'!m1921-'[2]$ лето'!l1921+'[2]$ лето'!k1921+'[2]$ лето'!q1921+'[2]$ лето'!w1921+'[2]$ лето'!ac1921+'[2]$ лето'!ai1921+'[2]$ лето'!ao1921</f>
        <v>0</v>
      </c>
      <c r="I1921" s="109" t="n">
        <f aca="false">'[2]$ лето'!ay1921*1.1</f>
        <v>1485</v>
      </c>
    </row>
    <row r="1922" customFormat="false" ht="15" hidden="true" customHeight="false" outlineLevel="0" collapsed="false">
      <c r="A1922" s="115" t="s">
        <v>295</v>
      </c>
      <c r="B1922" s="115" t="s">
        <v>1537</v>
      </c>
      <c r="C1922" s="126" t="s">
        <v>2536</v>
      </c>
      <c r="D1922" s="126"/>
      <c r="E1922" s="126"/>
      <c r="F1922" s="126"/>
      <c r="G1922" s="108"/>
      <c r="H1922" s="105" t="n">
        <f aca="false">'[2]$ лето'!j1922-'[2]$ лето'!au1922-'[2]$ лето'!at1922-'[2]$ лето'!as1922-'[2]$ лето'!ar1922-'[2]$ лето'!aq1922-'[2]$ лето'!ap1922-'[2]$ лето'!an1922-'[2]$ лето'!am1922-'[2]$ лето'!al1922-'[2]$ лето'!ak1922-'[2]$ лето'!aj1922-'[2]$ лето'!ah1922-'[2]$ лето'!ag1922-'[2]$ лето'!af1922-'[2]$ лето'!ae1922-'[2]$ лето'!ad1922-'[2]$ лето'!ab1922-'[2]$ лето'!aa1922-'[2]$ лето'!z1922-'[2]$ лето'!y1922-'[2]$ лето'!x1922-'[2]$ лето'!v1922-'[2]$ лето'!u1922-'[2]$ лето'!t1922-'[2]$ лето'!s1922-'[2]$ лето'!r1922-'[2]$ лето'!p1922-'[2]$ лето'!o1922-'[2]$ лето'!n1922-'[2]$ лето'!m1922-'[2]$ лето'!l1922+'[2]$ лето'!k1922+'[2]$ лето'!q1922+'[2]$ лето'!w1922+'[2]$ лето'!ac1922+'[2]$ лето'!ai1922+'[2]$ лето'!ao1922</f>
        <v>0</v>
      </c>
      <c r="I1922" s="109" t="n">
        <f aca="false">'[2]$ лето'!ay1922*1.1</f>
        <v>1624.48</v>
      </c>
    </row>
    <row r="1923" customFormat="false" ht="15" hidden="false" customHeight="false" outlineLevel="0" collapsed="false">
      <c r="A1923" s="115" t="s">
        <v>295</v>
      </c>
      <c r="B1923" s="115" t="s">
        <v>666</v>
      </c>
      <c r="C1923" s="116" t="s">
        <v>2523</v>
      </c>
      <c r="D1923" s="116"/>
      <c r="E1923" s="116"/>
      <c r="F1923" s="116"/>
      <c r="G1923" s="108" t="s">
        <v>631</v>
      </c>
      <c r="H1923" s="105" t="n">
        <f aca="false">'[2]$ лето'!j1923-'[2]$ лето'!au1923-'[2]$ лето'!at1923-'[2]$ лето'!as1923-'[2]$ лето'!ar1923-'[2]$ лето'!aq1923-'[2]$ лето'!ap1923-'[2]$ лето'!an1923-'[2]$ лето'!am1923-'[2]$ лето'!al1923-'[2]$ лето'!ak1923-'[2]$ лето'!aj1923-'[2]$ лето'!ah1923-'[2]$ лето'!ag1923-'[2]$ лето'!af1923-'[2]$ лето'!ae1923-'[2]$ лето'!ad1923-'[2]$ лето'!ab1923-'[2]$ лето'!aa1923-'[2]$ лето'!z1923-'[2]$ лето'!y1923-'[2]$ лето'!x1923-'[2]$ лето'!v1923-'[2]$ лето'!u1923-'[2]$ лето'!t1923-'[2]$ лето'!s1923-'[2]$ лето'!r1923-'[2]$ лето'!p1923-'[2]$ лето'!o1923-'[2]$ лето'!n1923-'[2]$ лето'!m1923-'[2]$ лето'!l1923+'[2]$ лето'!k1923+'[2]$ лето'!q1923+'[2]$ лето'!w1923+'[2]$ лето'!ac1923+'[2]$ лето'!ai1923+'[2]$ лето'!ao1923</f>
        <v>8</v>
      </c>
      <c r="I1923" s="109" t="n">
        <f aca="false">'[2]$ лето'!ay1923*1.1</f>
        <v>2561.68</v>
      </c>
      <c r="J1923" s="85" t="n">
        <v>2018</v>
      </c>
    </row>
    <row r="1924" customFormat="false" ht="15" hidden="true" customHeight="false" outlineLevel="0" collapsed="false">
      <c r="A1924" s="115" t="s">
        <v>295</v>
      </c>
      <c r="B1924" s="115" t="s">
        <v>572</v>
      </c>
      <c r="C1924" s="107" t="s">
        <v>2488</v>
      </c>
      <c r="D1924" s="107"/>
      <c r="E1924" s="107"/>
      <c r="F1924" s="107"/>
      <c r="G1924" s="108"/>
      <c r="H1924" s="105" t="n">
        <f aca="false">'[2]$ лето'!j1924-'[2]$ лето'!au1924-'[2]$ лето'!at1924-'[2]$ лето'!as1924-'[2]$ лето'!ar1924-'[2]$ лето'!aq1924-'[2]$ лето'!ap1924-'[2]$ лето'!an1924-'[2]$ лето'!am1924-'[2]$ лето'!al1924-'[2]$ лето'!ak1924-'[2]$ лето'!aj1924-'[2]$ лето'!ah1924-'[2]$ лето'!ag1924-'[2]$ лето'!af1924-'[2]$ лето'!ae1924-'[2]$ лето'!ad1924-'[2]$ лето'!ab1924-'[2]$ лето'!aa1924-'[2]$ лето'!z1924-'[2]$ лето'!y1924-'[2]$ лето'!x1924-'[2]$ лето'!v1924-'[2]$ лето'!u1924-'[2]$ лето'!t1924-'[2]$ лето'!s1924-'[2]$ лето'!r1924-'[2]$ лето'!p1924-'[2]$ лето'!o1924-'[2]$ лето'!n1924-'[2]$ лето'!m1924-'[2]$ лето'!l1924+'[2]$ лето'!k1924+'[2]$ лето'!q1924+'[2]$ лето'!w1924+'[2]$ лето'!ac1924+'[2]$ лето'!ai1924+'[2]$ лето'!ao1924</f>
        <v>0</v>
      </c>
      <c r="I1924" s="109" t="n">
        <f aca="false">'[2]$ лето'!ay1924*1.1</f>
        <v>1936.88</v>
      </c>
    </row>
    <row r="1925" customFormat="false" ht="15" hidden="true" customHeight="false" outlineLevel="0" collapsed="false">
      <c r="A1925" s="115" t="s">
        <v>295</v>
      </c>
      <c r="B1925" s="115" t="s">
        <v>668</v>
      </c>
      <c r="C1925" s="116" t="s">
        <v>2537</v>
      </c>
      <c r="D1925" s="116"/>
      <c r="E1925" s="116"/>
      <c r="F1925" s="116"/>
      <c r="G1925" s="108" t="s">
        <v>609</v>
      </c>
      <c r="H1925" s="105" t="n">
        <f aca="false">'[2]$ лето'!j1925-'[2]$ лето'!au1925-'[2]$ лето'!at1925-'[2]$ лето'!as1925-'[2]$ лето'!ar1925-'[2]$ лето'!aq1925-'[2]$ лето'!ap1925-'[2]$ лето'!an1925-'[2]$ лето'!am1925-'[2]$ лето'!al1925-'[2]$ лето'!ak1925-'[2]$ лето'!aj1925-'[2]$ лето'!ah1925-'[2]$ лето'!ag1925-'[2]$ лето'!af1925-'[2]$ лето'!ae1925-'[2]$ лето'!ad1925-'[2]$ лето'!ab1925-'[2]$ лето'!aa1925-'[2]$ лето'!z1925-'[2]$ лето'!y1925-'[2]$ лето'!x1925-'[2]$ лето'!v1925-'[2]$ лето'!u1925-'[2]$ лето'!t1925-'[2]$ лето'!s1925-'[2]$ лето'!r1925-'[2]$ лето'!p1925-'[2]$ лето'!o1925-'[2]$ лето'!n1925-'[2]$ лето'!m1925-'[2]$ лето'!l1925+'[2]$ лето'!k1925+'[2]$ лето'!q1925+'[2]$ лето'!w1925+'[2]$ лето'!ac1925+'[2]$ лето'!ai1925+'[2]$ лето'!ao1925</f>
        <v>0</v>
      </c>
      <c r="I1925" s="109" t="n">
        <f aca="false">'[2]$ лето'!ay1925*1.1</f>
        <v>1655.72</v>
      </c>
    </row>
    <row r="1926" customFormat="false" ht="15" hidden="true" customHeight="false" outlineLevel="0" collapsed="false">
      <c r="A1926" s="115" t="s">
        <v>295</v>
      </c>
      <c r="B1926" s="115" t="s">
        <v>574</v>
      </c>
      <c r="C1926" s="116" t="s">
        <v>2538</v>
      </c>
      <c r="D1926" s="116"/>
      <c r="E1926" s="116"/>
      <c r="F1926" s="116"/>
      <c r="G1926" s="108" t="s">
        <v>576</v>
      </c>
      <c r="H1926" s="105" t="n">
        <f aca="false">'[2]$ лето'!j1926-'[2]$ лето'!au1926-'[2]$ лето'!at1926-'[2]$ лето'!as1926-'[2]$ лето'!ar1926-'[2]$ лето'!aq1926-'[2]$ лето'!ap1926-'[2]$ лето'!an1926-'[2]$ лето'!am1926-'[2]$ лето'!al1926-'[2]$ лето'!ak1926-'[2]$ лето'!aj1926-'[2]$ лето'!ah1926-'[2]$ лето'!ag1926-'[2]$ лето'!af1926-'[2]$ лето'!ae1926-'[2]$ лето'!ad1926-'[2]$ лето'!ab1926-'[2]$ лето'!aa1926-'[2]$ лето'!z1926-'[2]$ лето'!y1926-'[2]$ лето'!x1926-'[2]$ лето'!v1926-'[2]$ лето'!u1926-'[2]$ лето'!t1926-'[2]$ лето'!s1926-'[2]$ лето'!r1926-'[2]$ лето'!p1926-'[2]$ лето'!o1926-'[2]$ лето'!n1926-'[2]$ лето'!m1926-'[2]$ лето'!l1926+'[2]$ лето'!k1926+'[2]$ лето'!q1926+'[2]$ лето'!w1926+'[2]$ лето'!ac1926+'[2]$ лето'!ai1926+'[2]$ лето'!ao1926</f>
        <v>0</v>
      </c>
      <c r="I1926" s="109" t="n">
        <f aca="false">'[2]$ лето'!ay1926*1.1</f>
        <v>2093.08</v>
      </c>
    </row>
    <row r="1927" customFormat="false" ht="15" hidden="false" customHeight="false" outlineLevel="0" collapsed="false">
      <c r="A1927" s="115" t="s">
        <v>295</v>
      </c>
      <c r="B1927" s="115" t="s">
        <v>574</v>
      </c>
      <c r="C1927" s="116" t="s">
        <v>2539</v>
      </c>
      <c r="D1927" s="116"/>
      <c r="E1927" s="116"/>
      <c r="F1927" s="116"/>
      <c r="G1927" s="108" t="s">
        <v>576</v>
      </c>
      <c r="H1927" s="105" t="n">
        <f aca="false">'[2]$ лето'!j1927-'[2]$ лето'!au1927-'[2]$ лето'!at1927-'[2]$ лето'!as1927-'[2]$ лето'!ar1927-'[2]$ лето'!aq1927-'[2]$ лето'!ap1927-'[2]$ лето'!an1927-'[2]$ лето'!am1927-'[2]$ лето'!al1927-'[2]$ лето'!ak1927-'[2]$ лето'!aj1927-'[2]$ лето'!ah1927-'[2]$ лето'!ag1927-'[2]$ лето'!af1927-'[2]$ лето'!ae1927-'[2]$ лето'!ad1927-'[2]$ лето'!ab1927-'[2]$ лето'!aa1927-'[2]$ лето'!z1927-'[2]$ лето'!y1927-'[2]$ лето'!x1927-'[2]$ лето'!v1927-'[2]$ лето'!u1927-'[2]$ лето'!t1927-'[2]$ лето'!s1927-'[2]$ лето'!r1927-'[2]$ лето'!p1927-'[2]$ лето'!o1927-'[2]$ лето'!n1927-'[2]$ лето'!m1927-'[2]$ лето'!l1927+'[2]$ лето'!k1927+'[2]$ лето'!q1927+'[2]$ лето'!w1927+'[2]$ лето'!ac1927+'[2]$ лето'!ai1927+'[2]$ лето'!ao1927</f>
        <v>2</v>
      </c>
      <c r="I1927" s="109" t="n">
        <f aca="false">'[2]$ лето'!ay1927*1.1</f>
        <v>2124.32</v>
      </c>
      <c r="J1927" s="85" t="n">
        <v>2018</v>
      </c>
    </row>
    <row r="1928" customFormat="false" ht="15" hidden="false" customHeight="false" outlineLevel="0" collapsed="false">
      <c r="A1928" s="115" t="s">
        <v>295</v>
      </c>
      <c r="B1928" s="115" t="s">
        <v>583</v>
      </c>
      <c r="C1928" s="126" t="s">
        <v>2540</v>
      </c>
      <c r="D1928" s="126"/>
      <c r="E1928" s="126"/>
      <c r="F1928" s="126"/>
      <c r="G1928" s="108" t="s">
        <v>585</v>
      </c>
      <c r="H1928" s="105" t="n">
        <f aca="false">'[2]$ лето'!j1928-'[2]$ лето'!au1928-'[2]$ лето'!at1928-'[2]$ лето'!as1928-'[2]$ лето'!ar1928-'[2]$ лето'!aq1928-'[2]$ лето'!ap1928-'[2]$ лето'!an1928-'[2]$ лето'!am1928-'[2]$ лето'!al1928-'[2]$ лето'!ak1928-'[2]$ лето'!aj1928-'[2]$ лето'!ah1928-'[2]$ лето'!ag1928-'[2]$ лето'!af1928-'[2]$ лето'!ae1928-'[2]$ лето'!ad1928-'[2]$ лето'!ab1928-'[2]$ лето'!aa1928-'[2]$ лето'!z1928-'[2]$ лето'!y1928-'[2]$ лето'!x1928-'[2]$ лето'!v1928-'[2]$ лето'!u1928-'[2]$ лето'!t1928-'[2]$ лето'!s1928-'[2]$ лето'!r1928-'[2]$ лето'!p1928-'[2]$ лето'!o1928-'[2]$ лето'!n1928-'[2]$ лето'!m1928-'[2]$ лето'!l1928+'[2]$ лето'!k1928+'[2]$ лето'!q1928+'[2]$ лето'!w1928+'[2]$ лето'!ac1928+'[2]$ лето'!ai1928+'[2]$ лето'!ao1928</f>
        <v>1</v>
      </c>
      <c r="I1928" s="109" t="n">
        <f aca="false">'[2]$ лето'!ay1928*1.1</f>
        <v>2405.48</v>
      </c>
      <c r="J1928" s="85" t="n">
        <v>2018</v>
      </c>
    </row>
    <row r="1929" customFormat="false" ht="15" hidden="true" customHeight="false" outlineLevel="0" collapsed="false">
      <c r="A1929" s="123" t="s">
        <v>295</v>
      </c>
      <c r="B1929" s="115" t="s">
        <v>583</v>
      </c>
      <c r="C1929" s="107" t="s">
        <v>2541</v>
      </c>
      <c r="D1929" s="107"/>
      <c r="E1929" s="116"/>
      <c r="F1929" s="116"/>
      <c r="G1929" s="108"/>
      <c r="H1929" s="105" t="n">
        <f aca="false">'[2]$ лето'!j1929-'[2]$ лето'!au1929-'[2]$ лето'!at1929-'[2]$ лето'!as1929-'[2]$ лето'!ar1929-'[2]$ лето'!aq1929-'[2]$ лето'!ap1929-'[2]$ лето'!an1929-'[2]$ лето'!am1929-'[2]$ лето'!al1929-'[2]$ лето'!ak1929-'[2]$ лето'!aj1929-'[2]$ лето'!ah1929-'[2]$ лето'!ag1929-'[2]$ лето'!af1929-'[2]$ лето'!ae1929-'[2]$ лето'!ad1929-'[2]$ лето'!ab1929-'[2]$ лето'!aa1929-'[2]$ лето'!z1929-'[2]$ лето'!y1929-'[2]$ лето'!x1929-'[2]$ лето'!v1929-'[2]$ лето'!u1929-'[2]$ лето'!t1929-'[2]$ лето'!s1929-'[2]$ лето'!r1929-'[2]$ лето'!p1929-'[2]$ лето'!o1929-'[2]$ лето'!n1929-'[2]$ лето'!m1929-'[2]$ лето'!l1929+'[2]$ лето'!k1929+'[2]$ лето'!q1929+'[2]$ лето'!w1929+'[2]$ лето'!ac1929+'[2]$ лето'!ai1929+'[2]$ лето'!ao1929</f>
        <v>0</v>
      </c>
      <c r="I1929" s="109" t="n">
        <f aca="false">'[2]$ лето'!ay1929*1.1</f>
        <v>2030.6</v>
      </c>
      <c r="J1929" s="85" t="n">
        <v>2018</v>
      </c>
    </row>
    <row r="1930" customFormat="false" ht="15" hidden="true" customHeight="false" outlineLevel="0" collapsed="false">
      <c r="A1930" s="123" t="s">
        <v>295</v>
      </c>
      <c r="B1930" s="115" t="s">
        <v>583</v>
      </c>
      <c r="C1930" s="107" t="s">
        <v>2542</v>
      </c>
      <c r="D1930" s="107"/>
      <c r="E1930" s="107"/>
      <c r="F1930" s="107"/>
      <c r="G1930" s="108"/>
      <c r="H1930" s="105" t="n">
        <f aca="false">'[2]$ лето'!j1930-'[2]$ лето'!au1930-'[2]$ лето'!at1930-'[2]$ лето'!as1930-'[2]$ лето'!ar1930-'[2]$ лето'!aq1930-'[2]$ лето'!ap1930-'[2]$ лето'!an1930-'[2]$ лето'!am1930-'[2]$ лето'!al1930-'[2]$ лето'!ak1930-'[2]$ лето'!aj1930-'[2]$ лето'!ah1930-'[2]$ лето'!ag1930-'[2]$ лето'!af1930-'[2]$ лето'!ae1930-'[2]$ лето'!ad1930-'[2]$ лето'!ab1930-'[2]$ лето'!aa1930-'[2]$ лето'!z1930-'[2]$ лето'!y1930-'[2]$ лето'!x1930-'[2]$ лето'!v1930-'[2]$ лето'!u1930-'[2]$ лето'!t1930-'[2]$ лето'!s1930-'[2]$ лето'!r1930-'[2]$ лето'!p1930-'[2]$ лето'!o1930-'[2]$ лето'!n1930-'[2]$ лето'!m1930-'[2]$ лето'!l1930+'[2]$ лето'!k1930+'[2]$ лето'!q1930+'[2]$ лето'!w1930+'[2]$ лето'!ac1930+'[2]$ лето'!ai1930+'[2]$ лето'!ao1930</f>
        <v>0</v>
      </c>
      <c r="I1930" s="109" t="n">
        <f aca="false">'[2]$ лето'!ay1930*1.1</f>
        <v>2124.32</v>
      </c>
    </row>
    <row r="1931" customFormat="false" ht="15" hidden="false" customHeight="false" outlineLevel="0" collapsed="false">
      <c r="A1931" s="115" t="s">
        <v>295</v>
      </c>
      <c r="B1931" s="115" t="s">
        <v>593</v>
      </c>
      <c r="C1931" s="116" t="s">
        <v>2543</v>
      </c>
      <c r="D1931" s="116"/>
      <c r="E1931" s="116"/>
      <c r="F1931" s="116"/>
      <c r="G1931" s="108" t="s">
        <v>933</v>
      </c>
      <c r="H1931" s="105" t="n">
        <f aca="false">'[2]$ лето'!j1931-'[2]$ лето'!au1931-'[2]$ лето'!at1931-'[2]$ лето'!as1931-'[2]$ лето'!ar1931-'[2]$ лето'!aq1931-'[2]$ лето'!ap1931-'[2]$ лето'!an1931-'[2]$ лето'!am1931-'[2]$ лето'!al1931-'[2]$ лето'!ak1931-'[2]$ лето'!aj1931-'[2]$ лето'!ah1931-'[2]$ лето'!ag1931-'[2]$ лето'!af1931-'[2]$ лето'!ae1931-'[2]$ лето'!ad1931-'[2]$ лето'!ab1931-'[2]$ лето'!aa1931-'[2]$ лето'!z1931-'[2]$ лето'!y1931-'[2]$ лето'!x1931-'[2]$ лето'!v1931-'[2]$ лето'!u1931-'[2]$ лето'!t1931-'[2]$ лето'!s1931-'[2]$ лето'!r1931-'[2]$ лето'!p1931-'[2]$ лето'!o1931-'[2]$ лето'!n1931-'[2]$ лето'!m1931-'[2]$ лето'!l1931+'[2]$ лето'!k1931+'[2]$ лето'!q1931+'[2]$ лето'!w1931+'[2]$ лето'!ac1931+'[2]$ лето'!ai1931+'[2]$ лето'!ao1931</f>
        <v>19</v>
      </c>
      <c r="I1931" s="109" t="n">
        <f aca="false">'[2]$ лето'!ay1931*1.1</f>
        <v>3311.44</v>
      </c>
      <c r="J1931" s="113" t="n">
        <v>2018</v>
      </c>
    </row>
    <row r="1932" customFormat="false" ht="15" hidden="false" customHeight="false" outlineLevel="0" collapsed="false">
      <c r="A1932" s="115" t="s">
        <v>295</v>
      </c>
      <c r="B1932" s="115" t="s">
        <v>586</v>
      </c>
      <c r="C1932" s="116" t="s">
        <v>2544</v>
      </c>
      <c r="D1932" s="116"/>
      <c r="E1932" s="116"/>
      <c r="F1932" s="116"/>
      <c r="G1932" s="108" t="s">
        <v>520</v>
      </c>
      <c r="H1932" s="105" t="n">
        <f aca="false">'[2]$ лето'!j1932-'[2]$ лето'!au1932-'[2]$ лето'!at1932-'[2]$ лето'!as1932-'[2]$ лето'!ar1932-'[2]$ лето'!aq1932-'[2]$ лето'!ap1932-'[2]$ лето'!an1932-'[2]$ лето'!am1932-'[2]$ лето'!al1932-'[2]$ лето'!ak1932-'[2]$ лето'!aj1932-'[2]$ лето'!ah1932-'[2]$ лето'!ag1932-'[2]$ лето'!af1932-'[2]$ лето'!ae1932-'[2]$ лето'!ad1932-'[2]$ лето'!ab1932-'[2]$ лето'!aa1932-'[2]$ лето'!z1932-'[2]$ лето'!y1932-'[2]$ лето'!x1932-'[2]$ лето'!v1932-'[2]$ лето'!u1932-'[2]$ лето'!t1932-'[2]$ лето'!s1932-'[2]$ лето'!r1932-'[2]$ лето'!p1932-'[2]$ лето'!o1932-'[2]$ лето'!n1932-'[2]$ лето'!m1932-'[2]$ лето'!l1932+'[2]$ лето'!k1932+'[2]$ лето'!q1932+'[2]$ лето'!w1932+'[2]$ лето'!ac1932+'[2]$ лето'!ai1932+'[2]$ лето'!ao1932</f>
        <v>20</v>
      </c>
      <c r="I1932" s="109" t="n">
        <f aca="false">'[2]$ лето'!ay1932*1.1</f>
        <v>1499.52</v>
      </c>
      <c r="J1932" s="113"/>
    </row>
    <row r="1933" customFormat="false" ht="15" hidden="false" customHeight="false" outlineLevel="0" collapsed="false">
      <c r="A1933" s="115" t="s">
        <v>295</v>
      </c>
      <c r="B1933" s="115" t="s">
        <v>1214</v>
      </c>
      <c r="C1933" s="116" t="s">
        <v>2545</v>
      </c>
      <c r="D1933" s="116" t="s">
        <v>582</v>
      </c>
      <c r="E1933" s="116" t="s">
        <v>2546</v>
      </c>
      <c r="F1933" s="116"/>
      <c r="G1933" s="108"/>
      <c r="H1933" s="105" t="n">
        <f aca="false">'[2]$ лето'!j1933-'[2]$ лето'!au1933-'[2]$ лето'!at1933-'[2]$ лето'!as1933-'[2]$ лето'!ar1933-'[2]$ лето'!aq1933-'[2]$ лето'!ap1933-'[2]$ лето'!an1933-'[2]$ лето'!am1933-'[2]$ лето'!al1933-'[2]$ лето'!ak1933-'[2]$ лето'!aj1933-'[2]$ лето'!ah1933-'[2]$ лето'!ag1933-'[2]$ лето'!af1933-'[2]$ лето'!ae1933-'[2]$ лето'!ad1933-'[2]$ лето'!ab1933-'[2]$ лето'!aa1933-'[2]$ лето'!z1933-'[2]$ лето'!y1933-'[2]$ лето'!x1933-'[2]$ лето'!v1933-'[2]$ лето'!u1933-'[2]$ лето'!t1933-'[2]$ лето'!s1933-'[2]$ лето'!r1933-'[2]$ лето'!p1933-'[2]$ лето'!o1933-'[2]$ лето'!n1933-'[2]$ лето'!m1933-'[2]$ лето'!l1933+'[2]$ лето'!k1933+'[2]$ лето'!q1933+'[2]$ лето'!w1933+'[2]$ лето'!ac1933+'[2]$ лето'!ai1933+'[2]$ лето'!ao1933</f>
        <v>4</v>
      </c>
      <c r="I1933" s="109" t="n">
        <f aca="false">'[2]$ лето'!ay1933*1.1</f>
        <v>1811.92</v>
      </c>
      <c r="J1933" s="113"/>
    </row>
    <row r="1934" customFormat="false" ht="15" hidden="true" customHeight="false" outlineLevel="0" collapsed="false">
      <c r="A1934" s="115" t="s">
        <v>295</v>
      </c>
      <c r="B1934" s="115" t="s">
        <v>2456</v>
      </c>
      <c r="C1934" s="116" t="s">
        <v>2547</v>
      </c>
      <c r="D1934" s="116"/>
      <c r="E1934" s="116"/>
      <c r="F1934" s="116"/>
      <c r="G1934" s="108"/>
      <c r="H1934" s="105" t="n">
        <f aca="false">'[2]$ лето'!j1934-'[2]$ лето'!au1934-'[2]$ лето'!at1934-'[2]$ лето'!as1934-'[2]$ лето'!ar1934-'[2]$ лето'!aq1934-'[2]$ лето'!ap1934-'[2]$ лето'!an1934-'[2]$ лето'!am1934-'[2]$ лето'!al1934-'[2]$ лето'!ak1934-'[2]$ лето'!aj1934-'[2]$ лето'!ah1934-'[2]$ лето'!ag1934-'[2]$ лето'!af1934-'[2]$ лето'!ae1934-'[2]$ лето'!ad1934-'[2]$ лето'!ab1934-'[2]$ лето'!aa1934-'[2]$ лето'!z1934-'[2]$ лето'!y1934-'[2]$ лето'!x1934-'[2]$ лето'!v1934-'[2]$ лето'!u1934-'[2]$ лето'!t1934-'[2]$ лето'!s1934-'[2]$ лето'!r1934-'[2]$ лето'!p1934-'[2]$ лето'!o1934-'[2]$ лето'!n1934-'[2]$ лето'!m1934-'[2]$ лето'!l1934+'[2]$ лето'!k1934+'[2]$ лето'!q1934+'[2]$ лето'!w1934+'[2]$ лето'!ac1934+'[2]$ лето'!ai1934+'[2]$ лето'!ao1934</f>
        <v>0</v>
      </c>
      <c r="I1934" s="109" t="n">
        <f aca="false">'[2]$ лето'!ay1934*1.1</f>
        <v>1936.88</v>
      </c>
      <c r="J1934" s="113"/>
    </row>
    <row r="1935" customFormat="false" ht="15" hidden="false" customHeight="false" outlineLevel="0" collapsed="false">
      <c r="A1935" s="115" t="s">
        <v>295</v>
      </c>
      <c r="B1935" s="115" t="s">
        <v>617</v>
      </c>
      <c r="C1935" s="116" t="s">
        <v>2548</v>
      </c>
      <c r="D1935" s="116"/>
      <c r="E1935" s="116"/>
      <c r="F1935" s="116"/>
      <c r="G1935" s="108" t="s">
        <v>837</v>
      </c>
      <c r="H1935" s="105" t="n">
        <f aca="false">'[2]$ лето'!j1935-'[2]$ лето'!au1935-'[2]$ лето'!at1935-'[2]$ лето'!as1935-'[2]$ лето'!ar1935-'[2]$ лето'!aq1935-'[2]$ лето'!ap1935-'[2]$ лето'!an1935-'[2]$ лето'!am1935-'[2]$ лето'!al1935-'[2]$ лето'!ak1935-'[2]$ лето'!aj1935-'[2]$ лето'!ah1935-'[2]$ лето'!ag1935-'[2]$ лето'!af1935-'[2]$ лето'!ae1935-'[2]$ лето'!ad1935-'[2]$ лето'!ab1935-'[2]$ лето'!aa1935-'[2]$ лето'!z1935-'[2]$ лето'!y1935-'[2]$ лето'!x1935-'[2]$ лето'!v1935-'[2]$ лето'!u1935-'[2]$ лето'!t1935-'[2]$ лето'!s1935-'[2]$ лето'!r1935-'[2]$ лето'!p1935-'[2]$ лето'!o1935-'[2]$ лето'!n1935-'[2]$ лето'!m1935-'[2]$ лето'!l1935+'[2]$ лето'!k1935+'[2]$ лето'!q1935+'[2]$ лето'!w1935+'[2]$ лето'!ac1935+'[2]$ лето'!ai1935+'[2]$ лето'!ao1935</f>
        <v>2</v>
      </c>
      <c r="I1935" s="109" t="n">
        <f aca="false">'[2]$ лето'!ay1935*1.1</f>
        <v>1843.16</v>
      </c>
      <c r="J1935" s="113" t="n">
        <v>2018</v>
      </c>
    </row>
    <row r="1936" customFormat="false" ht="15" hidden="true" customHeight="false" outlineLevel="0" collapsed="false">
      <c r="A1936" s="115" t="s">
        <v>295</v>
      </c>
      <c r="B1936" s="115" t="s">
        <v>615</v>
      </c>
      <c r="C1936" s="116" t="s">
        <v>2549</v>
      </c>
      <c r="D1936" s="116"/>
      <c r="E1936" s="116"/>
      <c r="F1936" s="116"/>
      <c r="G1936" s="108"/>
      <c r="H1936" s="105" t="n">
        <f aca="false">'[2]$ лето'!j1936-'[2]$ лето'!au1936-'[2]$ лето'!at1936-'[2]$ лето'!as1936-'[2]$ лето'!ar1936-'[2]$ лето'!aq1936-'[2]$ лето'!ap1936-'[2]$ лето'!an1936-'[2]$ лето'!am1936-'[2]$ лето'!al1936-'[2]$ лето'!ak1936-'[2]$ лето'!aj1936-'[2]$ лето'!ah1936-'[2]$ лето'!ag1936-'[2]$ лето'!af1936-'[2]$ лето'!ae1936-'[2]$ лето'!ad1936-'[2]$ лето'!ab1936-'[2]$ лето'!aa1936-'[2]$ лето'!z1936-'[2]$ лето'!y1936-'[2]$ лето'!x1936-'[2]$ лето'!v1936-'[2]$ лето'!u1936-'[2]$ лето'!t1936-'[2]$ лето'!s1936-'[2]$ лето'!r1936-'[2]$ лето'!p1936-'[2]$ лето'!o1936-'[2]$ лето'!n1936-'[2]$ лето'!m1936-'[2]$ лето'!l1936+'[2]$ лето'!k1936+'[2]$ лето'!q1936+'[2]$ лето'!w1936+'[2]$ лето'!ac1936+'[2]$ лето'!ai1936+'[2]$ лето'!ao1936</f>
        <v>0</v>
      </c>
      <c r="I1936" s="109" t="n">
        <f aca="false">'[2]$ лето'!ay1936*1.1</f>
        <v>1718.2</v>
      </c>
      <c r="J1936" s="113"/>
    </row>
    <row r="1937" customFormat="false" ht="15" hidden="true" customHeight="false" outlineLevel="0" collapsed="false">
      <c r="A1937" s="115" t="s">
        <v>295</v>
      </c>
      <c r="B1937" s="115" t="s">
        <v>762</v>
      </c>
      <c r="C1937" s="116" t="s">
        <v>2550</v>
      </c>
      <c r="D1937" s="116"/>
      <c r="E1937" s="116"/>
      <c r="F1937" s="116"/>
      <c r="G1937" s="108" t="s">
        <v>2551</v>
      </c>
      <c r="H1937" s="105" t="n">
        <f aca="false">'[2]$ лето'!j1937-'[2]$ лето'!au1937-'[2]$ лето'!at1937-'[2]$ лето'!as1937-'[2]$ лето'!ar1937-'[2]$ лето'!aq1937-'[2]$ лето'!ap1937-'[2]$ лето'!an1937-'[2]$ лето'!am1937-'[2]$ лето'!al1937-'[2]$ лето'!ak1937-'[2]$ лето'!aj1937-'[2]$ лето'!ah1937-'[2]$ лето'!ag1937-'[2]$ лето'!af1937-'[2]$ лето'!ae1937-'[2]$ лето'!ad1937-'[2]$ лето'!ab1937-'[2]$ лето'!aa1937-'[2]$ лето'!z1937-'[2]$ лето'!y1937-'[2]$ лето'!x1937-'[2]$ лето'!v1937-'[2]$ лето'!u1937-'[2]$ лето'!t1937-'[2]$ лето'!s1937-'[2]$ лето'!r1937-'[2]$ лето'!p1937-'[2]$ лето'!o1937-'[2]$ лето'!n1937-'[2]$ лето'!m1937-'[2]$ лето'!l1937+'[2]$ лето'!k1937+'[2]$ лето'!q1937+'[2]$ лето'!w1937+'[2]$ лето'!ac1937+'[2]$ лето'!ai1937+'[2]$ лето'!ao1937</f>
        <v>0</v>
      </c>
      <c r="I1937" s="109" t="n">
        <f aca="false">'[2]$ лето'!ay1937*1.1</f>
        <v>1936.88</v>
      </c>
      <c r="J1937" s="113"/>
    </row>
    <row r="1938" customFormat="false" ht="15" hidden="false" customHeight="false" outlineLevel="0" collapsed="false">
      <c r="A1938" s="115" t="s">
        <v>295</v>
      </c>
      <c r="B1938" s="115" t="s">
        <v>677</v>
      </c>
      <c r="C1938" s="116" t="s">
        <v>2552</v>
      </c>
      <c r="D1938" s="116"/>
      <c r="E1938" s="116"/>
      <c r="F1938" s="116"/>
      <c r="G1938" s="108"/>
      <c r="H1938" s="105" t="n">
        <f aca="false">'[2]$ лето'!j1938-'[2]$ лето'!au1938-'[2]$ лето'!at1938-'[2]$ лето'!as1938-'[2]$ лето'!ar1938-'[2]$ лето'!aq1938-'[2]$ лето'!ap1938-'[2]$ лето'!an1938-'[2]$ лето'!am1938-'[2]$ лето'!al1938-'[2]$ лето'!ak1938-'[2]$ лето'!aj1938-'[2]$ лето'!ah1938-'[2]$ лето'!ag1938-'[2]$ лето'!af1938-'[2]$ лето'!ae1938-'[2]$ лето'!ad1938-'[2]$ лето'!ab1938-'[2]$ лето'!aa1938-'[2]$ лето'!z1938-'[2]$ лето'!y1938-'[2]$ лето'!x1938-'[2]$ лето'!v1938-'[2]$ лето'!u1938-'[2]$ лето'!t1938-'[2]$ лето'!s1938-'[2]$ лето'!r1938-'[2]$ лето'!p1938-'[2]$ лето'!o1938-'[2]$ лето'!n1938-'[2]$ лето'!m1938-'[2]$ лето'!l1938+'[2]$ лето'!k1938+'[2]$ лето'!q1938+'[2]$ лето'!w1938+'[2]$ лето'!ac1938+'[2]$ лето'!ai1938+'[2]$ лето'!ao1938</f>
        <v>6</v>
      </c>
      <c r="I1938" s="109" t="n">
        <f aca="false">'[2]$ лето'!ay1938*1.1</f>
        <v>1780.68</v>
      </c>
      <c r="J1938" s="113"/>
    </row>
    <row r="1939" customFormat="false" ht="15" hidden="false" customHeight="false" outlineLevel="0" collapsed="false">
      <c r="A1939" s="115" t="s">
        <v>295</v>
      </c>
      <c r="B1939" s="115" t="s">
        <v>621</v>
      </c>
      <c r="C1939" s="116" t="s">
        <v>2553</v>
      </c>
      <c r="D1939" s="116"/>
      <c r="E1939" s="116"/>
      <c r="F1939" s="116"/>
      <c r="G1939" s="108" t="s">
        <v>520</v>
      </c>
      <c r="H1939" s="105" t="n">
        <f aca="false">'[2]$ лето'!j1939-'[2]$ лето'!au1939-'[2]$ лето'!at1939-'[2]$ лето'!as1939-'[2]$ лето'!ar1939-'[2]$ лето'!aq1939-'[2]$ лето'!ap1939-'[2]$ лето'!an1939-'[2]$ лето'!am1939-'[2]$ лето'!al1939-'[2]$ лето'!ak1939-'[2]$ лето'!aj1939-'[2]$ лето'!ah1939-'[2]$ лето'!ag1939-'[2]$ лето'!af1939-'[2]$ лето'!ae1939-'[2]$ лето'!ad1939-'[2]$ лето'!ab1939-'[2]$ лето'!aa1939-'[2]$ лето'!z1939-'[2]$ лето'!y1939-'[2]$ лето'!x1939-'[2]$ лето'!v1939-'[2]$ лето'!u1939-'[2]$ лето'!t1939-'[2]$ лето'!s1939-'[2]$ лето'!r1939-'[2]$ лето'!p1939-'[2]$ лето'!o1939-'[2]$ лето'!n1939-'[2]$ лето'!m1939-'[2]$ лето'!l1939+'[2]$ лето'!k1939+'[2]$ лето'!q1939+'[2]$ лето'!w1939+'[2]$ лето'!ac1939+'[2]$ лето'!ai1939+'[2]$ лето'!ao1939</f>
        <v>2</v>
      </c>
      <c r="I1939" s="109" t="n">
        <f aca="false">'[2]$ лето'!ay1939*1.1</f>
        <v>1686.96</v>
      </c>
      <c r="J1939" s="113"/>
    </row>
    <row r="1940" customFormat="false" ht="15" hidden="false" customHeight="false" outlineLevel="0" collapsed="false">
      <c r="A1940" s="115" t="s">
        <v>295</v>
      </c>
      <c r="B1940" s="115" t="s">
        <v>623</v>
      </c>
      <c r="C1940" s="116" t="s">
        <v>2554</v>
      </c>
      <c r="D1940" s="116"/>
      <c r="E1940" s="116"/>
      <c r="F1940" s="116"/>
      <c r="G1940" s="108"/>
      <c r="H1940" s="105" t="n">
        <f aca="false">'[2]$ лето'!j1940-'[2]$ лето'!au1940-'[2]$ лето'!at1940-'[2]$ лето'!as1940-'[2]$ лето'!ar1940-'[2]$ лето'!aq1940-'[2]$ лето'!ap1940-'[2]$ лето'!an1940-'[2]$ лето'!am1940-'[2]$ лето'!al1940-'[2]$ лето'!ak1940-'[2]$ лето'!aj1940-'[2]$ лето'!ah1940-'[2]$ лето'!ag1940-'[2]$ лето'!af1940-'[2]$ лето'!ae1940-'[2]$ лето'!ad1940-'[2]$ лето'!ab1940-'[2]$ лето'!aa1940-'[2]$ лето'!z1940-'[2]$ лето'!y1940-'[2]$ лето'!x1940-'[2]$ лето'!v1940-'[2]$ лето'!u1940-'[2]$ лето'!t1940-'[2]$ лето'!s1940-'[2]$ лето'!r1940-'[2]$ лето'!p1940-'[2]$ лето'!o1940-'[2]$ лето'!n1940-'[2]$ лето'!m1940-'[2]$ лето'!l1940+'[2]$ лето'!k1940+'[2]$ лето'!q1940+'[2]$ лето'!w1940+'[2]$ лето'!ac1940+'[2]$ лето'!ai1940+'[2]$ лето'!ao1940</f>
        <v>2</v>
      </c>
      <c r="I1940" s="109" t="n">
        <f aca="false">'[2]$ лето'!ay1940*1.1</f>
        <v>1874.4</v>
      </c>
      <c r="J1940" s="85" t="n">
        <v>2017</v>
      </c>
    </row>
    <row r="1941" customFormat="false" ht="15" hidden="true" customHeight="false" outlineLevel="0" collapsed="false">
      <c r="A1941" s="115" t="s">
        <v>295</v>
      </c>
      <c r="B1941" s="115" t="s">
        <v>1524</v>
      </c>
      <c r="C1941" s="116" t="s">
        <v>2555</v>
      </c>
      <c r="D1941" s="116"/>
      <c r="E1941" s="116"/>
      <c r="F1941" s="116"/>
      <c r="G1941" s="108"/>
      <c r="H1941" s="105" t="n">
        <f aca="false">'[2]$ лето'!j1941-'[2]$ лето'!au1941-'[2]$ лето'!at1941-'[2]$ лето'!as1941-'[2]$ лето'!ar1941-'[2]$ лето'!aq1941-'[2]$ лето'!ap1941-'[2]$ лето'!an1941-'[2]$ лето'!am1941-'[2]$ лето'!al1941-'[2]$ лето'!ak1941-'[2]$ лето'!aj1941-'[2]$ лето'!ah1941-'[2]$ лето'!ag1941-'[2]$ лето'!af1941-'[2]$ лето'!ae1941-'[2]$ лето'!ad1941-'[2]$ лето'!ab1941-'[2]$ лето'!aa1941-'[2]$ лето'!z1941-'[2]$ лето'!y1941-'[2]$ лето'!x1941-'[2]$ лето'!v1941-'[2]$ лето'!u1941-'[2]$ лето'!t1941-'[2]$ лето'!s1941-'[2]$ лето'!r1941-'[2]$ лето'!p1941-'[2]$ лето'!o1941-'[2]$ лето'!n1941-'[2]$ лето'!m1941-'[2]$ лето'!l1941+'[2]$ лето'!k1941+'[2]$ лето'!q1941+'[2]$ лето'!w1941+'[2]$ лето'!ac1941+'[2]$ лето'!ai1941+'[2]$ лето'!ao1941</f>
        <v>0</v>
      </c>
      <c r="I1941" s="109" t="n">
        <f aca="false">'[2]$ лето'!ay1941*1.1</f>
        <v>1468.28</v>
      </c>
    </row>
    <row r="1942" customFormat="false" ht="15" hidden="false" customHeight="false" outlineLevel="0" collapsed="false">
      <c r="A1942" s="120" t="s">
        <v>302</v>
      </c>
      <c r="B1942" s="121"/>
      <c r="C1942" s="122"/>
      <c r="D1942" s="122"/>
      <c r="E1942" s="122"/>
      <c r="F1942" s="122"/>
      <c r="G1942" s="104"/>
      <c r="H1942" s="105"/>
      <c r="I1942" s="105" t="n">
        <f aca="false">'[2]$ лето'!ay1942*1.1</f>
        <v>0</v>
      </c>
    </row>
    <row r="1943" customFormat="false" ht="15" hidden="false" customHeight="false" outlineLevel="0" collapsed="false">
      <c r="A1943" s="161" t="s">
        <v>346</v>
      </c>
      <c r="B1943" s="123" t="s">
        <v>604</v>
      </c>
      <c r="C1943" s="116" t="s">
        <v>2556</v>
      </c>
      <c r="D1943" s="116"/>
      <c r="E1943" s="116"/>
      <c r="F1943" s="116"/>
      <c r="G1943" s="108"/>
      <c r="H1943" s="105" t="n">
        <f aca="false">'[2]$ лето'!j1943-'[2]$ лето'!au1943-'[2]$ лето'!at1943-'[2]$ лето'!as1943-'[2]$ лето'!ar1943-'[2]$ лето'!aq1943-'[2]$ лето'!ap1943-'[2]$ лето'!an1943-'[2]$ лето'!am1943-'[2]$ лето'!al1943-'[2]$ лето'!ak1943-'[2]$ лето'!aj1943-'[2]$ лето'!ah1943-'[2]$ лето'!ag1943-'[2]$ лето'!af1943-'[2]$ лето'!ae1943-'[2]$ лето'!ad1943-'[2]$ лето'!ab1943-'[2]$ лето'!aa1943-'[2]$ лето'!z1943-'[2]$ лето'!y1943-'[2]$ лето'!x1943-'[2]$ лето'!v1943-'[2]$ лето'!u1943-'[2]$ лето'!t1943-'[2]$ лето'!s1943-'[2]$ лето'!r1943-'[2]$ лето'!p1943-'[2]$ лето'!o1943-'[2]$ лето'!n1943-'[2]$ лето'!m1943-'[2]$ лето'!l1943+'[2]$ лето'!k1943+'[2]$ лето'!q1943+'[2]$ лето'!w1943+'[2]$ лето'!ac1943+'[2]$ лето'!ai1943+'[2]$ лето'!ao1943</f>
        <v>1</v>
      </c>
      <c r="I1943" s="109" t="n">
        <f aca="false">'[2]$ лето'!ay1943*1.1</f>
        <v>1405.8</v>
      </c>
    </row>
    <row r="1944" customFormat="false" ht="15" hidden="true" customHeight="false" outlineLevel="0" collapsed="false">
      <c r="A1944" s="161" t="s">
        <v>346</v>
      </c>
      <c r="B1944" s="123" t="s">
        <v>574</v>
      </c>
      <c r="C1944" s="107" t="s">
        <v>2557</v>
      </c>
      <c r="D1944" s="107"/>
      <c r="E1944" s="107"/>
      <c r="F1944" s="107"/>
      <c r="G1944" s="108" t="s">
        <v>576</v>
      </c>
      <c r="H1944" s="105" t="n">
        <f aca="false">'[2]$ лето'!j1944-'[2]$ лето'!au1944-'[2]$ лето'!at1944-'[2]$ лето'!as1944-'[2]$ лето'!ar1944-'[2]$ лето'!aq1944-'[2]$ лето'!ap1944-'[2]$ лето'!an1944-'[2]$ лето'!am1944-'[2]$ лето'!al1944-'[2]$ лето'!ak1944-'[2]$ лето'!aj1944-'[2]$ лето'!ah1944-'[2]$ лето'!ag1944-'[2]$ лето'!af1944-'[2]$ лето'!ae1944-'[2]$ лето'!ad1944-'[2]$ лето'!ab1944-'[2]$ лето'!aa1944-'[2]$ лето'!z1944-'[2]$ лето'!y1944-'[2]$ лето'!x1944-'[2]$ лето'!v1944-'[2]$ лето'!u1944-'[2]$ лето'!t1944-'[2]$ лето'!s1944-'[2]$ лето'!r1944-'[2]$ лето'!p1944-'[2]$ лето'!o1944-'[2]$ лето'!n1944-'[2]$ лето'!m1944-'[2]$ лето'!l1944+'[2]$ лето'!k1944+'[2]$ лето'!q1944+'[2]$ лето'!w1944+'[2]$ лето'!ac1944+'[2]$ лето'!ai1944+'[2]$ лето'!ao1944</f>
        <v>0</v>
      </c>
      <c r="I1944" s="109" t="n">
        <f aca="false">'[2]$ лето'!ay1944*1.1</f>
        <v>2420</v>
      </c>
    </row>
    <row r="1945" customFormat="false" ht="15" hidden="true" customHeight="false" outlineLevel="0" collapsed="false">
      <c r="A1945" s="161" t="s">
        <v>346</v>
      </c>
      <c r="B1945" s="123" t="s">
        <v>574</v>
      </c>
      <c r="C1945" s="107" t="s">
        <v>2558</v>
      </c>
      <c r="D1945" s="107"/>
      <c r="E1945" s="107"/>
      <c r="F1945" s="107"/>
      <c r="G1945" s="108" t="s">
        <v>576</v>
      </c>
      <c r="H1945" s="105" t="n">
        <f aca="false">'[2]$ лето'!j1945-'[2]$ лето'!au1945-'[2]$ лето'!at1945-'[2]$ лето'!as1945-'[2]$ лето'!ar1945-'[2]$ лето'!aq1945-'[2]$ лето'!ap1945-'[2]$ лето'!an1945-'[2]$ лето'!am1945-'[2]$ лето'!al1945-'[2]$ лето'!ak1945-'[2]$ лето'!aj1945-'[2]$ лето'!ah1945-'[2]$ лето'!ag1945-'[2]$ лето'!af1945-'[2]$ лето'!ae1945-'[2]$ лето'!ad1945-'[2]$ лето'!ab1945-'[2]$ лето'!aa1945-'[2]$ лето'!z1945-'[2]$ лето'!y1945-'[2]$ лето'!x1945-'[2]$ лето'!v1945-'[2]$ лето'!u1945-'[2]$ лето'!t1945-'[2]$ лето'!s1945-'[2]$ лето'!r1945-'[2]$ лето'!p1945-'[2]$ лето'!o1945-'[2]$ лето'!n1945-'[2]$ лето'!m1945-'[2]$ лето'!l1945+'[2]$ лето'!k1945+'[2]$ лето'!q1945+'[2]$ лето'!w1945+'[2]$ лето'!ac1945+'[2]$ лето'!ai1945+'[2]$ лето'!ao1945</f>
        <v>0</v>
      </c>
      <c r="I1945" s="109" t="n">
        <f aca="false">'[2]$ лето'!ay1945*1.1</f>
        <v>2475</v>
      </c>
    </row>
    <row r="1946" customFormat="false" ht="15" hidden="true" customHeight="false" outlineLevel="0" collapsed="false">
      <c r="A1946" s="161" t="s">
        <v>346</v>
      </c>
      <c r="B1946" s="123" t="s">
        <v>617</v>
      </c>
      <c r="C1946" s="107" t="s">
        <v>2525</v>
      </c>
      <c r="D1946" s="107"/>
      <c r="E1946" s="107"/>
      <c r="F1946" s="107"/>
      <c r="G1946" s="108"/>
      <c r="H1946" s="105" t="n">
        <f aca="false">'[2]$ лето'!j1946-'[2]$ лето'!au1946-'[2]$ лето'!at1946-'[2]$ лето'!as1946-'[2]$ лето'!ar1946-'[2]$ лето'!aq1946-'[2]$ лето'!ap1946-'[2]$ лето'!an1946-'[2]$ лето'!am1946-'[2]$ лето'!al1946-'[2]$ лето'!ak1946-'[2]$ лето'!aj1946-'[2]$ лето'!ah1946-'[2]$ лето'!ag1946-'[2]$ лето'!af1946-'[2]$ лето'!ae1946-'[2]$ лето'!ad1946-'[2]$ лето'!ab1946-'[2]$ лето'!aa1946-'[2]$ лето'!z1946-'[2]$ лето'!y1946-'[2]$ лето'!x1946-'[2]$ лето'!v1946-'[2]$ лето'!u1946-'[2]$ лето'!t1946-'[2]$ лето'!s1946-'[2]$ лето'!r1946-'[2]$ лето'!p1946-'[2]$ лето'!o1946-'[2]$ лето'!n1946-'[2]$ лето'!m1946-'[2]$ лето'!l1946+'[2]$ лето'!k1946+'[2]$ лето'!q1946+'[2]$ лето'!w1946+'[2]$ лето'!ac1946+'[2]$ лето'!ai1946+'[2]$ лето'!ao1946</f>
        <v>0</v>
      </c>
      <c r="I1946" s="109" t="n">
        <f aca="false">'[2]$ лето'!ay1946*1.1</f>
        <v>2343</v>
      </c>
    </row>
    <row r="1947" customFormat="false" ht="15" hidden="false" customHeight="false" outlineLevel="0" collapsed="false">
      <c r="A1947" s="161" t="s">
        <v>346</v>
      </c>
      <c r="B1947" s="123" t="s">
        <v>1161</v>
      </c>
      <c r="C1947" s="107" t="s">
        <v>2559</v>
      </c>
      <c r="D1947" s="107"/>
      <c r="E1947" s="116"/>
      <c r="F1947" s="116"/>
      <c r="G1947" s="108"/>
      <c r="H1947" s="105" t="n">
        <f aca="false">'[2]$ лето'!j1947-'[2]$ лето'!au1947-'[2]$ лето'!at1947-'[2]$ лето'!as1947-'[2]$ лето'!ar1947-'[2]$ лето'!aq1947-'[2]$ лето'!ap1947-'[2]$ лето'!an1947-'[2]$ лето'!am1947-'[2]$ лето'!al1947-'[2]$ лето'!ak1947-'[2]$ лето'!aj1947-'[2]$ лето'!ah1947-'[2]$ лето'!ag1947-'[2]$ лето'!af1947-'[2]$ лето'!ae1947-'[2]$ лето'!ad1947-'[2]$ лето'!ab1947-'[2]$ лето'!aa1947-'[2]$ лето'!z1947-'[2]$ лето'!y1947-'[2]$ лето'!x1947-'[2]$ лето'!v1947-'[2]$ лето'!u1947-'[2]$ лето'!t1947-'[2]$ лето'!s1947-'[2]$ лето'!r1947-'[2]$ лето'!p1947-'[2]$ лето'!o1947-'[2]$ лето'!n1947-'[2]$ лето'!m1947-'[2]$ лето'!l1947+'[2]$ лето'!k1947+'[2]$ лето'!q1947+'[2]$ лето'!w1947+'[2]$ лето'!ac1947+'[2]$ лето'!ai1947+'[2]$ лето'!ao1947</f>
        <v>1</v>
      </c>
      <c r="I1947" s="109" t="n">
        <f aca="false">'[2]$ лето'!ay1947*1.1</f>
        <v>1718.2</v>
      </c>
      <c r="J1947" s="113"/>
    </row>
    <row r="1948" customFormat="false" ht="15" hidden="false" customHeight="false" outlineLevel="0" collapsed="false">
      <c r="A1948" s="161" t="s">
        <v>303</v>
      </c>
      <c r="B1948" s="123" t="s">
        <v>606</v>
      </c>
      <c r="C1948" s="116" t="s">
        <v>2560</v>
      </c>
      <c r="D1948" s="116"/>
      <c r="E1948" s="116"/>
      <c r="F1948" s="116"/>
      <c r="G1948" s="108"/>
      <c r="H1948" s="105" t="n">
        <f aca="false">'[2]$ лето'!j1948-'[2]$ лето'!au1948-'[2]$ лето'!at1948-'[2]$ лето'!as1948-'[2]$ лето'!ar1948-'[2]$ лето'!aq1948-'[2]$ лето'!ap1948-'[2]$ лето'!an1948-'[2]$ лето'!am1948-'[2]$ лето'!al1948-'[2]$ лето'!ak1948-'[2]$ лето'!aj1948-'[2]$ лето'!ah1948-'[2]$ лето'!ag1948-'[2]$ лето'!af1948-'[2]$ лето'!ae1948-'[2]$ лето'!ad1948-'[2]$ лето'!ab1948-'[2]$ лето'!aa1948-'[2]$ лето'!z1948-'[2]$ лето'!y1948-'[2]$ лето'!x1948-'[2]$ лето'!v1948-'[2]$ лето'!u1948-'[2]$ лето'!t1948-'[2]$ лето'!s1948-'[2]$ лето'!r1948-'[2]$ лето'!p1948-'[2]$ лето'!o1948-'[2]$ лето'!n1948-'[2]$ лето'!m1948-'[2]$ лето'!l1948+'[2]$ лето'!k1948+'[2]$ лето'!q1948+'[2]$ лето'!w1948+'[2]$ лето'!ac1948+'[2]$ лето'!ai1948+'[2]$ лето'!ao1948</f>
        <v>2</v>
      </c>
      <c r="I1948" s="109" t="n">
        <f aca="false">'[2]$ лето'!ay1948*1.1</f>
        <v>2811.6</v>
      </c>
      <c r="J1948" s="113"/>
    </row>
    <row r="1949" customFormat="false" ht="15" hidden="false" customHeight="false" outlineLevel="0" collapsed="false">
      <c r="A1949" s="161" t="s">
        <v>303</v>
      </c>
      <c r="B1949" s="123" t="s">
        <v>652</v>
      </c>
      <c r="C1949" s="116" t="s">
        <v>1030</v>
      </c>
      <c r="D1949" s="116"/>
      <c r="E1949" s="116"/>
      <c r="F1949" s="116"/>
      <c r="G1949" s="108"/>
      <c r="H1949" s="105" t="n">
        <f aca="false">'[2]$ лето'!j1949-'[2]$ лето'!au1949-'[2]$ лето'!at1949-'[2]$ лето'!as1949-'[2]$ лето'!ar1949-'[2]$ лето'!aq1949-'[2]$ лето'!ap1949-'[2]$ лето'!an1949-'[2]$ лето'!am1949-'[2]$ лето'!al1949-'[2]$ лето'!ak1949-'[2]$ лето'!aj1949-'[2]$ лето'!ah1949-'[2]$ лето'!ag1949-'[2]$ лето'!af1949-'[2]$ лето'!ae1949-'[2]$ лето'!ad1949-'[2]$ лето'!ab1949-'[2]$ лето'!aa1949-'[2]$ лето'!z1949-'[2]$ лето'!y1949-'[2]$ лето'!x1949-'[2]$ лето'!v1949-'[2]$ лето'!u1949-'[2]$ лето'!t1949-'[2]$ лето'!s1949-'[2]$ лето'!r1949-'[2]$ лето'!p1949-'[2]$ лето'!o1949-'[2]$ лето'!n1949-'[2]$ лето'!m1949-'[2]$ лето'!l1949+'[2]$ лето'!k1949+'[2]$ лето'!q1949+'[2]$ лето'!w1949+'[2]$ лето'!ac1949+'[2]$ лето'!ai1949+'[2]$ лето'!ao1949</f>
        <v>1</v>
      </c>
      <c r="I1949" s="109" t="n">
        <f aca="false">'[2]$ лето'!ay1949*1.1</f>
        <v>2499.2</v>
      </c>
    </row>
    <row r="1950" customFormat="false" ht="15" hidden="true" customHeight="false" outlineLevel="0" collapsed="false">
      <c r="A1950" s="161" t="s">
        <v>303</v>
      </c>
      <c r="B1950" s="123" t="s">
        <v>564</v>
      </c>
      <c r="C1950" s="116" t="s">
        <v>2561</v>
      </c>
      <c r="D1950" s="116"/>
      <c r="E1950" s="116"/>
      <c r="F1950" s="116"/>
      <c r="G1950" s="108" t="s">
        <v>520</v>
      </c>
      <c r="H1950" s="105" t="n">
        <f aca="false">'[2]$ лето'!j1950-'[2]$ лето'!au1950-'[2]$ лето'!at1950-'[2]$ лето'!as1950-'[2]$ лето'!ar1950-'[2]$ лето'!aq1950-'[2]$ лето'!ap1950-'[2]$ лето'!an1950-'[2]$ лето'!am1950-'[2]$ лето'!al1950-'[2]$ лето'!ak1950-'[2]$ лето'!aj1950-'[2]$ лето'!ah1950-'[2]$ лето'!ag1950-'[2]$ лето'!af1950-'[2]$ лето'!ae1950-'[2]$ лето'!ad1950-'[2]$ лето'!ab1950-'[2]$ лето'!aa1950-'[2]$ лето'!z1950-'[2]$ лето'!y1950-'[2]$ лето'!x1950-'[2]$ лето'!v1950-'[2]$ лето'!u1950-'[2]$ лето'!t1950-'[2]$ лето'!s1950-'[2]$ лето'!r1950-'[2]$ лето'!p1950-'[2]$ лето'!o1950-'[2]$ лето'!n1950-'[2]$ лето'!m1950-'[2]$ лето'!l1950+'[2]$ лето'!k1950+'[2]$ лето'!q1950+'[2]$ лето'!w1950+'[2]$ лето'!ac1950+'[2]$ лето'!ai1950+'[2]$ лето'!ao1950</f>
        <v>0</v>
      </c>
      <c r="I1950" s="109" t="n">
        <f aca="false">'[2]$ лето'!ay1950*1.1</f>
        <v>2186.8</v>
      </c>
    </row>
    <row r="1951" customFormat="false" ht="15" hidden="true" customHeight="false" outlineLevel="0" collapsed="false">
      <c r="A1951" s="161" t="s">
        <v>303</v>
      </c>
      <c r="B1951" s="123" t="s">
        <v>564</v>
      </c>
      <c r="C1951" s="107" t="s">
        <v>2562</v>
      </c>
      <c r="D1951" s="107"/>
      <c r="E1951" s="107"/>
      <c r="F1951" s="107"/>
      <c r="G1951" s="108" t="s">
        <v>520</v>
      </c>
      <c r="H1951" s="105" t="n">
        <f aca="false">'[2]$ лето'!j1951-'[2]$ лето'!au1951-'[2]$ лето'!at1951-'[2]$ лето'!as1951-'[2]$ лето'!ar1951-'[2]$ лето'!aq1951-'[2]$ лето'!ap1951-'[2]$ лето'!an1951-'[2]$ лето'!am1951-'[2]$ лето'!al1951-'[2]$ лето'!ak1951-'[2]$ лето'!aj1951-'[2]$ лето'!ah1951-'[2]$ лето'!ag1951-'[2]$ лето'!af1951-'[2]$ лето'!ae1951-'[2]$ лето'!ad1951-'[2]$ лето'!ab1951-'[2]$ лето'!aa1951-'[2]$ лето'!z1951-'[2]$ лето'!y1951-'[2]$ лето'!x1951-'[2]$ лето'!v1951-'[2]$ лето'!u1951-'[2]$ лето'!t1951-'[2]$ лето'!s1951-'[2]$ лето'!r1951-'[2]$ лето'!p1951-'[2]$ лето'!o1951-'[2]$ лето'!n1951-'[2]$ лето'!m1951-'[2]$ лето'!l1951+'[2]$ лето'!k1951+'[2]$ лето'!q1951+'[2]$ лето'!w1951+'[2]$ лето'!ac1951+'[2]$ лето'!ai1951+'[2]$ лето'!ao1951</f>
        <v>0</v>
      </c>
      <c r="I1951" s="109" t="n">
        <f aca="false">'[2]$ лето'!ay1951*1.1</f>
        <v>2186.8</v>
      </c>
    </row>
    <row r="1952" customFormat="false" ht="15" hidden="false" customHeight="false" outlineLevel="0" collapsed="false">
      <c r="A1952" s="115" t="s">
        <v>308</v>
      </c>
      <c r="B1952" s="123" t="s">
        <v>1300</v>
      </c>
      <c r="C1952" s="107" t="s">
        <v>2563</v>
      </c>
      <c r="D1952" s="107"/>
      <c r="E1952" s="116"/>
      <c r="F1952" s="116"/>
      <c r="G1952" s="108"/>
      <c r="H1952" s="105" t="n">
        <f aca="false">'[2]$ лето'!j1952-'[2]$ лето'!au1952-'[2]$ лето'!at1952-'[2]$ лето'!as1952-'[2]$ лето'!ar1952-'[2]$ лето'!aq1952-'[2]$ лето'!ap1952-'[2]$ лето'!an1952-'[2]$ лето'!am1952-'[2]$ лето'!al1952-'[2]$ лето'!ak1952-'[2]$ лето'!aj1952-'[2]$ лето'!ah1952-'[2]$ лето'!ag1952-'[2]$ лето'!af1952-'[2]$ лето'!ae1952-'[2]$ лето'!ad1952-'[2]$ лето'!ab1952-'[2]$ лето'!aa1952-'[2]$ лето'!z1952-'[2]$ лето'!y1952-'[2]$ лето'!x1952-'[2]$ лето'!v1952-'[2]$ лето'!u1952-'[2]$ лето'!t1952-'[2]$ лето'!s1952-'[2]$ лето'!r1952-'[2]$ лето'!p1952-'[2]$ лето'!o1952-'[2]$ лето'!n1952-'[2]$ лето'!m1952-'[2]$ лето'!l1952+'[2]$ лето'!k1952+'[2]$ лето'!q1952+'[2]$ лето'!w1952+'[2]$ лето'!ac1952+'[2]$ лето'!ai1952+'[2]$ лето'!ao1952</f>
        <v>4</v>
      </c>
      <c r="I1952" s="109" t="n">
        <f aca="false">'[2]$ лето'!ay1952*1.1</f>
        <v>1437.04</v>
      </c>
    </row>
    <row r="1953" customFormat="false" ht="15" hidden="false" customHeight="false" outlineLevel="0" collapsed="false">
      <c r="A1953" s="115" t="s">
        <v>308</v>
      </c>
      <c r="B1953" s="123" t="s">
        <v>2564</v>
      </c>
      <c r="C1953" s="116" t="s">
        <v>2565</v>
      </c>
      <c r="D1953" s="116"/>
      <c r="E1953" s="116"/>
      <c r="F1953" s="116"/>
      <c r="G1953" s="108"/>
      <c r="H1953" s="105" t="n">
        <f aca="false">'[2]$ лето'!j1953-'[2]$ лето'!au1953-'[2]$ лето'!at1953-'[2]$ лето'!as1953-'[2]$ лето'!ar1953-'[2]$ лето'!aq1953-'[2]$ лето'!ap1953-'[2]$ лето'!an1953-'[2]$ лето'!am1953-'[2]$ лето'!al1953-'[2]$ лето'!ak1953-'[2]$ лето'!aj1953-'[2]$ лето'!ah1953-'[2]$ лето'!ag1953-'[2]$ лето'!af1953-'[2]$ лето'!ae1953-'[2]$ лето'!ad1953-'[2]$ лето'!ab1953-'[2]$ лето'!aa1953-'[2]$ лето'!z1953-'[2]$ лето'!y1953-'[2]$ лето'!x1953-'[2]$ лето'!v1953-'[2]$ лето'!u1953-'[2]$ лето'!t1953-'[2]$ лето'!s1953-'[2]$ лето'!r1953-'[2]$ лето'!p1953-'[2]$ лето'!o1953-'[2]$ лето'!n1953-'[2]$ лето'!m1953-'[2]$ лето'!l1953+'[2]$ лето'!k1953+'[2]$ лето'!q1953+'[2]$ лето'!w1953+'[2]$ лето'!ac1953+'[2]$ лето'!ai1953+'[2]$ лето'!ao1953</f>
        <v>10</v>
      </c>
      <c r="I1953" s="109" t="n">
        <f aca="false">'[2]$ лето'!ay1953*1.1</f>
        <v>1375</v>
      </c>
    </row>
    <row r="1954" customFormat="false" ht="15" hidden="true" customHeight="false" outlineLevel="0" collapsed="false">
      <c r="A1954" s="115" t="s">
        <v>308</v>
      </c>
      <c r="B1954" s="115" t="s">
        <v>1537</v>
      </c>
      <c r="C1954" s="107" t="s">
        <v>2566</v>
      </c>
      <c r="D1954" s="107"/>
      <c r="E1954" s="107"/>
      <c r="F1954" s="107"/>
      <c r="G1954" s="108"/>
      <c r="H1954" s="105" t="n">
        <f aca="false">'[2]$ лето'!j1954-'[2]$ лето'!au1954-'[2]$ лето'!at1954-'[2]$ лето'!as1954-'[2]$ лето'!ar1954-'[2]$ лето'!aq1954-'[2]$ лето'!ap1954-'[2]$ лето'!an1954-'[2]$ лето'!am1954-'[2]$ лето'!al1954-'[2]$ лето'!ak1954-'[2]$ лето'!aj1954-'[2]$ лето'!ah1954-'[2]$ лето'!ag1954-'[2]$ лето'!af1954-'[2]$ лето'!ae1954-'[2]$ лето'!ad1954-'[2]$ лето'!ab1954-'[2]$ лето'!aa1954-'[2]$ лето'!z1954-'[2]$ лето'!y1954-'[2]$ лето'!x1954-'[2]$ лето'!v1954-'[2]$ лето'!u1954-'[2]$ лето'!t1954-'[2]$ лето'!s1954-'[2]$ лето'!r1954-'[2]$ лето'!p1954-'[2]$ лето'!o1954-'[2]$ лето'!n1954-'[2]$ лето'!m1954-'[2]$ лето'!l1954+'[2]$ лето'!k1954+'[2]$ лето'!q1954+'[2]$ лето'!w1954+'[2]$ лето'!ac1954+'[2]$ лето'!ai1954+'[2]$ лето'!ao1954</f>
        <v>0</v>
      </c>
      <c r="I1954" s="109" t="n">
        <f aca="false">'[2]$ лето'!ay1954*1.1</f>
        <v>1595</v>
      </c>
    </row>
    <row r="1955" customFormat="false" ht="15" hidden="false" customHeight="false" outlineLevel="0" collapsed="false">
      <c r="A1955" s="115" t="s">
        <v>308</v>
      </c>
      <c r="B1955" s="115" t="s">
        <v>574</v>
      </c>
      <c r="C1955" s="107" t="s">
        <v>2491</v>
      </c>
      <c r="D1955" s="107"/>
      <c r="E1955" s="116"/>
      <c r="F1955" s="116"/>
      <c r="G1955" s="108" t="s">
        <v>576</v>
      </c>
      <c r="H1955" s="105" t="n">
        <f aca="false">'[2]$ лето'!j1955-'[2]$ лето'!au1955-'[2]$ лето'!at1955-'[2]$ лето'!as1955-'[2]$ лето'!ar1955-'[2]$ лето'!aq1955-'[2]$ лето'!ap1955-'[2]$ лето'!an1955-'[2]$ лето'!am1955-'[2]$ лето'!al1955-'[2]$ лето'!ak1955-'[2]$ лето'!aj1955-'[2]$ лето'!ah1955-'[2]$ лето'!ag1955-'[2]$ лето'!af1955-'[2]$ лето'!ae1955-'[2]$ лето'!ad1955-'[2]$ лето'!ab1955-'[2]$ лето'!aa1955-'[2]$ лето'!z1955-'[2]$ лето'!y1955-'[2]$ лето'!x1955-'[2]$ лето'!v1955-'[2]$ лето'!u1955-'[2]$ лето'!t1955-'[2]$ лето'!s1955-'[2]$ лето'!r1955-'[2]$ лето'!p1955-'[2]$ лето'!o1955-'[2]$ лето'!n1955-'[2]$ лето'!m1955-'[2]$ лето'!l1955+'[2]$ лето'!k1955+'[2]$ лето'!q1955+'[2]$ лето'!w1955+'[2]$ лето'!ac1955+'[2]$ лето'!ai1955+'[2]$ лето'!ao1955</f>
        <v>8</v>
      </c>
      <c r="I1955" s="109" t="n">
        <f aca="false">'[2]$ лето'!ay1955*1.1</f>
        <v>2186.8</v>
      </c>
    </row>
    <row r="1956" customFormat="false" ht="15" hidden="true" customHeight="false" outlineLevel="0" collapsed="false">
      <c r="A1956" s="115" t="s">
        <v>308</v>
      </c>
      <c r="B1956" s="115" t="s">
        <v>755</v>
      </c>
      <c r="C1956" s="107" t="s">
        <v>2567</v>
      </c>
      <c r="D1956" s="107"/>
      <c r="E1956" s="107"/>
      <c r="F1956" s="107"/>
      <c r="G1956" s="108"/>
      <c r="H1956" s="105" t="n">
        <f aca="false">'[2]$ лето'!j1956-'[2]$ лето'!au1956-'[2]$ лето'!at1956-'[2]$ лето'!as1956-'[2]$ лето'!ar1956-'[2]$ лето'!aq1956-'[2]$ лето'!ap1956-'[2]$ лето'!an1956-'[2]$ лето'!am1956-'[2]$ лето'!al1956-'[2]$ лето'!ak1956-'[2]$ лето'!aj1956-'[2]$ лето'!ah1956-'[2]$ лето'!ag1956-'[2]$ лето'!af1956-'[2]$ лето'!ae1956-'[2]$ лето'!ad1956-'[2]$ лето'!ab1956-'[2]$ лето'!aa1956-'[2]$ лето'!z1956-'[2]$ лето'!y1956-'[2]$ лето'!x1956-'[2]$ лето'!v1956-'[2]$ лето'!u1956-'[2]$ лето'!t1956-'[2]$ лето'!s1956-'[2]$ лето'!r1956-'[2]$ лето'!p1956-'[2]$ лето'!o1956-'[2]$ лето'!n1956-'[2]$ лето'!m1956-'[2]$ лето'!l1956+'[2]$ лето'!k1956+'[2]$ лето'!q1956+'[2]$ лето'!w1956+'[2]$ лето'!ac1956+'[2]$ лето'!ai1956+'[2]$ лето'!ao1956</f>
        <v>0</v>
      </c>
      <c r="I1956" s="109" t="n">
        <f aca="false">'[2]$ лето'!ay1956*1.1</f>
        <v>1595</v>
      </c>
      <c r="J1956" s="85" t="n">
        <v>2017</v>
      </c>
    </row>
    <row r="1957" customFormat="false" ht="15" hidden="false" customHeight="false" outlineLevel="0" collapsed="false">
      <c r="A1957" s="115" t="s">
        <v>308</v>
      </c>
      <c r="B1957" s="115" t="s">
        <v>583</v>
      </c>
      <c r="C1957" s="107" t="s">
        <v>2524</v>
      </c>
      <c r="D1957" s="107"/>
      <c r="E1957" s="116"/>
      <c r="F1957" s="116"/>
      <c r="G1957" s="108"/>
      <c r="H1957" s="105" t="n">
        <f aca="false">'[2]$ лето'!j1957-'[2]$ лето'!au1957-'[2]$ лето'!at1957-'[2]$ лето'!as1957-'[2]$ лето'!ar1957-'[2]$ лето'!aq1957-'[2]$ лето'!ap1957-'[2]$ лето'!an1957-'[2]$ лето'!am1957-'[2]$ лето'!al1957-'[2]$ лето'!ak1957-'[2]$ лето'!aj1957-'[2]$ лето'!ah1957-'[2]$ лето'!ag1957-'[2]$ лето'!af1957-'[2]$ лето'!ae1957-'[2]$ лето'!ad1957-'[2]$ лето'!ab1957-'[2]$ лето'!aa1957-'[2]$ лето'!z1957-'[2]$ лето'!y1957-'[2]$ лето'!x1957-'[2]$ лето'!v1957-'[2]$ лето'!u1957-'[2]$ лето'!t1957-'[2]$ лето'!s1957-'[2]$ лето'!r1957-'[2]$ лето'!p1957-'[2]$ лето'!o1957-'[2]$ лето'!n1957-'[2]$ лето'!m1957-'[2]$ лето'!l1957+'[2]$ лето'!k1957+'[2]$ лето'!q1957+'[2]$ лето'!w1957+'[2]$ лето'!ac1957+'[2]$ лето'!ai1957+'[2]$ лето'!ao1957</f>
        <v>2</v>
      </c>
      <c r="I1957" s="109" t="n">
        <f aca="false">'[2]$ лето'!ay1957*1.1</f>
        <v>1999.36</v>
      </c>
    </row>
    <row r="1958" customFormat="false" ht="15" hidden="true" customHeight="false" outlineLevel="0" collapsed="false">
      <c r="A1958" s="115" t="s">
        <v>308</v>
      </c>
      <c r="B1958" s="115" t="s">
        <v>593</v>
      </c>
      <c r="C1958" s="116" t="s">
        <v>2568</v>
      </c>
      <c r="D1958" s="116"/>
      <c r="E1958" s="116"/>
      <c r="F1958" s="116"/>
      <c r="G1958" s="108"/>
      <c r="H1958" s="105" t="n">
        <f aca="false">'[2]$ лето'!j1958-'[2]$ лето'!au1958-'[2]$ лето'!at1958-'[2]$ лето'!as1958-'[2]$ лето'!ar1958-'[2]$ лето'!aq1958-'[2]$ лето'!ap1958-'[2]$ лето'!an1958-'[2]$ лето'!am1958-'[2]$ лето'!al1958-'[2]$ лето'!ak1958-'[2]$ лето'!aj1958-'[2]$ лето'!ah1958-'[2]$ лето'!ag1958-'[2]$ лето'!af1958-'[2]$ лето'!ae1958-'[2]$ лето'!ad1958-'[2]$ лето'!ab1958-'[2]$ лето'!aa1958-'[2]$ лето'!z1958-'[2]$ лето'!y1958-'[2]$ лето'!x1958-'[2]$ лето'!v1958-'[2]$ лето'!u1958-'[2]$ лето'!t1958-'[2]$ лето'!s1958-'[2]$ лето'!r1958-'[2]$ лето'!p1958-'[2]$ лето'!o1958-'[2]$ лето'!n1958-'[2]$ лето'!m1958-'[2]$ лето'!l1958+'[2]$ лето'!k1958+'[2]$ лето'!q1958+'[2]$ лето'!w1958+'[2]$ лето'!ac1958+'[2]$ лето'!ai1958+'[2]$ лето'!ao1958</f>
        <v>0</v>
      </c>
      <c r="I1958" s="109" t="n">
        <f aca="false">'[2]$ лето'!ay1958*1.1</f>
        <v>3748.8</v>
      </c>
    </row>
    <row r="1959" customFormat="false" ht="15" hidden="true" customHeight="false" outlineLevel="0" collapsed="false">
      <c r="A1959" s="115" t="s">
        <v>308</v>
      </c>
      <c r="B1959" s="115" t="s">
        <v>586</v>
      </c>
      <c r="C1959" s="107" t="s">
        <v>2497</v>
      </c>
      <c r="D1959" s="107"/>
      <c r="E1959" s="107"/>
      <c r="F1959" s="107"/>
      <c r="G1959" s="108" t="s">
        <v>520</v>
      </c>
      <c r="H1959" s="105" t="n">
        <f aca="false">'[2]$ лето'!j1959-'[2]$ лето'!au1959-'[2]$ лето'!at1959-'[2]$ лето'!as1959-'[2]$ лето'!ar1959-'[2]$ лето'!aq1959-'[2]$ лето'!ap1959-'[2]$ лето'!an1959-'[2]$ лето'!am1959-'[2]$ лето'!al1959-'[2]$ лето'!ak1959-'[2]$ лето'!aj1959-'[2]$ лето'!ah1959-'[2]$ лето'!ag1959-'[2]$ лето'!af1959-'[2]$ лето'!ae1959-'[2]$ лето'!ad1959-'[2]$ лето'!ab1959-'[2]$ лето'!aa1959-'[2]$ лето'!z1959-'[2]$ лето'!y1959-'[2]$ лето'!x1959-'[2]$ лето'!v1959-'[2]$ лето'!u1959-'[2]$ лето'!t1959-'[2]$ лето'!s1959-'[2]$ лето'!r1959-'[2]$ лето'!p1959-'[2]$ лето'!o1959-'[2]$ лето'!n1959-'[2]$ лето'!m1959-'[2]$ лето'!l1959+'[2]$ лето'!k1959+'[2]$ лето'!q1959+'[2]$ лето'!w1959+'[2]$ лето'!ac1959+'[2]$ лето'!ai1959+'[2]$ лето'!ao1959</f>
        <v>0</v>
      </c>
      <c r="I1959" s="109" t="n">
        <f aca="false">'[2]$ лето'!ay1959*1.1</f>
        <v>1343.32</v>
      </c>
    </row>
    <row r="1960" customFormat="false" ht="15" hidden="false" customHeight="false" outlineLevel="0" collapsed="false">
      <c r="A1960" s="115" t="s">
        <v>308</v>
      </c>
      <c r="B1960" s="115" t="s">
        <v>621</v>
      </c>
      <c r="C1960" s="107" t="s">
        <v>2569</v>
      </c>
      <c r="D1960" s="107"/>
      <c r="E1960" s="116"/>
      <c r="F1960" s="116"/>
      <c r="G1960" s="108" t="s">
        <v>520</v>
      </c>
      <c r="H1960" s="105" t="n">
        <f aca="false">'[2]$ лето'!j1960-'[2]$ лето'!au1960-'[2]$ лето'!at1960-'[2]$ лето'!as1960-'[2]$ лето'!ar1960-'[2]$ лето'!aq1960-'[2]$ лето'!ap1960-'[2]$ лето'!an1960-'[2]$ лето'!am1960-'[2]$ лето'!al1960-'[2]$ лето'!ak1960-'[2]$ лето'!aj1960-'[2]$ лето'!ah1960-'[2]$ лето'!ag1960-'[2]$ лето'!af1960-'[2]$ лето'!ae1960-'[2]$ лето'!ad1960-'[2]$ лето'!ab1960-'[2]$ лето'!aa1960-'[2]$ лето'!z1960-'[2]$ лето'!y1960-'[2]$ лето'!x1960-'[2]$ лето'!v1960-'[2]$ лето'!u1960-'[2]$ лето'!t1960-'[2]$ лето'!s1960-'[2]$ лето'!r1960-'[2]$ лето'!p1960-'[2]$ лето'!o1960-'[2]$ лето'!n1960-'[2]$ лето'!m1960-'[2]$ лето'!l1960+'[2]$ лето'!k1960+'[2]$ лето'!q1960+'[2]$ лето'!w1960+'[2]$ лето'!ac1960+'[2]$ лето'!ai1960+'[2]$ лето'!ao1960</f>
        <v>26</v>
      </c>
      <c r="I1960" s="109" t="n">
        <f aca="false">'[2]$ лето'!ay1960*1.1</f>
        <v>1320</v>
      </c>
    </row>
    <row r="1961" customFormat="false" ht="15" hidden="false" customHeight="false" outlineLevel="0" collapsed="false">
      <c r="A1961" s="115" t="s">
        <v>308</v>
      </c>
      <c r="B1961" s="115" t="s">
        <v>2570</v>
      </c>
      <c r="C1961" s="107" t="s">
        <v>2571</v>
      </c>
      <c r="D1961" s="107"/>
      <c r="E1961" s="116"/>
      <c r="F1961" s="116"/>
      <c r="G1961" s="108"/>
      <c r="H1961" s="105" t="n">
        <f aca="false">'[2]$ лето'!j1961-'[2]$ лето'!au1961-'[2]$ лето'!at1961-'[2]$ лето'!as1961-'[2]$ лето'!ar1961-'[2]$ лето'!aq1961-'[2]$ лето'!ap1961-'[2]$ лето'!an1961-'[2]$ лето'!am1961-'[2]$ лето'!al1961-'[2]$ лето'!ak1961-'[2]$ лето'!aj1961-'[2]$ лето'!ah1961-'[2]$ лето'!ag1961-'[2]$ лето'!af1961-'[2]$ лето'!ae1961-'[2]$ лето'!ad1961-'[2]$ лето'!ab1961-'[2]$ лето'!aa1961-'[2]$ лето'!z1961-'[2]$ лето'!y1961-'[2]$ лето'!x1961-'[2]$ лето'!v1961-'[2]$ лето'!u1961-'[2]$ лето'!t1961-'[2]$ лето'!s1961-'[2]$ лето'!r1961-'[2]$ лето'!p1961-'[2]$ лето'!o1961-'[2]$ лето'!n1961-'[2]$ лето'!m1961-'[2]$ лето'!l1961+'[2]$ лето'!k1961+'[2]$ лето'!q1961+'[2]$ лето'!w1961+'[2]$ лето'!ac1961+'[2]$ лето'!ai1961+'[2]$ лето'!ao1961</f>
        <v>8</v>
      </c>
      <c r="I1961" s="109" t="n">
        <f aca="false">'[2]$ лето'!ay1961*1.1</f>
        <v>1405.8</v>
      </c>
    </row>
    <row r="1962" customFormat="false" ht="15" hidden="false" customHeight="false" outlineLevel="0" collapsed="false">
      <c r="A1962" s="115" t="s">
        <v>308</v>
      </c>
      <c r="B1962" s="115" t="s">
        <v>564</v>
      </c>
      <c r="C1962" s="107" t="s">
        <v>2572</v>
      </c>
      <c r="D1962" s="107"/>
      <c r="E1962" s="116"/>
      <c r="F1962" s="116"/>
      <c r="G1962" s="108" t="s">
        <v>520</v>
      </c>
      <c r="H1962" s="105" t="n">
        <f aca="false">'[2]$ лето'!j1962-'[2]$ лето'!au1962-'[2]$ лето'!at1962-'[2]$ лето'!as1962-'[2]$ лето'!ar1962-'[2]$ лето'!aq1962-'[2]$ лето'!ap1962-'[2]$ лето'!an1962-'[2]$ лето'!am1962-'[2]$ лето'!al1962-'[2]$ лето'!ak1962-'[2]$ лето'!aj1962-'[2]$ лето'!ah1962-'[2]$ лето'!ag1962-'[2]$ лето'!af1962-'[2]$ лето'!ae1962-'[2]$ лето'!ad1962-'[2]$ лето'!ab1962-'[2]$ лето'!aa1962-'[2]$ лето'!z1962-'[2]$ лето'!y1962-'[2]$ лето'!x1962-'[2]$ лето'!v1962-'[2]$ лето'!u1962-'[2]$ лето'!t1962-'[2]$ лето'!s1962-'[2]$ лето'!r1962-'[2]$ лето'!p1962-'[2]$ лето'!o1962-'[2]$ лето'!n1962-'[2]$ лето'!m1962-'[2]$ лето'!l1962+'[2]$ лето'!k1962+'[2]$ лето'!q1962+'[2]$ лето'!w1962+'[2]$ лето'!ac1962+'[2]$ лето'!ai1962+'[2]$ лето'!ao1962</f>
        <v>32</v>
      </c>
      <c r="I1962" s="109" t="n">
        <f aca="false">'[2]$ лето'!ay1962*1.1</f>
        <v>1430</v>
      </c>
      <c r="J1962" s="85" t="n">
        <v>2017</v>
      </c>
    </row>
    <row r="1963" customFormat="false" ht="15" hidden="true" customHeight="false" outlineLevel="0" collapsed="false">
      <c r="A1963" s="123" t="s">
        <v>2573</v>
      </c>
      <c r="B1963" s="115" t="s">
        <v>583</v>
      </c>
      <c r="C1963" s="107" t="s">
        <v>2574</v>
      </c>
      <c r="D1963" s="107"/>
      <c r="E1963" s="107"/>
      <c r="F1963" s="107"/>
      <c r="G1963" s="108"/>
      <c r="H1963" s="105" t="n">
        <f aca="false">'[2]$ лето'!j1963-'[2]$ лето'!au1963-'[2]$ лето'!at1963-'[2]$ лето'!as1963-'[2]$ лето'!ar1963-'[2]$ лето'!aq1963-'[2]$ лето'!ap1963-'[2]$ лето'!an1963-'[2]$ лето'!am1963-'[2]$ лето'!al1963-'[2]$ лето'!ak1963-'[2]$ лето'!aj1963-'[2]$ лето'!ah1963-'[2]$ лето'!ag1963-'[2]$ лето'!af1963-'[2]$ лето'!ae1963-'[2]$ лето'!ad1963-'[2]$ лето'!ab1963-'[2]$ лето'!aa1963-'[2]$ лето'!z1963-'[2]$ лето'!y1963-'[2]$ лето'!x1963-'[2]$ лето'!v1963-'[2]$ лето'!u1963-'[2]$ лето'!t1963-'[2]$ лето'!s1963-'[2]$ лето'!r1963-'[2]$ лето'!p1963-'[2]$ лето'!o1963-'[2]$ лето'!n1963-'[2]$ лето'!m1963-'[2]$ лето'!l1963+'[2]$ лето'!k1963+'[2]$ лето'!q1963+'[2]$ лето'!w1963+'[2]$ лето'!ac1963+'[2]$ лето'!ai1963+'[2]$ лето'!ao1963</f>
        <v>0</v>
      </c>
      <c r="I1963" s="109" t="n">
        <f aca="false">'[2]$ лето'!ay1963*1.1</f>
        <v>1562</v>
      </c>
    </row>
    <row r="1964" customFormat="false" ht="15" hidden="false" customHeight="false" outlineLevel="0" collapsed="false">
      <c r="A1964" s="123" t="s">
        <v>2573</v>
      </c>
      <c r="B1964" s="115" t="s">
        <v>574</v>
      </c>
      <c r="C1964" s="116" t="s">
        <v>2505</v>
      </c>
      <c r="D1964" s="116"/>
      <c r="E1964" s="116"/>
      <c r="F1964" s="116"/>
      <c r="G1964" s="108" t="s">
        <v>576</v>
      </c>
      <c r="H1964" s="105" t="n">
        <f aca="false">'[2]$ лето'!j1964-'[2]$ лето'!au1964-'[2]$ лето'!at1964-'[2]$ лето'!as1964-'[2]$ лето'!ar1964-'[2]$ лето'!aq1964-'[2]$ лето'!ap1964-'[2]$ лето'!an1964-'[2]$ лето'!am1964-'[2]$ лето'!al1964-'[2]$ лето'!ak1964-'[2]$ лето'!aj1964-'[2]$ лето'!ah1964-'[2]$ лето'!ag1964-'[2]$ лето'!af1964-'[2]$ лето'!ae1964-'[2]$ лето'!ad1964-'[2]$ лето'!ab1964-'[2]$ лето'!aa1964-'[2]$ лето'!z1964-'[2]$ лето'!y1964-'[2]$ лето'!x1964-'[2]$ лето'!v1964-'[2]$ лето'!u1964-'[2]$ лето'!t1964-'[2]$ лето'!s1964-'[2]$ лето'!r1964-'[2]$ лето'!p1964-'[2]$ лето'!o1964-'[2]$ лето'!n1964-'[2]$ лето'!m1964-'[2]$ лето'!l1964+'[2]$ лето'!k1964+'[2]$ лето'!q1964+'[2]$ лето'!w1964+'[2]$ лето'!ac1964+'[2]$ лето'!ai1964+'[2]$ лето'!ao1964</f>
        <v>2</v>
      </c>
      <c r="I1964" s="109" t="n">
        <f aca="false">'[2]$ лето'!ay1964*1.1</f>
        <v>2030.6</v>
      </c>
    </row>
    <row r="1965" customFormat="false" ht="15" hidden="false" customHeight="false" outlineLevel="0" collapsed="false">
      <c r="A1965" s="123" t="s">
        <v>2573</v>
      </c>
      <c r="B1965" s="115" t="s">
        <v>574</v>
      </c>
      <c r="C1965" s="116" t="s">
        <v>2492</v>
      </c>
      <c r="D1965" s="116"/>
      <c r="E1965" s="116"/>
      <c r="F1965" s="116"/>
      <c r="G1965" s="108" t="s">
        <v>576</v>
      </c>
      <c r="H1965" s="105" t="n">
        <f aca="false">'[2]$ лето'!j1965-'[2]$ лето'!au1965-'[2]$ лето'!at1965-'[2]$ лето'!as1965-'[2]$ лето'!ar1965-'[2]$ лето'!aq1965-'[2]$ лето'!ap1965-'[2]$ лето'!an1965-'[2]$ лето'!am1965-'[2]$ лето'!al1965-'[2]$ лето'!ak1965-'[2]$ лето'!aj1965-'[2]$ лето'!ah1965-'[2]$ лето'!ag1965-'[2]$ лето'!af1965-'[2]$ лето'!ae1965-'[2]$ лето'!ad1965-'[2]$ лето'!ab1965-'[2]$ лето'!aa1965-'[2]$ лето'!z1965-'[2]$ лето'!y1965-'[2]$ лето'!x1965-'[2]$ лето'!v1965-'[2]$ лето'!u1965-'[2]$ лето'!t1965-'[2]$ лето'!s1965-'[2]$ лето'!r1965-'[2]$ лето'!p1965-'[2]$ лето'!o1965-'[2]$ лето'!n1965-'[2]$ лето'!m1965-'[2]$ лето'!l1965+'[2]$ лето'!k1965+'[2]$ лето'!q1965+'[2]$ лето'!w1965+'[2]$ лето'!ac1965+'[2]$ лето'!ai1965+'[2]$ лето'!ao1965</f>
        <v>2</v>
      </c>
      <c r="I1965" s="109" t="n">
        <f aca="false">'[2]$ лето'!ay1965*1.1</f>
        <v>1999.36</v>
      </c>
    </row>
    <row r="1966" customFormat="false" ht="15" hidden="true" customHeight="false" outlineLevel="0" collapsed="false">
      <c r="A1966" s="123" t="s">
        <v>2573</v>
      </c>
      <c r="B1966" s="115" t="s">
        <v>623</v>
      </c>
      <c r="C1966" s="116" t="s">
        <v>2575</v>
      </c>
      <c r="D1966" s="116"/>
      <c r="E1966" s="116"/>
      <c r="F1966" s="116"/>
      <c r="G1966" s="108"/>
      <c r="H1966" s="105" t="n">
        <f aca="false">'[2]$ лето'!j1966-'[2]$ лето'!au1966-'[2]$ лето'!at1966-'[2]$ лето'!as1966-'[2]$ лето'!ar1966-'[2]$ лето'!aq1966-'[2]$ лето'!ap1966-'[2]$ лето'!an1966-'[2]$ лето'!am1966-'[2]$ лето'!al1966-'[2]$ лето'!ak1966-'[2]$ лето'!aj1966-'[2]$ лето'!ah1966-'[2]$ лето'!ag1966-'[2]$ лето'!af1966-'[2]$ лето'!ae1966-'[2]$ лето'!ad1966-'[2]$ лето'!ab1966-'[2]$ лето'!aa1966-'[2]$ лето'!z1966-'[2]$ лето'!y1966-'[2]$ лето'!x1966-'[2]$ лето'!v1966-'[2]$ лето'!u1966-'[2]$ лето'!t1966-'[2]$ лето'!s1966-'[2]$ лето'!r1966-'[2]$ лето'!p1966-'[2]$ лето'!o1966-'[2]$ лето'!n1966-'[2]$ лето'!m1966-'[2]$ лето'!l1966+'[2]$ лето'!k1966+'[2]$ лето'!q1966+'[2]$ лето'!w1966+'[2]$ лето'!ac1966+'[2]$ лето'!ai1966+'[2]$ лето'!ao1966</f>
        <v>0</v>
      </c>
      <c r="I1966" s="109" t="n">
        <f aca="false">'[2]$ лето'!ay1966*1.1</f>
        <v>1624.48</v>
      </c>
    </row>
    <row r="1967" customFormat="false" ht="15" hidden="false" customHeight="false" outlineLevel="0" collapsed="false">
      <c r="A1967" s="123" t="s">
        <v>2576</v>
      </c>
      <c r="B1967" s="115" t="s">
        <v>844</v>
      </c>
      <c r="C1967" s="116" t="s">
        <v>2577</v>
      </c>
      <c r="D1967" s="116"/>
      <c r="E1967" s="116"/>
      <c r="F1967" s="116"/>
      <c r="G1967" s="108"/>
      <c r="H1967" s="105" t="n">
        <f aca="false">'[2]$ лето'!j1967-'[2]$ лето'!au1967-'[2]$ лето'!at1967-'[2]$ лето'!as1967-'[2]$ лето'!ar1967-'[2]$ лето'!aq1967-'[2]$ лето'!ap1967-'[2]$ лето'!an1967-'[2]$ лето'!am1967-'[2]$ лето'!al1967-'[2]$ лето'!ak1967-'[2]$ лето'!aj1967-'[2]$ лето'!ah1967-'[2]$ лето'!ag1967-'[2]$ лето'!af1967-'[2]$ лето'!ae1967-'[2]$ лето'!ad1967-'[2]$ лето'!ab1967-'[2]$ лето'!aa1967-'[2]$ лето'!z1967-'[2]$ лето'!y1967-'[2]$ лето'!x1967-'[2]$ лето'!v1967-'[2]$ лето'!u1967-'[2]$ лето'!t1967-'[2]$ лето'!s1967-'[2]$ лето'!r1967-'[2]$ лето'!p1967-'[2]$ лето'!o1967-'[2]$ лето'!n1967-'[2]$ лето'!m1967-'[2]$ лето'!l1967+'[2]$ лето'!k1967+'[2]$ лето'!q1967+'[2]$ лето'!w1967+'[2]$ лето'!ac1967+'[2]$ лето'!ai1967+'[2]$ лето'!ao1967</f>
        <v>2</v>
      </c>
      <c r="I1967" s="109" t="n">
        <f aca="false">'[2]$ лето'!ay1967*1.1</f>
        <v>1811.92</v>
      </c>
    </row>
    <row r="1968" customFormat="false" ht="15" hidden="true" customHeight="false" outlineLevel="0" collapsed="false">
      <c r="A1968" s="123" t="s">
        <v>2576</v>
      </c>
      <c r="B1968" s="115" t="s">
        <v>2421</v>
      </c>
      <c r="C1968" s="116" t="s">
        <v>2578</v>
      </c>
      <c r="D1968" s="116"/>
      <c r="E1968" s="116"/>
      <c r="F1968" s="116"/>
      <c r="G1968" s="108"/>
      <c r="H1968" s="105" t="n">
        <f aca="false">'[2]$ лето'!j1968-'[2]$ лето'!au1968-'[2]$ лето'!at1968-'[2]$ лето'!as1968-'[2]$ лето'!ar1968-'[2]$ лето'!aq1968-'[2]$ лето'!ap1968-'[2]$ лето'!an1968-'[2]$ лето'!am1968-'[2]$ лето'!al1968-'[2]$ лето'!ak1968-'[2]$ лето'!aj1968-'[2]$ лето'!ah1968-'[2]$ лето'!ag1968-'[2]$ лето'!af1968-'[2]$ лето'!ae1968-'[2]$ лето'!ad1968-'[2]$ лето'!ab1968-'[2]$ лето'!aa1968-'[2]$ лето'!z1968-'[2]$ лето'!y1968-'[2]$ лето'!x1968-'[2]$ лето'!v1968-'[2]$ лето'!u1968-'[2]$ лето'!t1968-'[2]$ лето'!s1968-'[2]$ лето'!r1968-'[2]$ лето'!p1968-'[2]$ лето'!o1968-'[2]$ лето'!n1968-'[2]$ лето'!m1968-'[2]$ лето'!l1968+'[2]$ лето'!k1968+'[2]$ лето'!q1968+'[2]$ лето'!w1968+'[2]$ лето'!ac1968+'[2]$ лето'!ai1968+'[2]$ лето'!ao1968</f>
        <v>0</v>
      </c>
      <c r="I1968" s="109" t="n">
        <f aca="false">'[2]$ лето'!ay1968*1.1</f>
        <v>1468.28</v>
      </c>
    </row>
    <row r="1969" customFormat="false" ht="15" hidden="true" customHeight="false" outlineLevel="0" collapsed="false">
      <c r="A1969" s="123" t="s">
        <v>2576</v>
      </c>
      <c r="B1969" s="123" t="s">
        <v>666</v>
      </c>
      <c r="C1969" s="107" t="s">
        <v>2579</v>
      </c>
      <c r="D1969" s="107"/>
      <c r="E1969" s="107"/>
      <c r="F1969" s="107"/>
      <c r="G1969" s="108"/>
      <c r="H1969" s="105" t="n">
        <f aca="false">'[2]$ лето'!j1969-'[2]$ лето'!au1969-'[2]$ лето'!at1969-'[2]$ лето'!as1969-'[2]$ лето'!ar1969-'[2]$ лето'!aq1969-'[2]$ лето'!ap1969-'[2]$ лето'!an1969-'[2]$ лето'!am1969-'[2]$ лето'!al1969-'[2]$ лето'!ak1969-'[2]$ лето'!aj1969-'[2]$ лето'!ah1969-'[2]$ лето'!ag1969-'[2]$ лето'!af1969-'[2]$ лето'!ae1969-'[2]$ лето'!ad1969-'[2]$ лето'!ab1969-'[2]$ лето'!aa1969-'[2]$ лето'!z1969-'[2]$ лето'!y1969-'[2]$ лето'!x1969-'[2]$ лето'!v1969-'[2]$ лето'!u1969-'[2]$ лето'!t1969-'[2]$ лето'!s1969-'[2]$ лето'!r1969-'[2]$ лето'!p1969-'[2]$ лето'!o1969-'[2]$ лето'!n1969-'[2]$ лето'!m1969-'[2]$ лето'!l1969+'[2]$ лето'!k1969+'[2]$ лето'!q1969+'[2]$ лето'!w1969+'[2]$ лето'!ac1969+'[2]$ лето'!ai1969+'[2]$ лето'!ao1969</f>
        <v>0</v>
      </c>
      <c r="I1969" s="109" t="n">
        <f aca="false">'[2]$ лето'!ay1969*1.1</f>
        <v>1874.4</v>
      </c>
    </row>
    <row r="1970" customFormat="false" ht="15" hidden="false" customHeight="false" outlineLevel="0" collapsed="false">
      <c r="A1970" s="123" t="s">
        <v>2576</v>
      </c>
      <c r="B1970" s="123" t="s">
        <v>574</v>
      </c>
      <c r="C1970" s="116" t="s">
        <v>2505</v>
      </c>
      <c r="D1970" s="116"/>
      <c r="E1970" s="116"/>
      <c r="F1970" s="116"/>
      <c r="G1970" s="108" t="s">
        <v>576</v>
      </c>
      <c r="H1970" s="105" t="n">
        <f aca="false">'[2]$ лето'!j1970-'[2]$ лето'!au1970-'[2]$ лето'!at1970-'[2]$ лето'!as1970-'[2]$ лето'!ar1970-'[2]$ лето'!aq1970-'[2]$ лето'!ap1970-'[2]$ лето'!an1970-'[2]$ лето'!am1970-'[2]$ лето'!al1970-'[2]$ лето'!ak1970-'[2]$ лето'!aj1970-'[2]$ лето'!ah1970-'[2]$ лето'!ag1970-'[2]$ лето'!af1970-'[2]$ лето'!ae1970-'[2]$ лето'!ad1970-'[2]$ лето'!ab1970-'[2]$ лето'!aa1970-'[2]$ лето'!z1970-'[2]$ лето'!y1970-'[2]$ лето'!x1970-'[2]$ лето'!v1970-'[2]$ лето'!u1970-'[2]$ лето'!t1970-'[2]$ лето'!s1970-'[2]$ лето'!r1970-'[2]$ лето'!p1970-'[2]$ лето'!o1970-'[2]$ лето'!n1970-'[2]$ лето'!m1970-'[2]$ лето'!l1970+'[2]$ лето'!k1970+'[2]$ лето'!q1970+'[2]$ лето'!w1970+'[2]$ лето'!ac1970+'[2]$ лето'!ai1970+'[2]$ лето'!ao1970</f>
        <v>4</v>
      </c>
      <c r="I1970" s="109" t="n">
        <f aca="false">'[2]$ лето'!ay1970*1.1</f>
        <v>2030.6</v>
      </c>
    </row>
    <row r="1971" customFormat="false" ht="15" hidden="true" customHeight="false" outlineLevel="0" collapsed="false">
      <c r="A1971" s="123" t="s">
        <v>2576</v>
      </c>
      <c r="B1971" s="115" t="s">
        <v>583</v>
      </c>
      <c r="C1971" s="126" t="s">
        <v>2506</v>
      </c>
      <c r="D1971" s="126"/>
      <c r="E1971" s="126"/>
      <c r="F1971" s="126"/>
      <c r="G1971" s="108"/>
      <c r="H1971" s="105" t="n">
        <f aca="false">'[2]$ лето'!j1971-'[2]$ лето'!au1971-'[2]$ лето'!at1971-'[2]$ лето'!as1971-'[2]$ лето'!ar1971-'[2]$ лето'!aq1971-'[2]$ лето'!ap1971-'[2]$ лето'!an1971-'[2]$ лето'!am1971-'[2]$ лето'!al1971-'[2]$ лето'!ak1971-'[2]$ лето'!aj1971-'[2]$ лето'!ah1971-'[2]$ лето'!ag1971-'[2]$ лето'!af1971-'[2]$ лето'!ae1971-'[2]$ лето'!ad1971-'[2]$ лето'!ab1971-'[2]$ лето'!aa1971-'[2]$ лето'!z1971-'[2]$ лето'!y1971-'[2]$ лето'!x1971-'[2]$ лето'!v1971-'[2]$ лето'!u1971-'[2]$ лето'!t1971-'[2]$ лето'!s1971-'[2]$ лето'!r1971-'[2]$ лето'!p1971-'[2]$ лето'!o1971-'[2]$ лето'!n1971-'[2]$ лето'!m1971-'[2]$ лето'!l1971+'[2]$ лето'!k1971+'[2]$ лето'!q1971+'[2]$ лето'!w1971+'[2]$ лето'!ac1971+'[2]$ лето'!ai1971+'[2]$ лето'!ao1971</f>
        <v>0</v>
      </c>
      <c r="I1971" s="109" t="n">
        <f aca="false">'[2]$ лето'!ay1971*1.1</f>
        <v>0</v>
      </c>
    </row>
    <row r="1972" customFormat="false" ht="15" hidden="true" customHeight="false" outlineLevel="0" collapsed="false">
      <c r="A1972" s="123" t="s">
        <v>2576</v>
      </c>
      <c r="B1972" s="115" t="s">
        <v>583</v>
      </c>
      <c r="C1972" s="126" t="s">
        <v>2580</v>
      </c>
      <c r="D1972" s="126"/>
      <c r="E1972" s="126"/>
      <c r="F1972" s="126"/>
      <c r="G1972" s="108"/>
      <c r="H1972" s="105" t="n">
        <f aca="false">'[2]$ лето'!j1972-'[2]$ лето'!au1972-'[2]$ лето'!at1972-'[2]$ лето'!as1972-'[2]$ лето'!ar1972-'[2]$ лето'!aq1972-'[2]$ лето'!ap1972-'[2]$ лето'!an1972-'[2]$ лето'!am1972-'[2]$ лето'!al1972-'[2]$ лето'!ak1972-'[2]$ лето'!aj1972-'[2]$ лето'!ah1972-'[2]$ лето'!ag1972-'[2]$ лето'!af1972-'[2]$ лето'!ae1972-'[2]$ лето'!ad1972-'[2]$ лето'!ab1972-'[2]$ лето'!aa1972-'[2]$ лето'!z1972-'[2]$ лето'!y1972-'[2]$ лето'!x1972-'[2]$ лето'!v1972-'[2]$ лето'!u1972-'[2]$ лето'!t1972-'[2]$ лето'!s1972-'[2]$ лето'!r1972-'[2]$ лето'!p1972-'[2]$ лето'!o1972-'[2]$ лето'!n1972-'[2]$ лето'!m1972-'[2]$ лето'!l1972+'[2]$ лето'!k1972+'[2]$ лето'!q1972+'[2]$ лето'!w1972+'[2]$ лето'!ac1972+'[2]$ лето'!ai1972+'[2]$ лето'!ao1972</f>
        <v>0</v>
      </c>
      <c r="I1972" s="109" t="n">
        <f aca="false">'[2]$ лето'!ay1972*1.1</f>
        <v>1718.2</v>
      </c>
      <c r="J1972" s="85" t="n">
        <v>2017</v>
      </c>
    </row>
    <row r="1973" customFormat="false" ht="15" hidden="true" customHeight="false" outlineLevel="0" collapsed="false">
      <c r="A1973" s="115" t="s">
        <v>2576</v>
      </c>
      <c r="B1973" s="115" t="s">
        <v>593</v>
      </c>
      <c r="C1973" s="116" t="s">
        <v>2429</v>
      </c>
      <c r="D1973" s="116"/>
      <c r="E1973" s="116"/>
      <c r="F1973" s="116"/>
      <c r="G1973" s="108"/>
      <c r="H1973" s="105" t="n">
        <f aca="false">'[2]$ лето'!j1973-'[2]$ лето'!au1973-'[2]$ лето'!at1973-'[2]$ лето'!as1973-'[2]$ лето'!ar1973-'[2]$ лето'!aq1973-'[2]$ лето'!ap1973-'[2]$ лето'!an1973-'[2]$ лето'!am1973-'[2]$ лето'!al1973-'[2]$ лето'!ak1973-'[2]$ лето'!aj1973-'[2]$ лето'!ah1973-'[2]$ лето'!ag1973-'[2]$ лето'!af1973-'[2]$ лето'!ae1973-'[2]$ лето'!ad1973-'[2]$ лето'!ab1973-'[2]$ лето'!aa1973-'[2]$ лето'!z1973-'[2]$ лето'!y1973-'[2]$ лето'!x1973-'[2]$ лето'!v1973-'[2]$ лето'!u1973-'[2]$ лето'!t1973-'[2]$ лето'!s1973-'[2]$ лето'!r1973-'[2]$ лето'!p1973-'[2]$ лето'!o1973-'[2]$ лето'!n1973-'[2]$ лето'!m1973-'[2]$ лето'!l1973+'[2]$ лето'!k1973+'[2]$ лето'!q1973+'[2]$ лето'!w1973+'[2]$ лето'!ac1973+'[2]$ лето'!ai1973+'[2]$ лето'!ao1973</f>
        <v>0</v>
      </c>
      <c r="I1973" s="109" t="n">
        <f aca="false">'[2]$ лето'!ay1973*1.1</f>
        <v>0</v>
      </c>
    </row>
    <row r="1974" customFormat="false" ht="15" hidden="false" customHeight="false" outlineLevel="0" collapsed="false">
      <c r="A1974" s="115" t="s">
        <v>2576</v>
      </c>
      <c r="B1974" s="115" t="s">
        <v>617</v>
      </c>
      <c r="C1974" s="116" t="s">
        <v>2525</v>
      </c>
      <c r="D1974" s="116"/>
      <c r="E1974" s="116"/>
      <c r="F1974" s="116"/>
      <c r="G1974" s="108" t="s">
        <v>625</v>
      </c>
      <c r="H1974" s="105" t="n">
        <f aca="false">'[2]$ лето'!j1974-'[2]$ лето'!au1974-'[2]$ лето'!at1974-'[2]$ лето'!as1974-'[2]$ лето'!ar1974-'[2]$ лето'!aq1974-'[2]$ лето'!ap1974-'[2]$ лето'!an1974-'[2]$ лето'!am1974-'[2]$ лето'!al1974-'[2]$ лето'!ak1974-'[2]$ лето'!aj1974-'[2]$ лето'!ah1974-'[2]$ лето'!ag1974-'[2]$ лето'!af1974-'[2]$ лето'!ae1974-'[2]$ лето'!ad1974-'[2]$ лето'!ab1974-'[2]$ лето'!aa1974-'[2]$ лето'!z1974-'[2]$ лето'!y1974-'[2]$ лето'!x1974-'[2]$ лето'!v1974-'[2]$ лето'!u1974-'[2]$ лето'!t1974-'[2]$ лето'!s1974-'[2]$ лето'!r1974-'[2]$ лето'!p1974-'[2]$ лето'!o1974-'[2]$ лето'!n1974-'[2]$ лето'!m1974-'[2]$ лето'!l1974+'[2]$ лето'!k1974+'[2]$ лето'!q1974+'[2]$ лето'!w1974+'[2]$ лето'!ac1974+'[2]$ лето'!ai1974+'[2]$ лето'!ao1974</f>
        <v>4</v>
      </c>
      <c r="I1974" s="109" t="n">
        <f aca="false">'[2]$ лето'!ay1974*1.1</f>
        <v>1655.72</v>
      </c>
      <c r="J1974" s="85" t="n">
        <v>2018</v>
      </c>
    </row>
    <row r="1975" customFormat="false" ht="15" hidden="false" customHeight="false" outlineLevel="0" collapsed="false">
      <c r="A1975" s="115" t="s">
        <v>2576</v>
      </c>
      <c r="B1975" s="115" t="s">
        <v>623</v>
      </c>
      <c r="C1975" s="116" t="s">
        <v>2581</v>
      </c>
      <c r="D1975" s="116"/>
      <c r="E1975" s="116"/>
      <c r="F1975" s="116"/>
      <c r="G1975" s="108"/>
      <c r="H1975" s="105" t="n">
        <f aca="false">'[2]$ лето'!j1975-'[2]$ лето'!au1975-'[2]$ лето'!at1975-'[2]$ лето'!as1975-'[2]$ лето'!ar1975-'[2]$ лето'!aq1975-'[2]$ лето'!ap1975-'[2]$ лето'!an1975-'[2]$ лето'!am1975-'[2]$ лето'!al1975-'[2]$ лето'!ak1975-'[2]$ лето'!aj1975-'[2]$ лето'!ah1975-'[2]$ лето'!ag1975-'[2]$ лето'!af1975-'[2]$ лето'!ae1975-'[2]$ лето'!ad1975-'[2]$ лето'!ab1975-'[2]$ лето'!aa1975-'[2]$ лето'!z1975-'[2]$ лето'!y1975-'[2]$ лето'!x1975-'[2]$ лето'!v1975-'[2]$ лето'!u1975-'[2]$ лето'!t1975-'[2]$ лето'!s1975-'[2]$ лето'!r1975-'[2]$ лето'!p1975-'[2]$ лето'!o1975-'[2]$ лето'!n1975-'[2]$ лето'!m1975-'[2]$ лето'!l1975+'[2]$ лето'!k1975+'[2]$ лето'!q1975+'[2]$ лето'!w1975+'[2]$ лето'!ac1975+'[2]$ лето'!ai1975+'[2]$ лето'!ao1975</f>
        <v>2</v>
      </c>
      <c r="I1975" s="109" t="n">
        <f aca="false">'[2]$ лето'!ay1975*1.1</f>
        <v>1655.72</v>
      </c>
    </row>
    <row r="1976" customFormat="false" ht="15" hidden="false" customHeight="false" outlineLevel="0" collapsed="false">
      <c r="A1976" s="115" t="s">
        <v>2576</v>
      </c>
      <c r="B1976" s="115" t="s">
        <v>564</v>
      </c>
      <c r="C1976" s="116" t="s">
        <v>2582</v>
      </c>
      <c r="D1976" s="116"/>
      <c r="E1976" s="116"/>
      <c r="F1976" s="116"/>
      <c r="G1976" s="108" t="s">
        <v>520</v>
      </c>
      <c r="H1976" s="105" t="n">
        <f aca="false">'[2]$ лето'!j1976-'[2]$ лето'!au1976-'[2]$ лето'!at1976-'[2]$ лето'!as1976-'[2]$ лето'!ar1976-'[2]$ лето'!aq1976-'[2]$ лето'!ap1976-'[2]$ лето'!an1976-'[2]$ лето'!am1976-'[2]$ лето'!al1976-'[2]$ лето'!ak1976-'[2]$ лето'!aj1976-'[2]$ лето'!ah1976-'[2]$ лето'!ag1976-'[2]$ лето'!af1976-'[2]$ лето'!ae1976-'[2]$ лето'!ad1976-'[2]$ лето'!ab1976-'[2]$ лето'!aa1976-'[2]$ лето'!z1976-'[2]$ лето'!y1976-'[2]$ лето'!x1976-'[2]$ лето'!v1976-'[2]$ лето'!u1976-'[2]$ лето'!t1976-'[2]$ лето'!s1976-'[2]$ лето'!r1976-'[2]$ лето'!p1976-'[2]$ лето'!o1976-'[2]$ лето'!n1976-'[2]$ лето'!m1976-'[2]$ лето'!l1976+'[2]$ лето'!k1976+'[2]$ лето'!q1976+'[2]$ лето'!w1976+'[2]$ лето'!ac1976+'[2]$ лето'!ai1976+'[2]$ лето'!ao1976</f>
        <v>4</v>
      </c>
      <c r="I1976" s="109" t="n">
        <f aca="false">'[2]$ лето'!ay1976*1.1</f>
        <v>1530.76</v>
      </c>
      <c r="J1976" s="85" t="n">
        <v>2017</v>
      </c>
    </row>
    <row r="1977" customFormat="false" ht="15" hidden="true" customHeight="false" outlineLevel="0" collapsed="false">
      <c r="A1977" s="115" t="s">
        <v>321</v>
      </c>
      <c r="B1977" s="115" t="s">
        <v>991</v>
      </c>
      <c r="C1977" s="116" t="s">
        <v>2440</v>
      </c>
      <c r="D1977" s="116"/>
      <c r="E1977" s="116"/>
      <c r="F1977" s="116"/>
      <c r="G1977" s="108" t="s">
        <v>520</v>
      </c>
      <c r="H1977" s="105" t="n">
        <f aca="false">'[2]$ лето'!j1977-'[2]$ лето'!au1977-'[2]$ лето'!at1977-'[2]$ лето'!as1977-'[2]$ лето'!ar1977-'[2]$ лето'!aq1977-'[2]$ лето'!ap1977-'[2]$ лето'!an1977-'[2]$ лето'!am1977-'[2]$ лето'!al1977-'[2]$ лето'!ak1977-'[2]$ лето'!aj1977-'[2]$ лето'!ah1977-'[2]$ лето'!ag1977-'[2]$ лето'!af1977-'[2]$ лето'!ae1977-'[2]$ лето'!ad1977-'[2]$ лето'!ab1977-'[2]$ лето'!aa1977-'[2]$ лето'!z1977-'[2]$ лето'!y1977-'[2]$ лето'!x1977-'[2]$ лето'!v1977-'[2]$ лето'!u1977-'[2]$ лето'!t1977-'[2]$ лето'!s1977-'[2]$ лето'!r1977-'[2]$ лето'!p1977-'[2]$ лето'!o1977-'[2]$ лето'!n1977-'[2]$ лето'!m1977-'[2]$ лето'!l1977+'[2]$ лето'!k1977+'[2]$ лето'!q1977+'[2]$ лето'!w1977+'[2]$ лето'!ac1977+'[2]$ лето'!ai1977+'[2]$ лето'!ao1977</f>
        <v>0</v>
      </c>
      <c r="I1977" s="109" t="n">
        <f aca="false">'[2]$ лето'!ay1977*1.1</f>
        <v>1562</v>
      </c>
    </row>
    <row r="1978" customFormat="false" ht="15" hidden="true" customHeight="false" outlineLevel="0" collapsed="false">
      <c r="A1978" s="115" t="s">
        <v>321</v>
      </c>
      <c r="B1978" s="115" t="s">
        <v>568</v>
      </c>
      <c r="C1978" s="116" t="s">
        <v>2583</v>
      </c>
      <c r="D1978" s="116"/>
      <c r="E1978" s="116"/>
      <c r="F1978" s="116"/>
      <c r="G1978" s="108"/>
      <c r="H1978" s="105" t="n">
        <f aca="false">'[2]$ лето'!j1978-'[2]$ лето'!au1978-'[2]$ лето'!at1978-'[2]$ лето'!as1978-'[2]$ лето'!ar1978-'[2]$ лето'!aq1978-'[2]$ лето'!ap1978-'[2]$ лето'!an1978-'[2]$ лето'!am1978-'[2]$ лето'!al1978-'[2]$ лето'!ak1978-'[2]$ лето'!aj1978-'[2]$ лето'!ah1978-'[2]$ лето'!ag1978-'[2]$ лето'!af1978-'[2]$ лето'!ae1978-'[2]$ лето'!ad1978-'[2]$ лето'!ab1978-'[2]$ лето'!aa1978-'[2]$ лето'!z1978-'[2]$ лето'!y1978-'[2]$ лето'!x1978-'[2]$ лето'!v1978-'[2]$ лето'!u1978-'[2]$ лето'!t1978-'[2]$ лето'!s1978-'[2]$ лето'!r1978-'[2]$ лето'!p1978-'[2]$ лето'!o1978-'[2]$ лето'!n1978-'[2]$ лето'!m1978-'[2]$ лето'!l1978+'[2]$ лето'!k1978+'[2]$ лето'!q1978+'[2]$ лето'!w1978+'[2]$ лето'!ac1978+'[2]$ лето'!ai1978+'[2]$ лето'!ao1978</f>
        <v>0</v>
      </c>
      <c r="I1978" s="109" t="n">
        <f aca="false">'[2]$ лето'!ay1978*1.1</f>
        <v>1718.2</v>
      </c>
    </row>
    <row r="1979" customFormat="false" ht="15" hidden="true" customHeight="false" outlineLevel="0" collapsed="false">
      <c r="A1979" s="115" t="s">
        <v>321</v>
      </c>
      <c r="B1979" s="115" t="s">
        <v>844</v>
      </c>
      <c r="C1979" s="116" t="s">
        <v>2584</v>
      </c>
      <c r="D1979" s="116"/>
      <c r="E1979" s="116"/>
      <c r="F1979" s="116"/>
      <c r="G1979" s="108" t="s">
        <v>1240</v>
      </c>
      <c r="H1979" s="105" t="n">
        <f aca="false">'[2]$ лето'!j1979-'[2]$ лето'!au1979-'[2]$ лето'!at1979-'[2]$ лето'!as1979-'[2]$ лето'!ar1979-'[2]$ лето'!aq1979-'[2]$ лето'!ap1979-'[2]$ лето'!an1979-'[2]$ лето'!am1979-'[2]$ лето'!al1979-'[2]$ лето'!ak1979-'[2]$ лето'!aj1979-'[2]$ лето'!ah1979-'[2]$ лето'!ag1979-'[2]$ лето'!af1979-'[2]$ лето'!ae1979-'[2]$ лето'!ad1979-'[2]$ лето'!ab1979-'[2]$ лето'!aa1979-'[2]$ лето'!z1979-'[2]$ лето'!y1979-'[2]$ лето'!x1979-'[2]$ лето'!v1979-'[2]$ лето'!u1979-'[2]$ лето'!t1979-'[2]$ лето'!s1979-'[2]$ лето'!r1979-'[2]$ лето'!p1979-'[2]$ лето'!o1979-'[2]$ лето'!n1979-'[2]$ лето'!m1979-'[2]$ лето'!l1979+'[2]$ лето'!k1979+'[2]$ лето'!q1979+'[2]$ лето'!w1979+'[2]$ лето'!ac1979+'[2]$ лето'!ai1979+'[2]$ лето'!ao1979</f>
        <v>0</v>
      </c>
      <c r="I1979" s="109" t="n">
        <f aca="false">'[2]$ лето'!ay1979*1.1</f>
        <v>2200</v>
      </c>
    </row>
    <row r="1980" customFormat="false" ht="15" hidden="true" customHeight="false" outlineLevel="0" collapsed="false">
      <c r="A1980" s="115" t="s">
        <v>321</v>
      </c>
      <c r="B1980" s="115" t="s">
        <v>601</v>
      </c>
      <c r="C1980" s="116" t="s">
        <v>2585</v>
      </c>
      <c r="D1980" s="116"/>
      <c r="E1980" s="116"/>
      <c r="F1980" s="116"/>
      <c r="G1980" s="108" t="s">
        <v>661</v>
      </c>
      <c r="H1980" s="105" t="n">
        <f aca="false">'[2]$ лето'!j1980-'[2]$ лето'!au1980-'[2]$ лето'!at1980-'[2]$ лето'!as1980-'[2]$ лето'!ar1980-'[2]$ лето'!aq1980-'[2]$ лето'!ap1980-'[2]$ лето'!an1980-'[2]$ лето'!am1980-'[2]$ лето'!al1980-'[2]$ лето'!ak1980-'[2]$ лето'!aj1980-'[2]$ лето'!ah1980-'[2]$ лето'!ag1980-'[2]$ лето'!af1980-'[2]$ лето'!ae1980-'[2]$ лето'!ad1980-'[2]$ лето'!ab1980-'[2]$ лето'!aa1980-'[2]$ лето'!z1980-'[2]$ лето'!y1980-'[2]$ лето'!x1980-'[2]$ лето'!v1980-'[2]$ лето'!u1980-'[2]$ лето'!t1980-'[2]$ лето'!s1980-'[2]$ лето'!r1980-'[2]$ лето'!p1980-'[2]$ лето'!o1980-'[2]$ лето'!n1980-'[2]$ лето'!m1980-'[2]$ лето'!l1980+'[2]$ лето'!k1980+'[2]$ лето'!q1980+'[2]$ лето'!w1980+'[2]$ лето'!ac1980+'[2]$ лето'!ai1980+'[2]$ лето'!ao1980</f>
        <v>0</v>
      </c>
      <c r="I1980" s="109" t="n">
        <f aca="false">'[2]$ лето'!ay1980*1.1</f>
        <v>2311.76</v>
      </c>
    </row>
    <row r="1981" customFormat="false" ht="15" hidden="true" customHeight="false" outlineLevel="0" collapsed="false">
      <c r="A1981" s="115" t="s">
        <v>321</v>
      </c>
      <c r="B1981" s="115" t="s">
        <v>821</v>
      </c>
      <c r="C1981" s="116" t="s">
        <v>2586</v>
      </c>
      <c r="D1981" s="116"/>
      <c r="E1981" s="116"/>
      <c r="F1981" s="116"/>
      <c r="G1981" s="108"/>
      <c r="H1981" s="105" t="n">
        <f aca="false">'[2]$ лето'!j1981-'[2]$ лето'!au1981-'[2]$ лето'!at1981-'[2]$ лето'!as1981-'[2]$ лето'!ar1981-'[2]$ лето'!aq1981-'[2]$ лето'!ap1981-'[2]$ лето'!an1981-'[2]$ лето'!am1981-'[2]$ лето'!al1981-'[2]$ лето'!ak1981-'[2]$ лето'!aj1981-'[2]$ лето'!ah1981-'[2]$ лето'!ag1981-'[2]$ лето'!af1981-'[2]$ лето'!ae1981-'[2]$ лето'!ad1981-'[2]$ лето'!ab1981-'[2]$ лето'!aa1981-'[2]$ лето'!z1981-'[2]$ лето'!y1981-'[2]$ лето'!x1981-'[2]$ лето'!v1981-'[2]$ лето'!u1981-'[2]$ лето'!t1981-'[2]$ лето'!s1981-'[2]$ лето'!r1981-'[2]$ лето'!p1981-'[2]$ лето'!o1981-'[2]$ лето'!n1981-'[2]$ лето'!m1981-'[2]$ лето'!l1981+'[2]$ лето'!k1981+'[2]$ лето'!q1981+'[2]$ лето'!w1981+'[2]$ лето'!ac1981+'[2]$ лето'!ai1981+'[2]$ лето'!ao1981</f>
        <v>0</v>
      </c>
      <c r="I1981" s="109" t="n">
        <f aca="false">'[2]$ лето'!ay1981*1.1</f>
        <v>2186.8</v>
      </c>
    </row>
    <row r="1982" customFormat="false" ht="15" hidden="true" customHeight="false" outlineLevel="0" collapsed="false">
      <c r="A1982" s="115" t="s">
        <v>321</v>
      </c>
      <c r="B1982" s="115" t="s">
        <v>741</v>
      </c>
      <c r="C1982" s="107" t="s">
        <v>2530</v>
      </c>
      <c r="D1982" s="107"/>
      <c r="E1982" s="107"/>
      <c r="F1982" s="107"/>
      <c r="G1982" s="108" t="s">
        <v>1954</v>
      </c>
      <c r="H1982" s="105" t="n">
        <f aca="false">'[2]$ лето'!j1982-'[2]$ лето'!au1982-'[2]$ лето'!at1982-'[2]$ лето'!as1982-'[2]$ лето'!ar1982-'[2]$ лето'!aq1982-'[2]$ лето'!ap1982-'[2]$ лето'!an1982-'[2]$ лето'!am1982-'[2]$ лето'!al1982-'[2]$ лето'!ak1982-'[2]$ лето'!aj1982-'[2]$ лето'!ah1982-'[2]$ лето'!ag1982-'[2]$ лето'!af1982-'[2]$ лето'!ae1982-'[2]$ лето'!ad1982-'[2]$ лето'!ab1982-'[2]$ лето'!aa1982-'[2]$ лето'!z1982-'[2]$ лето'!y1982-'[2]$ лето'!x1982-'[2]$ лето'!v1982-'[2]$ лето'!u1982-'[2]$ лето'!t1982-'[2]$ лето'!s1982-'[2]$ лето'!r1982-'[2]$ лето'!p1982-'[2]$ лето'!o1982-'[2]$ лето'!n1982-'[2]$ лето'!m1982-'[2]$ лето'!l1982+'[2]$ лето'!k1982+'[2]$ лето'!q1982+'[2]$ лето'!w1982+'[2]$ лето'!ac1982+'[2]$ лето'!ai1982+'[2]$ лето'!ao1982</f>
        <v>0</v>
      </c>
      <c r="I1982" s="109" t="n">
        <f aca="false">'[2]$ лето'!ay1982*1.1</f>
        <v>2093.08</v>
      </c>
    </row>
    <row r="1983" customFormat="false" ht="15" hidden="false" customHeight="false" outlineLevel="0" collapsed="false">
      <c r="A1983" s="115" t="s">
        <v>321</v>
      </c>
      <c r="B1983" s="115" t="s">
        <v>604</v>
      </c>
      <c r="C1983" s="107" t="s">
        <v>2419</v>
      </c>
      <c r="D1983" s="107"/>
      <c r="E1983" s="116"/>
      <c r="F1983" s="116"/>
      <c r="G1983" s="108" t="s">
        <v>843</v>
      </c>
      <c r="H1983" s="105" t="n">
        <f aca="false">'[2]$ лето'!j1983-'[2]$ лето'!au1983-'[2]$ лето'!at1983-'[2]$ лето'!as1983-'[2]$ лето'!ar1983-'[2]$ лето'!aq1983-'[2]$ лето'!ap1983-'[2]$ лето'!an1983-'[2]$ лето'!am1983-'[2]$ лето'!al1983-'[2]$ лето'!ak1983-'[2]$ лето'!aj1983-'[2]$ лето'!ah1983-'[2]$ лето'!ag1983-'[2]$ лето'!af1983-'[2]$ лето'!ae1983-'[2]$ лето'!ad1983-'[2]$ лето'!ab1983-'[2]$ лето'!aa1983-'[2]$ лето'!z1983-'[2]$ лето'!y1983-'[2]$ лето'!x1983-'[2]$ лето'!v1983-'[2]$ лето'!u1983-'[2]$ лето'!t1983-'[2]$ лето'!s1983-'[2]$ лето'!r1983-'[2]$ лето'!p1983-'[2]$ лето'!o1983-'[2]$ лето'!n1983-'[2]$ лето'!m1983-'[2]$ лето'!l1983+'[2]$ лето'!k1983+'[2]$ лето'!q1983+'[2]$ лето'!w1983+'[2]$ лето'!ac1983+'[2]$ лето'!ai1983+'[2]$ лето'!ao1983</f>
        <v>4</v>
      </c>
      <c r="I1983" s="109" t="n">
        <f aca="false">'[2]$ лето'!ay1983*1.1</f>
        <v>2030.6</v>
      </c>
    </row>
    <row r="1984" customFormat="false" ht="15" hidden="true" customHeight="false" outlineLevel="0" collapsed="false">
      <c r="A1984" s="115" t="s">
        <v>321</v>
      </c>
      <c r="B1984" s="115" t="s">
        <v>606</v>
      </c>
      <c r="C1984" s="107" t="s">
        <v>2587</v>
      </c>
      <c r="D1984" s="107"/>
      <c r="E1984" s="107"/>
      <c r="F1984" s="107"/>
      <c r="G1984" s="108"/>
      <c r="H1984" s="105" t="n">
        <f aca="false">'[2]$ лето'!j1984-'[2]$ лето'!au1984-'[2]$ лето'!at1984-'[2]$ лето'!as1984-'[2]$ лето'!ar1984-'[2]$ лето'!aq1984-'[2]$ лето'!ap1984-'[2]$ лето'!an1984-'[2]$ лето'!am1984-'[2]$ лето'!al1984-'[2]$ лето'!ak1984-'[2]$ лето'!aj1984-'[2]$ лето'!ah1984-'[2]$ лето'!ag1984-'[2]$ лето'!af1984-'[2]$ лето'!ae1984-'[2]$ лето'!ad1984-'[2]$ лето'!ab1984-'[2]$ лето'!aa1984-'[2]$ лето'!z1984-'[2]$ лето'!y1984-'[2]$ лето'!x1984-'[2]$ лето'!v1984-'[2]$ лето'!u1984-'[2]$ лето'!t1984-'[2]$ лето'!s1984-'[2]$ лето'!r1984-'[2]$ лето'!p1984-'[2]$ лето'!o1984-'[2]$ лето'!n1984-'[2]$ лето'!m1984-'[2]$ лето'!l1984+'[2]$ лето'!k1984+'[2]$ лето'!q1984+'[2]$ лето'!w1984+'[2]$ лето'!ac1984+'[2]$ лето'!ai1984+'[2]$ лето'!ao1984</f>
        <v>0</v>
      </c>
      <c r="I1984" s="109" t="n">
        <f aca="false">'[2]$ лето'!ay1984*1.1</f>
        <v>1874.4</v>
      </c>
    </row>
    <row r="1985" customFormat="false" ht="15" hidden="true" customHeight="false" outlineLevel="0" collapsed="false">
      <c r="A1985" s="115" t="s">
        <v>321</v>
      </c>
      <c r="B1985" s="115" t="s">
        <v>2421</v>
      </c>
      <c r="C1985" s="116" t="s">
        <v>2578</v>
      </c>
      <c r="D1985" s="116"/>
      <c r="E1985" s="116"/>
      <c r="F1985" s="116"/>
      <c r="G1985" s="108"/>
      <c r="H1985" s="105" t="n">
        <f aca="false">'[2]$ лето'!j1985-'[2]$ лето'!au1985-'[2]$ лето'!at1985-'[2]$ лето'!as1985-'[2]$ лето'!ar1985-'[2]$ лето'!aq1985-'[2]$ лето'!ap1985-'[2]$ лето'!an1985-'[2]$ лето'!am1985-'[2]$ лето'!al1985-'[2]$ лето'!ak1985-'[2]$ лето'!aj1985-'[2]$ лето'!ah1985-'[2]$ лето'!ag1985-'[2]$ лето'!af1985-'[2]$ лето'!ae1985-'[2]$ лето'!ad1985-'[2]$ лето'!ab1985-'[2]$ лето'!aa1985-'[2]$ лето'!z1985-'[2]$ лето'!y1985-'[2]$ лето'!x1985-'[2]$ лето'!v1985-'[2]$ лето'!u1985-'[2]$ лето'!t1985-'[2]$ лето'!s1985-'[2]$ лето'!r1985-'[2]$ лето'!p1985-'[2]$ лето'!o1985-'[2]$ лето'!n1985-'[2]$ лето'!m1985-'[2]$ лето'!l1985+'[2]$ лето'!k1985+'[2]$ лето'!q1985+'[2]$ лето'!w1985+'[2]$ лето'!ac1985+'[2]$ лето'!ai1985+'[2]$ лето'!ao1985</f>
        <v>0</v>
      </c>
      <c r="I1985" s="109" t="n">
        <f aca="false">'[2]$ лето'!ay1985*1.1</f>
        <v>1374.56</v>
      </c>
    </row>
    <row r="1986" customFormat="false" ht="15" hidden="true" customHeight="false" outlineLevel="0" collapsed="false">
      <c r="A1986" s="115" t="s">
        <v>321</v>
      </c>
      <c r="B1986" s="115" t="s">
        <v>666</v>
      </c>
      <c r="C1986" s="116" t="s">
        <v>2588</v>
      </c>
      <c r="D1986" s="116"/>
      <c r="E1986" s="116"/>
      <c r="F1986" s="116"/>
      <c r="G1986" s="108" t="s">
        <v>631</v>
      </c>
      <c r="H1986" s="105" t="n">
        <f aca="false">'[2]$ лето'!j1986-'[2]$ лето'!au1986-'[2]$ лето'!at1986-'[2]$ лето'!as1986-'[2]$ лето'!ar1986-'[2]$ лето'!aq1986-'[2]$ лето'!ap1986-'[2]$ лето'!an1986-'[2]$ лето'!am1986-'[2]$ лето'!al1986-'[2]$ лето'!ak1986-'[2]$ лето'!aj1986-'[2]$ лето'!ah1986-'[2]$ лето'!ag1986-'[2]$ лето'!af1986-'[2]$ лето'!ae1986-'[2]$ лето'!ad1986-'[2]$ лето'!ab1986-'[2]$ лето'!aa1986-'[2]$ лето'!z1986-'[2]$ лето'!y1986-'[2]$ лето'!x1986-'[2]$ лето'!v1986-'[2]$ лето'!u1986-'[2]$ лето'!t1986-'[2]$ лето'!s1986-'[2]$ лето'!r1986-'[2]$ лето'!p1986-'[2]$ лето'!o1986-'[2]$ лето'!n1986-'[2]$ лето'!m1986-'[2]$ лето'!l1986+'[2]$ лето'!k1986+'[2]$ лето'!q1986+'[2]$ лето'!w1986+'[2]$ лето'!ac1986+'[2]$ лето'!ai1986+'[2]$ лето'!ao1986</f>
        <v>0</v>
      </c>
      <c r="I1986" s="109" t="n">
        <f aca="false">'[2]$ лето'!ay1986*1.1</f>
        <v>2030.6</v>
      </c>
      <c r="J1986" s="85" t="n">
        <v>2018</v>
      </c>
    </row>
    <row r="1987" customFormat="false" ht="15" hidden="true" customHeight="false" outlineLevel="0" collapsed="false">
      <c r="A1987" s="115" t="s">
        <v>321</v>
      </c>
      <c r="B1987" s="115" t="s">
        <v>572</v>
      </c>
      <c r="C1987" s="126" t="s">
        <v>2589</v>
      </c>
      <c r="D1987" s="126"/>
      <c r="E1987" s="126"/>
      <c r="F1987" s="126"/>
      <c r="G1987" s="108"/>
      <c r="H1987" s="105" t="n">
        <f aca="false">'[2]$ лето'!j1987-'[2]$ лето'!au1987-'[2]$ лето'!at1987-'[2]$ лето'!as1987-'[2]$ лето'!ar1987-'[2]$ лето'!aq1987-'[2]$ лето'!ap1987-'[2]$ лето'!an1987-'[2]$ лето'!am1987-'[2]$ лето'!al1987-'[2]$ лето'!ak1987-'[2]$ лето'!aj1987-'[2]$ лето'!ah1987-'[2]$ лето'!ag1987-'[2]$ лето'!af1987-'[2]$ лето'!ae1987-'[2]$ лето'!ad1987-'[2]$ лето'!ab1987-'[2]$ лето'!aa1987-'[2]$ лето'!z1987-'[2]$ лето'!y1987-'[2]$ лето'!x1987-'[2]$ лето'!v1987-'[2]$ лето'!u1987-'[2]$ лето'!t1987-'[2]$ лето'!s1987-'[2]$ лето'!r1987-'[2]$ лето'!p1987-'[2]$ лето'!o1987-'[2]$ лето'!n1987-'[2]$ лето'!m1987-'[2]$ лето'!l1987+'[2]$ лето'!k1987+'[2]$ лето'!q1987+'[2]$ лето'!w1987+'[2]$ лето'!ac1987+'[2]$ лето'!ai1987+'[2]$ лето'!ao1987</f>
        <v>0</v>
      </c>
      <c r="I1987" s="109" t="n">
        <f aca="false">'[2]$ лето'!ay1987*1.1</f>
        <v>1749.44</v>
      </c>
    </row>
    <row r="1988" customFormat="false" ht="15" hidden="true" customHeight="false" outlineLevel="0" collapsed="false">
      <c r="A1988" s="115" t="s">
        <v>321</v>
      </c>
      <c r="B1988" s="115" t="s">
        <v>572</v>
      </c>
      <c r="C1988" s="126" t="s">
        <v>2590</v>
      </c>
      <c r="D1988" s="126"/>
      <c r="E1988" s="126"/>
      <c r="F1988" s="126"/>
      <c r="G1988" s="108"/>
      <c r="H1988" s="105" t="n">
        <f aca="false">'[2]$ лето'!j1988-'[2]$ лето'!au1988-'[2]$ лето'!at1988-'[2]$ лето'!as1988-'[2]$ лето'!ar1988-'[2]$ лето'!aq1988-'[2]$ лето'!ap1988-'[2]$ лето'!an1988-'[2]$ лето'!am1988-'[2]$ лето'!al1988-'[2]$ лето'!ak1988-'[2]$ лето'!aj1988-'[2]$ лето'!ah1988-'[2]$ лето'!ag1988-'[2]$ лето'!af1988-'[2]$ лето'!ae1988-'[2]$ лето'!ad1988-'[2]$ лето'!ab1988-'[2]$ лето'!aa1988-'[2]$ лето'!z1988-'[2]$ лето'!y1988-'[2]$ лето'!x1988-'[2]$ лето'!v1988-'[2]$ лето'!u1988-'[2]$ лето'!t1988-'[2]$ лето'!s1988-'[2]$ лето'!r1988-'[2]$ лето'!p1988-'[2]$ лето'!o1988-'[2]$ лето'!n1988-'[2]$ лето'!m1988-'[2]$ лето'!l1988+'[2]$ лето'!k1988+'[2]$ лето'!q1988+'[2]$ лето'!w1988+'[2]$ лето'!ac1988+'[2]$ лето'!ai1988+'[2]$ лето'!ao1988</f>
        <v>0</v>
      </c>
      <c r="I1988" s="109" t="n">
        <f aca="false">'[2]$ лето'!ay1988*1.1</f>
        <v>1749.44</v>
      </c>
    </row>
    <row r="1989" customFormat="false" ht="15" hidden="false" customHeight="false" outlineLevel="0" collapsed="false">
      <c r="A1989" s="115" t="s">
        <v>321</v>
      </c>
      <c r="B1989" s="115" t="s">
        <v>574</v>
      </c>
      <c r="C1989" s="126" t="s">
        <v>2505</v>
      </c>
      <c r="D1989" s="126"/>
      <c r="E1989" s="126"/>
      <c r="F1989" s="126"/>
      <c r="G1989" s="108" t="s">
        <v>576</v>
      </c>
      <c r="H1989" s="105" t="n">
        <f aca="false">'[2]$ лето'!j1989-'[2]$ лето'!au1989-'[2]$ лето'!at1989-'[2]$ лето'!as1989-'[2]$ лето'!ar1989-'[2]$ лето'!aq1989-'[2]$ лето'!ap1989-'[2]$ лето'!an1989-'[2]$ лето'!am1989-'[2]$ лето'!al1989-'[2]$ лето'!ak1989-'[2]$ лето'!aj1989-'[2]$ лето'!ah1989-'[2]$ лето'!ag1989-'[2]$ лето'!af1989-'[2]$ лето'!ae1989-'[2]$ лето'!ad1989-'[2]$ лето'!ab1989-'[2]$ лето'!aa1989-'[2]$ лето'!z1989-'[2]$ лето'!y1989-'[2]$ лето'!x1989-'[2]$ лето'!v1989-'[2]$ лето'!u1989-'[2]$ лето'!t1989-'[2]$ лето'!s1989-'[2]$ лето'!r1989-'[2]$ лето'!p1989-'[2]$ лето'!o1989-'[2]$ лето'!n1989-'[2]$ лето'!m1989-'[2]$ лето'!l1989+'[2]$ лето'!k1989+'[2]$ лето'!q1989+'[2]$ лето'!w1989+'[2]$ лето'!ac1989+'[2]$ лето'!ai1989+'[2]$ лето'!ao1989</f>
        <v>2</v>
      </c>
      <c r="I1989" s="109" t="n">
        <f aca="false">'[2]$ лето'!ay1989*1.1</f>
        <v>2249.28</v>
      </c>
    </row>
    <row r="1990" customFormat="false" ht="15" hidden="false" customHeight="false" outlineLevel="0" collapsed="false">
      <c r="A1990" s="115" t="s">
        <v>321</v>
      </c>
      <c r="B1990" s="115" t="s">
        <v>574</v>
      </c>
      <c r="C1990" s="126" t="s">
        <v>2492</v>
      </c>
      <c r="D1990" s="126"/>
      <c r="E1990" s="126"/>
      <c r="F1990" s="126"/>
      <c r="G1990" s="108" t="s">
        <v>576</v>
      </c>
      <c r="H1990" s="105" t="n">
        <f aca="false">'[2]$ лето'!j1990-'[2]$ лето'!au1990-'[2]$ лето'!at1990-'[2]$ лето'!as1990-'[2]$ лето'!ar1990-'[2]$ лето'!aq1990-'[2]$ лето'!ap1990-'[2]$ лето'!an1990-'[2]$ лето'!am1990-'[2]$ лето'!al1990-'[2]$ лето'!ak1990-'[2]$ лето'!aj1990-'[2]$ лето'!ah1990-'[2]$ лето'!ag1990-'[2]$ лето'!af1990-'[2]$ лето'!ae1990-'[2]$ лето'!ad1990-'[2]$ лето'!ab1990-'[2]$ лето'!aa1990-'[2]$ лето'!z1990-'[2]$ лето'!y1990-'[2]$ лето'!x1990-'[2]$ лето'!v1990-'[2]$ лето'!u1990-'[2]$ лето'!t1990-'[2]$ лето'!s1990-'[2]$ лето'!r1990-'[2]$ лето'!p1990-'[2]$ лето'!o1990-'[2]$ лето'!n1990-'[2]$ лето'!m1990-'[2]$ лето'!l1990+'[2]$ лето'!k1990+'[2]$ лето'!q1990+'[2]$ лето'!w1990+'[2]$ лето'!ac1990+'[2]$ лето'!ai1990+'[2]$ лето'!ao1990</f>
        <v>24</v>
      </c>
      <c r="I1990" s="109" t="n">
        <f aca="false">'[2]$ лето'!ay1990*1.1</f>
        <v>2186.8</v>
      </c>
      <c r="J1990" s="85" t="n">
        <v>2018</v>
      </c>
    </row>
    <row r="1991" customFormat="false" ht="15" hidden="false" customHeight="false" outlineLevel="0" collapsed="false">
      <c r="A1991" s="115" t="s">
        <v>321</v>
      </c>
      <c r="B1991" s="115" t="s">
        <v>583</v>
      </c>
      <c r="C1991" s="126" t="s">
        <v>2591</v>
      </c>
      <c r="D1991" s="126"/>
      <c r="E1991" s="126"/>
      <c r="F1991" s="126"/>
      <c r="G1991" s="108" t="s">
        <v>585</v>
      </c>
      <c r="H1991" s="105" t="n">
        <f aca="false">'[2]$ лето'!j1991-'[2]$ лето'!au1991-'[2]$ лето'!at1991-'[2]$ лето'!as1991-'[2]$ лето'!ar1991-'[2]$ лето'!aq1991-'[2]$ лето'!ap1991-'[2]$ лето'!an1991-'[2]$ лето'!am1991-'[2]$ лето'!al1991-'[2]$ лето'!ak1991-'[2]$ лето'!aj1991-'[2]$ лето'!ah1991-'[2]$ лето'!ag1991-'[2]$ лето'!af1991-'[2]$ лето'!ae1991-'[2]$ лето'!ad1991-'[2]$ лето'!ab1991-'[2]$ лето'!aa1991-'[2]$ лето'!z1991-'[2]$ лето'!y1991-'[2]$ лето'!x1991-'[2]$ лето'!v1991-'[2]$ лето'!u1991-'[2]$ лето'!t1991-'[2]$ лето'!s1991-'[2]$ лето'!r1991-'[2]$ лето'!p1991-'[2]$ лето'!o1991-'[2]$ лето'!n1991-'[2]$ лето'!m1991-'[2]$ лето'!l1991+'[2]$ лето'!k1991+'[2]$ лето'!q1991+'[2]$ лето'!w1991+'[2]$ лето'!ac1991+'[2]$ лето'!ai1991+'[2]$ лето'!ao1991</f>
        <v>14</v>
      </c>
      <c r="I1991" s="109" t="n">
        <f aca="false">'[2]$ лето'!ay1991*1.1</f>
        <v>2124.32</v>
      </c>
      <c r="J1991" s="85" t="n">
        <v>2018</v>
      </c>
    </row>
    <row r="1992" customFormat="false" ht="15" hidden="false" customHeight="false" outlineLevel="0" collapsed="false">
      <c r="A1992" s="115" t="s">
        <v>321</v>
      </c>
      <c r="B1992" s="115" t="s">
        <v>583</v>
      </c>
      <c r="C1992" s="126" t="s">
        <v>2592</v>
      </c>
      <c r="D1992" s="126"/>
      <c r="E1992" s="126"/>
      <c r="F1992" s="126"/>
      <c r="G1992" s="108" t="s">
        <v>585</v>
      </c>
      <c r="H1992" s="105" t="n">
        <f aca="false">'[2]$ лето'!j1992-'[2]$ лето'!au1992-'[2]$ лето'!at1992-'[2]$ лето'!as1992-'[2]$ лето'!ar1992-'[2]$ лето'!aq1992-'[2]$ лето'!ap1992-'[2]$ лето'!an1992-'[2]$ лето'!am1992-'[2]$ лето'!al1992-'[2]$ лето'!ak1992-'[2]$ лето'!aj1992-'[2]$ лето'!ah1992-'[2]$ лето'!ag1992-'[2]$ лето'!af1992-'[2]$ лето'!ae1992-'[2]$ лето'!ad1992-'[2]$ лето'!ab1992-'[2]$ лето'!aa1992-'[2]$ лето'!z1992-'[2]$ лето'!y1992-'[2]$ лето'!x1992-'[2]$ лето'!v1992-'[2]$ лето'!u1992-'[2]$ лето'!t1992-'[2]$ лето'!s1992-'[2]$ лето'!r1992-'[2]$ лето'!p1992-'[2]$ лето'!o1992-'[2]$ лето'!n1992-'[2]$ лето'!m1992-'[2]$ лето'!l1992+'[2]$ лето'!k1992+'[2]$ лето'!q1992+'[2]$ лето'!w1992+'[2]$ лето'!ac1992+'[2]$ лето'!ai1992+'[2]$ лето'!ao1992</f>
        <v>13</v>
      </c>
      <c r="I1992" s="109" t="n">
        <f aca="false">'[2]$ лето'!ay1992*1.1</f>
        <v>1905.64</v>
      </c>
      <c r="J1992" s="85" t="n">
        <v>2018</v>
      </c>
    </row>
    <row r="1993" customFormat="false" ht="15" hidden="false" customHeight="false" outlineLevel="0" collapsed="false">
      <c r="A1993" s="115" t="s">
        <v>321</v>
      </c>
      <c r="B1993" s="115" t="s">
        <v>593</v>
      </c>
      <c r="C1993" s="116" t="s">
        <v>2593</v>
      </c>
      <c r="D1993" s="116"/>
      <c r="E1993" s="116"/>
      <c r="F1993" s="116"/>
      <c r="G1993" s="108" t="s">
        <v>933</v>
      </c>
      <c r="H1993" s="105" t="n">
        <f aca="false">'[2]$ лето'!j1993-'[2]$ лето'!au1993-'[2]$ лето'!at1993-'[2]$ лето'!as1993-'[2]$ лето'!ar1993-'[2]$ лето'!aq1993-'[2]$ лето'!ap1993-'[2]$ лето'!an1993-'[2]$ лето'!am1993-'[2]$ лето'!al1993-'[2]$ лето'!ak1993-'[2]$ лето'!aj1993-'[2]$ лето'!ah1993-'[2]$ лето'!ag1993-'[2]$ лето'!af1993-'[2]$ лето'!ae1993-'[2]$ лето'!ad1993-'[2]$ лето'!ab1993-'[2]$ лето'!aa1993-'[2]$ лето'!z1993-'[2]$ лето'!y1993-'[2]$ лето'!x1993-'[2]$ лето'!v1993-'[2]$ лето'!u1993-'[2]$ лето'!t1993-'[2]$ лето'!s1993-'[2]$ лето'!r1993-'[2]$ лето'!p1993-'[2]$ лето'!o1993-'[2]$ лето'!n1993-'[2]$ лето'!m1993-'[2]$ лето'!l1993+'[2]$ лето'!k1993+'[2]$ лето'!q1993+'[2]$ лето'!w1993+'[2]$ лето'!ac1993+'[2]$ лето'!ai1993+'[2]$ лето'!ao1993</f>
        <v>2</v>
      </c>
      <c r="I1993" s="109" t="n">
        <f aca="false">'[2]$ лето'!ay1993*1.1</f>
        <v>3373.92</v>
      </c>
      <c r="J1993" s="85" t="n">
        <v>2017</v>
      </c>
    </row>
    <row r="1994" customFormat="false" ht="15" hidden="false" customHeight="false" outlineLevel="0" collapsed="false">
      <c r="A1994" s="115" t="s">
        <v>321</v>
      </c>
      <c r="B1994" s="115" t="s">
        <v>593</v>
      </c>
      <c r="C1994" s="116" t="s">
        <v>2594</v>
      </c>
      <c r="D1994" s="116"/>
      <c r="E1994" s="116"/>
      <c r="F1994" s="116"/>
      <c r="G1994" s="108" t="s">
        <v>2595</v>
      </c>
      <c r="H1994" s="105" t="n">
        <f aca="false">'[2]$ лето'!j1994-'[2]$ лето'!au1994-'[2]$ лето'!at1994-'[2]$ лето'!as1994-'[2]$ лето'!ar1994-'[2]$ лето'!aq1994-'[2]$ лето'!ap1994-'[2]$ лето'!an1994-'[2]$ лето'!am1994-'[2]$ лето'!al1994-'[2]$ лето'!ak1994-'[2]$ лето'!aj1994-'[2]$ лето'!ah1994-'[2]$ лето'!ag1994-'[2]$ лето'!af1994-'[2]$ лето'!ae1994-'[2]$ лето'!ad1994-'[2]$ лето'!ab1994-'[2]$ лето'!aa1994-'[2]$ лето'!z1994-'[2]$ лето'!y1994-'[2]$ лето'!x1994-'[2]$ лето'!v1994-'[2]$ лето'!u1994-'[2]$ лето'!t1994-'[2]$ лето'!s1994-'[2]$ лето'!r1994-'[2]$ лето'!p1994-'[2]$ лето'!o1994-'[2]$ лето'!n1994-'[2]$ лето'!m1994-'[2]$ лето'!l1994+'[2]$ лето'!k1994+'[2]$ лето'!q1994+'[2]$ лето'!w1994+'[2]$ лето'!ac1994+'[2]$ лето'!ai1994+'[2]$ лето'!ao1994</f>
        <v>1</v>
      </c>
      <c r="I1994" s="109" t="n">
        <f aca="false">'[2]$ лето'!ay1994*1.1</f>
        <v>2499.2</v>
      </c>
      <c r="J1994" s="85" t="n">
        <v>2014</v>
      </c>
    </row>
    <row r="1995" customFormat="false" ht="15" hidden="true" customHeight="false" outlineLevel="0" collapsed="false">
      <c r="A1995" s="115" t="s">
        <v>321</v>
      </c>
      <c r="B1995" s="115" t="s">
        <v>593</v>
      </c>
      <c r="C1995" s="116" t="s">
        <v>2594</v>
      </c>
      <c r="D1995" s="116"/>
      <c r="E1995" s="116"/>
      <c r="F1995" s="116"/>
      <c r="G1995" s="108" t="s">
        <v>933</v>
      </c>
      <c r="H1995" s="105" t="n">
        <f aca="false">'[2]$ лето'!j1995-'[2]$ лето'!au1995-'[2]$ лето'!at1995-'[2]$ лето'!as1995-'[2]$ лето'!ar1995-'[2]$ лето'!aq1995-'[2]$ лето'!ap1995-'[2]$ лето'!an1995-'[2]$ лето'!am1995-'[2]$ лето'!al1995-'[2]$ лето'!ak1995-'[2]$ лето'!aj1995-'[2]$ лето'!ah1995-'[2]$ лето'!ag1995-'[2]$ лето'!af1995-'[2]$ лето'!ae1995-'[2]$ лето'!ad1995-'[2]$ лето'!ab1995-'[2]$ лето'!aa1995-'[2]$ лето'!z1995-'[2]$ лето'!y1995-'[2]$ лето'!x1995-'[2]$ лето'!v1995-'[2]$ лето'!u1995-'[2]$ лето'!t1995-'[2]$ лето'!s1995-'[2]$ лето'!r1995-'[2]$ лето'!p1995-'[2]$ лето'!o1995-'[2]$ лето'!n1995-'[2]$ лето'!m1995-'[2]$ лето'!l1995+'[2]$ лето'!k1995+'[2]$ лето'!q1995+'[2]$ лето'!w1995+'[2]$ лето'!ac1995+'[2]$ лето'!ai1995+'[2]$ лето'!ao1995</f>
        <v>0</v>
      </c>
      <c r="I1995" s="109" t="n">
        <f aca="false">'[2]$ лето'!ay1995*1.1</f>
        <v>3373.92</v>
      </c>
      <c r="J1995" s="85" t="n">
        <v>2018</v>
      </c>
    </row>
    <row r="1996" customFormat="false" ht="15" hidden="false" customHeight="false" outlineLevel="0" collapsed="false">
      <c r="A1996" s="115" t="s">
        <v>321</v>
      </c>
      <c r="B1996" s="115" t="s">
        <v>586</v>
      </c>
      <c r="C1996" s="116" t="s">
        <v>2596</v>
      </c>
      <c r="D1996" s="116"/>
      <c r="E1996" s="116"/>
      <c r="F1996" s="116"/>
      <c r="G1996" s="108" t="s">
        <v>520</v>
      </c>
      <c r="H1996" s="105" t="n">
        <f aca="false">'[2]$ лето'!j1996-'[2]$ лето'!au1996-'[2]$ лето'!at1996-'[2]$ лето'!as1996-'[2]$ лето'!ar1996-'[2]$ лето'!aq1996-'[2]$ лето'!ap1996-'[2]$ лето'!an1996-'[2]$ лето'!am1996-'[2]$ лето'!al1996-'[2]$ лето'!ak1996-'[2]$ лето'!aj1996-'[2]$ лето'!ah1996-'[2]$ лето'!ag1996-'[2]$ лето'!af1996-'[2]$ лето'!ae1996-'[2]$ лето'!ad1996-'[2]$ лето'!ab1996-'[2]$ лето'!aa1996-'[2]$ лето'!z1996-'[2]$ лето'!y1996-'[2]$ лето'!x1996-'[2]$ лето'!v1996-'[2]$ лето'!u1996-'[2]$ лето'!t1996-'[2]$ лето'!s1996-'[2]$ лето'!r1996-'[2]$ лето'!p1996-'[2]$ лето'!o1996-'[2]$ лето'!n1996-'[2]$ лето'!m1996-'[2]$ лето'!l1996+'[2]$ лето'!k1996+'[2]$ лето'!q1996+'[2]$ лето'!w1996+'[2]$ лето'!ac1996+'[2]$ лето'!ai1996+'[2]$ лето'!ao1996</f>
        <v>24</v>
      </c>
      <c r="I1996" s="109" t="n">
        <f aca="false">'[2]$ лето'!ay1996*1.1</f>
        <v>1405.8</v>
      </c>
    </row>
    <row r="1997" customFormat="false" ht="15" hidden="true" customHeight="false" outlineLevel="0" collapsed="false">
      <c r="A1997" s="115" t="s">
        <v>321</v>
      </c>
      <c r="B1997" s="115" t="s">
        <v>615</v>
      </c>
      <c r="C1997" s="116" t="s">
        <v>2597</v>
      </c>
      <c r="D1997" s="116"/>
      <c r="E1997" s="116"/>
      <c r="F1997" s="116"/>
      <c r="G1997" s="108"/>
      <c r="H1997" s="105" t="n">
        <f aca="false">'[2]$ лето'!j1997-'[2]$ лето'!au1997-'[2]$ лето'!at1997-'[2]$ лето'!as1997-'[2]$ лето'!ar1997-'[2]$ лето'!aq1997-'[2]$ лето'!ap1997-'[2]$ лето'!an1997-'[2]$ лето'!am1997-'[2]$ лето'!al1997-'[2]$ лето'!ak1997-'[2]$ лето'!aj1997-'[2]$ лето'!ah1997-'[2]$ лето'!ag1997-'[2]$ лето'!af1997-'[2]$ лето'!ae1997-'[2]$ лето'!ad1997-'[2]$ лето'!ab1997-'[2]$ лето'!aa1997-'[2]$ лето'!z1997-'[2]$ лето'!y1997-'[2]$ лето'!x1997-'[2]$ лето'!v1997-'[2]$ лето'!u1997-'[2]$ лето'!t1997-'[2]$ лето'!s1997-'[2]$ лето'!r1997-'[2]$ лето'!p1997-'[2]$ лето'!o1997-'[2]$ лето'!n1997-'[2]$ лето'!m1997-'[2]$ лето'!l1997+'[2]$ лето'!k1997+'[2]$ лето'!q1997+'[2]$ лето'!w1997+'[2]$ лето'!ac1997+'[2]$ лето'!ai1997+'[2]$ лето'!ao1997</f>
        <v>0</v>
      </c>
      <c r="I1997" s="109" t="n">
        <f aca="false">'[2]$ лето'!ay1997*1.1</f>
        <v>1655.72</v>
      </c>
    </row>
    <row r="1998" customFormat="false" ht="15" hidden="false" customHeight="false" outlineLevel="0" collapsed="false">
      <c r="A1998" s="115" t="s">
        <v>321</v>
      </c>
      <c r="B1998" s="115" t="s">
        <v>762</v>
      </c>
      <c r="C1998" s="116" t="s">
        <v>2598</v>
      </c>
      <c r="D1998" s="116"/>
      <c r="E1998" s="116"/>
      <c r="F1998" s="116"/>
      <c r="G1998" s="108" t="s">
        <v>631</v>
      </c>
      <c r="H1998" s="105" t="n">
        <f aca="false">'[2]$ лето'!j1998-'[2]$ лето'!au1998-'[2]$ лето'!at1998-'[2]$ лето'!as1998-'[2]$ лето'!ar1998-'[2]$ лето'!aq1998-'[2]$ лето'!ap1998-'[2]$ лето'!an1998-'[2]$ лето'!am1998-'[2]$ лето'!al1998-'[2]$ лето'!ak1998-'[2]$ лето'!aj1998-'[2]$ лето'!ah1998-'[2]$ лето'!ag1998-'[2]$ лето'!af1998-'[2]$ лето'!ae1998-'[2]$ лето'!ad1998-'[2]$ лето'!ab1998-'[2]$ лето'!aa1998-'[2]$ лето'!z1998-'[2]$ лето'!y1998-'[2]$ лето'!x1998-'[2]$ лето'!v1998-'[2]$ лето'!u1998-'[2]$ лето'!t1998-'[2]$ лето'!s1998-'[2]$ лето'!r1998-'[2]$ лето'!p1998-'[2]$ лето'!o1998-'[2]$ лето'!n1998-'[2]$ лето'!m1998-'[2]$ лето'!l1998+'[2]$ лето'!k1998+'[2]$ лето'!q1998+'[2]$ лето'!w1998+'[2]$ лето'!ac1998+'[2]$ лето'!ai1998+'[2]$ лето'!ao1998</f>
        <v>7</v>
      </c>
      <c r="I1998" s="109" t="n">
        <f aca="false">'[2]$ лето'!ay1998*1.1</f>
        <v>1780.68</v>
      </c>
      <c r="J1998" s="85" t="n">
        <v>2017</v>
      </c>
    </row>
    <row r="1999" customFormat="false" ht="15" hidden="true" customHeight="false" outlineLevel="0" collapsed="false">
      <c r="A1999" s="115" t="s">
        <v>321</v>
      </c>
      <c r="B1999" s="115" t="s">
        <v>833</v>
      </c>
      <c r="C1999" s="126" t="s">
        <v>2599</v>
      </c>
      <c r="D1999" s="126"/>
      <c r="E1999" s="126"/>
      <c r="F1999" s="126"/>
      <c r="G1999" s="108"/>
      <c r="H1999" s="105" t="n">
        <f aca="false">'[2]$ лето'!j1999-'[2]$ лето'!au1999-'[2]$ лето'!at1999-'[2]$ лето'!as1999-'[2]$ лето'!ar1999-'[2]$ лето'!aq1999-'[2]$ лето'!ap1999-'[2]$ лето'!an1999-'[2]$ лето'!am1999-'[2]$ лето'!al1999-'[2]$ лето'!ak1999-'[2]$ лето'!aj1999-'[2]$ лето'!ah1999-'[2]$ лето'!ag1999-'[2]$ лето'!af1999-'[2]$ лето'!ae1999-'[2]$ лето'!ad1999-'[2]$ лето'!ab1999-'[2]$ лето'!aa1999-'[2]$ лето'!z1999-'[2]$ лето'!y1999-'[2]$ лето'!x1999-'[2]$ лето'!v1999-'[2]$ лето'!u1999-'[2]$ лето'!t1999-'[2]$ лето'!s1999-'[2]$ лето'!r1999-'[2]$ лето'!p1999-'[2]$ лето'!o1999-'[2]$ лето'!n1999-'[2]$ лето'!m1999-'[2]$ лето'!l1999+'[2]$ лето'!k1999+'[2]$ лето'!q1999+'[2]$ лето'!w1999+'[2]$ лето'!ac1999+'[2]$ лето'!ai1999+'[2]$ лето'!ao1999</f>
        <v>0</v>
      </c>
      <c r="I1999" s="109" t="n">
        <f aca="false">'[2]$ лето'!ay1999*1.1</f>
        <v>1718.2</v>
      </c>
    </row>
    <row r="2000" customFormat="false" ht="15" hidden="false" customHeight="false" outlineLevel="0" collapsed="false">
      <c r="A2000" s="115" t="s">
        <v>321</v>
      </c>
      <c r="B2000" s="115" t="s">
        <v>623</v>
      </c>
      <c r="C2000" s="126" t="s">
        <v>2600</v>
      </c>
      <c r="D2000" s="126"/>
      <c r="E2000" s="126"/>
      <c r="F2000" s="126"/>
      <c r="G2000" s="108"/>
      <c r="H2000" s="105" t="n">
        <f aca="false">'[2]$ лето'!j2000-'[2]$ лето'!au2000-'[2]$ лето'!at2000-'[2]$ лето'!as2000-'[2]$ лето'!ar2000-'[2]$ лето'!aq2000-'[2]$ лето'!ap2000-'[2]$ лето'!an2000-'[2]$ лето'!am2000-'[2]$ лето'!al2000-'[2]$ лето'!ak2000-'[2]$ лето'!aj2000-'[2]$ лето'!ah2000-'[2]$ лето'!ag2000-'[2]$ лето'!af2000-'[2]$ лето'!ae2000-'[2]$ лето'!ad2000-'[2]$ лето'!ab2000-'[2]$ лето'!aa2000-'[2]$ лето'!z2000-'[2]$ лето'!y2000-'[2]$ лето'!x2000-'[2]$ лето'!v2000-'[2]$ лето'!u2000-'[2]$ лето'!t2000-'[2]$ лето'!s2000-'[2]$ лето'!r2000-'[2]$ лето'!p2000-'[2]$ лето'!o2000-'[2]$ лето'!n2000-'[2]$ лето'!m2000-'[2]$ лето'!l2000+'[2]$ лето'!k2000+'[2]$ лето'!q2000+'[2]$ лето'!w2000+'[2]$ лето'!ac2000+'[2]$ лето'!ai2000+'[2]$ лето'!ao2000</f>
        <v>8</v>
      </c>
      <c r="I2000" s="109" t="n">
        <f aca="false">'[2]$ лето'!ay2000*1.1</f>
        <v>1843.16</v>
      </c>
      <c r="J2000" s="85" t="n">
        <v>2018</v>
      </c>
    </row>
    <row r="2001" customFormat="false" ht="15" hidden="false" customHeight="false" outlineLevel="0" collapsed="false">
      <c r="A2001" s="115" t="s">
        <v>321</v>
      </c>
      <c r="B2001" s="115" t="s">
        <v>564</v>
      </c>
      <c r="C2001" s="107" t="s">
        <v>2601</v>
      </c>
      <c r="D2001" s="107"/>
      <c r="E2001" s="116"/>
      <c r="F2001" s="116"/>
      <c r="G2001" s="108" t="s">
        <v>520</v>
      </c>
      <c r="H2001" s="105" t="n">
        <f aca="false">'[2]$ лето'!j2001-'[2]$ лето'!au2001-'[2]$ лето'!at2001-'[2]$ лето'!as2001-'[2]$ лето'!ar2001-'[2]$ лето'!aq2001-'[2]$ лето'!ap2001-'[2]$ лето'!an2001-'[2]$ лето'!am2001-'[2]$ лето'!al2001-'[2]$ лето'!ak2001-'[2]$ лето'!aj2001-'[2]$ лето'!ah2001-'[2]$ лето'!ag2001-'[2]$ лето'!af2001-'[2]$ лето'!ae2001-'[2]$ лето'!ad2001-'[2]$ лето'!ab2001-'[2]$ лето'!aa2001-'[2]$ лето'!z2001-'[2]$ лето'!y2001-'[2]$ лето'!x2001-'[2]$ лето'!v2001-'[2]$ лето'!u2001-'[2]$ лето'!t2001-'[2]$ лето'!s2001-'[2]$ лето'!r2001-'[2]$ лето'!p2001-'[2]$ лето'!o2001-'[2]$ лето'!n2001-'[2]$ лето'!m2001-'[2]$ лето'!l2001+'[2]$ лето'!k2001+'[2]$ лето'!q2001+'[2]$ лето'!w2001+'[2]$ лето'!ac2001+'[2]$ лето'!ai2001+'[2]$ лето'!ao2001</f>
        <v>2</v>
      </c>
      <c r="I2001" s="109" t="n">
        <f aca="false">'[2]$ лето'!ay2001*1.1</f>
        <v>1562</v>
      </c>
      <c r="J2001" s="85" t="n">
        <v>2017</v>
      </c>
    </row>
    <row r="2002" customFormat="false" ht="15" hidden="false" customHeight="false" outlineLevel="0" collapsed="false">
      <c r="A2002" s="129" t="s">
        <v>321</v>
      </c>
      <c r="B2002" s="129" t="str">
        <f aca="false">B2001</f>
        <v>TRIANGLE</v>
      </c>
      <c r="C2002" s="130" t="str">
        <f aca="false">C2001</f>
        <v>TR-652</v>
      </c>
      <c r="D2002" s="130"/>
      <c r="E2002" s="131"/>
      <c r="F2002" s="131"/>
      <c r="G2002" s="132"/>
      <c r="H2002" s="105" t="n">
        <f aca="false">'[2]$ лето'!j2002-'[2]$ лето'!au2002-'[2]$ лето'!at2002-'[2]$ лето'!as2002-'[2]$ лето'!ar2002-'[2]$ лето'!aq2002-'[2]$ лето'!ap2002-'[2]$ лето'!an2002-'[2]$ лето'!am2002-'[2]$ лето'!al2002-'[2]$ лето'!ak2002-'[2]$ лето'!aj2002-'[2]$ лето'!ah2002-'[2]$ лето'!ag2002-'[2]$ лето'!af2002-'[2]$ лето'!ae2002-'[2]$ лето'!ad2002-'[2]$ лето'!ab2002-'[2]$ лето'!aa2002-'[2]$ лето'!z2002-'[2]$ лето'!y2002-'[2]$ лето'!x2002-'[2]$ лето'!v2002-'[2]$ лето'!u2002-'[2]$ лето'!t2002-'[2]$ лето'!s2002-'[2]$ лето'!r2002-'[2]$ лето'!p2002-'[2]$ лето'!o2002-'[2]$ лето'!n2002-'[2]$ лето'!m2002-'[2]$ лето'!l2002+'[2]$ лето'!k2002+'[2]$ лето'!q2002+'[2]$ лето'!w2002+'[2]$ лето'!ac2002+'[2]$ лето'!ai2002+'[2]$ лето'!ao2002</f>
        <v>2</v>
      </c>
      <c r="I2002" s="133"/>
    </row>
    <row r="2003" customFormat="false" ht="15" hidden="true" customHeight="false" outlineLevel="0" collapsed="false">
      <c r="A2003" s="115" t="s">
        <v>326</v>
      </c>
      <c r="B2003" s="115" t="s">
        <v>991</v>
      </c>
      <c r="C2003" s="107" t="s">
        <v>2440</v>
      </c>
      <c r="D2003" s="107"/>
      <c r="E2003" s="107"/>
      <c r="F2003" s="107"/>
      <c r="G2003" s="108" t="s">
        <v>520</v>
      </c>
      <c r="H2003" s="105" t="n">
        <f aca="false">'[2]$ лето'!j2003-'[2]$ лето'!au2003-'[2]$ лето'!at2003-'[2]$ лето'!as2003-'[2]$ лето'!ar2003-'[2]$ лето'!aq2003-'[2]$ лето'!ap2003-'[2]$ лето'!an2003-'[2]$ лето'!am2003-'[2]$ лето'!al2003-'[2]$ лето'!ak2003-'[2]$ лето'!aj2003-'[2]$ лето'!ah2003-'[2]$ лето'!ag2003-'[2]$ лето'!af2003-'[2]$ лето'!ae2003-'[2]$ лето'!ad2003-'[2]$ лето'!ab2003-'[2]$ лето'!aa2003-'[2]$ лето'!z2003-'[2]$ лето'!y2003-'[2]$ лето'!x2003-'[2]$ лето'!v2003-'[2]$ лето'!u2003-'[2]$ лето'!t2003-'[2]$ лето'!s2003-'[2]$ лето'!r2003-'[2]$ лето'!p2003-'[2]$ лето'!o2003-'[2]$ лето'!n2003-'[2]$ лето'!m2003-'[2]$ лето'!l2003+'[2]$ лето'!k2003+'[2]$ лето'!q2003+'[2]$ лето'!w2003+'[2]$ лето'!ac2003+'[2]$ лето'!ai2003+'[2]$ лето'!ao2003</f>
        <v>0</v>
      </c>
      <c r="I2003" s="109" t="n">
        <f aca="false">'[2]$ лето'!ay2003*1.1</f>
        <v>1562</v>
      </c>
    </row>
    <row r="2004" customFormat="false" ht="15" hidden="true" customHeight="false" outlineLevel="0" collapsed="false">
      <c r="A2004" s="115" t="s">
        <v>326</v>
      </c>
      <c r="B2004" s="115" t="s">
        <v>568</v>
      </c>
      <c r="C2004" s="107" t="s">
        <v>2602</v>
      </c>
      <c r="D2004" s="107"/>
      <c r="E2004" s="107"/>
      <c r="F2004" s="107"/>
      <c r="G2004" s="108"/>
      <c r="H2004" s="105" t="n">
        <f aca="false">'[2]$ лето'!j2004-'[2]$ лето'!au2004-'[2]$ лето'!at2004-'[2]$ лето'!as2004-'[2]$ лето'!ar2004-'[2]$ лето'!aq2004-'[2]$ лето'!ap2004-'[2]$ лето'!an2004-'[2]$ лето'!am2004-'[2]$ лето'!al2004-'[2]$ лето'!ak2004-'[2]$ лето'!aj2004-'[2]$ лето'!ah2004-'[2]$ лето'!ag2004-'[2]$ лето'!af2004-'[2]$ лето'!ae2004-'[2]$ лето'!ad2004-'[2]$ лето'!ab2004-'[2]$ лето'!aa2004-'[2]$ лето'!z2004-'[2]$ лето'!y2004-'[2]$ лето'!x2004-'[2]$ лето'!v2004-'[2]$ лето'!u2004-'[2]$ лето'!t2004-'[2]$ лето'!s2004-'[2]$ лето'!r2004-'[2]$ лето'!p2004-'[2]$ лето'!o2004-'[2]$ лето'!n2004-'[2]$ лето'!m2004-'[2]$ лето'!l2004+'[2]$ лето'!k2004+'[2]$ лето'!q2004+'[2]$ лето'!w2004+'[2]$ лето'!ac2004+'[2]$ лето'!ai2004+'[2]$ лето'!ao2004</f>
        <v>0</v>
      </c>
      <c r="I2004" s="109" t="n">
        <f aca="false">'[2]$ лето'!ay2004*1.1</f>
        <v>0</v>
      </c>
    </row>
    <row r="2005" customFormat="false" ht="15" hidden="false" customHeight="false" outlineLevel="0" collapsed="false">
      <c r="A2005" s="115" t="s">
        <v>326</v>
      </c>
      <c r="B2005" s="115" t="s">
        <v>741</v>
      </c>
      <c r="C2005" s="107" t="s">
        <v>2603</v>
      </c>
      <c r="D2005" s="107"/>
      <c r="E2005" s="116"/>
      <c r="F2005" s="116"/>
      <c r="G2005" s="108" t="s">
        <v>576</v>
      </c>
      <c r="H2005" s="105" t="n">
        <f aca="false">'[2]$ лето'!j2005-'[2]$ лето'!au2005-'[2]$ лето'!at2005-'[2]$ лето'!as2005-'[2]$ лето'!ar2005-'[2]$ лето'!aq2005-'[2]$ лето'!ap2005-'[2]$ лето'!an2005-'[2]$ лето'!am2005-'[2]$ лето'!al2005-'[2]$ лето'!ak2005-'[2]$ лето'!aj2005-'[2]$ лето'!ah2005-'[2]$ лето'!ag2005-'[2]$ лето'!af2005-'[2]$ лето'!ae2005-'[2]$ лето'!ad2005-'[2]$ лето'!ab2005-'[2]$ лето'!aa2005-'[2]$ лето'!z2005-'[2]$ лето'!y2005-'[2]$ лето'!x2005-'[2]$ лето'!v2005-'[2]$ лето'!u2005-'[2]$ лето'!t2005-'[2]$ лето'!s2005-'[2]$ лето'!r2005-'[2]$ лето'!p2005-'[2]$ лето'!o2005-'[2]$ лето'!n2005-'[2]$ лето'!m2005-'[2]$ лето'!l2005+'[2]$ лето'!k2005+'[2]$ лето'!q2005+'[2]$ лето'!w2005+'[2]$ лето'!ac2005+'[2]$ лето'!ai2005+'[2]$ лето'!ao2005</f>
        <v>2</v>
      </c>
      <c r="I2005" s="109" t="n">
        <f aca="false">'[2]$ лето'!ay2005*1.1</f>
        <v>2186.8</v>
      </c>
      <c r="J2005" s="85" t="n">
        <v>2013</v>
      </c>
    </row>
    <row r="2006" customFormat="false" ht="15" hidden="true" customHeight="false" outlineLevel="0" collapsed="false">
      <c r="A2006" s="115" t="s">
        <v>326</v>
      </c>
      <c r="B2006" s="115" t="s">
        <v>2480</v>
      </c>
      <c r="C2006" s="107" t="s">
        <v>2604</v>
      </c>
      <c r="D2006" s="107"/>
      <c r="E2006" s="107"/>
      <c r="F2006" s="107"/>
      <c r="G2006" s="108" t="s">
        <v>1075</v>
      </c>
      <c r="H2006" s="105" t="n">
        <f aca="false">'[2]$ лето'!j2006-'[2]$ лето'!au2006-'[2]$ лето'!at2006-'[2]$ лето'!as2006-'[2]$ лето'!ar2006-'[2]$ лето'!aq2006-'[2]$ лето'!ap2006-'[2]$ лето'!an2006-'[2]$ лето'!am2006-'[2]$ лето'!al2006-'[2]$ лето'!ak2006-'[2]$ лето'!aj2006-'[2]$ лето'!ah2006-'[2]$ лето'!ag2006-'[2]$ лето'!af2006-'[2]$ лето'!ae2006-'[2]$ лето'!ad2006-'[2]$ лето'!ab2006-'[2]$ лето'!aa2006-'[2]$ лето'!z2006-'[2]$ лето'!y2006-'[2]$ лето'!x2006-'[2]$ лето'!v2006-'[2]$ лето'!u2006-'[2]$ лето'!t2006-'[2]$ лето'!s2006-'[2]$ лето'!r2006-'[2]$ лето'!p2006-'[2]$ лето'!o2006-'[2]$ лето'!n2006-'[2]$ лето'!m2006-'[2]$ лето'!l2006+'[2]$ лето'!k2006+'[2]$ лето'!q2006+'[2]$ лето'!w2006+'[2]$ лето'!ac2006+'[2]$ лето'!ai2006+'[2]$ лето'!ao2006</f>
        <v>0</v>
      </c>
      <c r="I2006" s="109" t="n">
        <f aca="false">'[2]$ лето'!ay2006*1.1</f>
        <v>1968.12</v>
      </c>
      <c r="J2006" s="85" t="n">
        <v>2017</v>
      </c>
    </row>
    <row r="2007" customFormat="false" ht="15" hidden="true" customHeight="false" outlineLevel="0" collapsed="false">
      <c r="A2007" s="115" t="s">
        <v>326</v>
      </c>
      <c r="B2007" s="115" t="s">
        <v>2423</v>
      </c>
      <c r="C2007" s="116" t="s">
        <v>2424</v>
      </c>
      <c r="D2007" s="116"/>
      <c r="E2007" s="116"/>
      <c r="F2007" s="116"/>
      <c r="G2007" s="108"/>
      <c r="H2007" s="105" t="n">
        <f aca="false">'[2]$ лето'!j2007-'[2]$ лето'!au2007-'[2]$ лето'!at2007-'[2]$ лето'!as2007-'[2]$ лето'!ar2007-'[2]$ лето'!aq2007-'[2]$ лето'!ap2007-'[2]$ лето'!an2007-'[2]$ лето'!am2007-'[2]$ лето'!al2007-'[2]$ лето'!ak2007-'[2]$ лето'!aj2007-'[2]$ лето'!ah2007-'[2]$ лето'!ag2007-'[2]$ лето'!af2007-'[2]$ лето'!ae2007-'[2]$ лето'!ad2007-'[2]$ лето'!ab2007-'[2]$ лето'!aa2007-'[2]$ лето'!z2007-'[2]$ лето'!y2007-'[2]$ лето'!x2007-'[2]$ лето'!v2007-'[2]$ лето'!u2007-'[2]$ лето'!t2007-'[2]$ лето'!s2007-'[2]$ лето'!r2007-'[2]$ лето'!p2007-'[2]$ лето'!o2007-'[2]$ лето'!n2007-'[2]$ лето'!m2007-'[2]$ лето'!l2007+'[2]$ лето'!k2007+'[2]$ лето'!q2007+'[2]$ лето'!w2007+'[2]$ лето'!ac2007+'[2]$ лето'!ai2007+'[2]$ лето'!ao2007</f>
        <v>0</v>
      </c>
      <c r="I2007" s="109" t="n">
        <f aca="false">'[2]$ лето'!ay2007*1.1</f>
        <v>1405.8</v>
      </c>
    </row>
    <row r="2008" customFormat="false" ht="15" hidden="true" customHeight="false" outlineLevel="0" collapsed="false">
      <c r="A2008" s="115" t="s">
        <v>326</v>
      </c>
      <c r="B2008" s="115" t="s">
        <v>666</v>
      </c>
      <c r="C2008" s="107" t="s">
        <v>2523</v>
      </c>
      <c r="D2008" s="107"/>
      <c r="E2008" s="107"/>
      <c r="F2008" s="107"/>
      <c r="G2008" s="108" t="s">
        <v>1075</v>
      </c>
      <c r="H2008" s="105" t="n">
        <f aca="false">'[2]$ лето'!j2008-'[2]$ лето'!au2008-'[2]$ лето'!at2008-'[2]$ лето'!as2008-'[2]$ лето'!ar2008-'[2]$ лето'!aq2008-'[2]$ лето'!ap2008-'[2]$ лето'!an2008-'[2]$ лето'!am2008-'[2]$ лето'!al2008-'[2]$ лето'!ak2008-'[2]$ лето'!aj2008-'[2]$ лето'!ah2008-'[2]$ лето'!ag2008-'[2]$ лето'!af2008-'[2]$ лето'!ae2008-'[2]$ лето'!ad2008-'[2]$ лето'!ab2008-'[2]$ лето'!aa2008-'[2]$ лето'!z2008-'[2]$ лето'!y2008-'[2]$ лето'!x2008-'[2]$ лето'!v2008-'[2]$ лето'!u2008-'[2]$ лето'!t2008-'[2]$ лето'!s2008-'[2]$ лето'!r2008-'[2]$ лето'!p2008-'[2]$ лето'!o2008-'[2]$ лето'!n2008-'[2]$ лето'!m2008-'[2]$ лето'!l2008+'[2]$ лето'!k2008+'[2]$ лето'!q2008+'[2]$ лето'!w2008+'[2]$ лето'!ac2008+'[2]$ лето'!ai2008+'[2]$ лето'!ao2008</f>
        <v>0</v>
      </c>
      <c r="I2008" s="109" t="n">
        <f aca="false">'[2]$ лето'!ay2008*1.1</f>
        <v>2499.2</v>
      </c>
    </row>
    <row r="2009" customFormat="false" ht="15" hidden="true" customHeight="false" outlineLevel="0" collapsed="false">
      <c r="A2009" s="115" t="s">
        <v>326</v>
      </c>
      <c r="B2009" s="115" t="s">
        <v>574</v>
      </c>
      <c r="C2009" s="116" t="s">
        <v>2505</v>
      </c>
      <c r="D2009" s="116"/>
      <c r="E2009" s="116"/>
      <c r="F2009" s="116"/>
      <c r="G2009" s="108" t="s">
        <v>576</v>
      </c>
      <c r="H2009" s="105" t="n">
        <f aca="false">'[2]$ лето'!j2009-'[2]$ лето'!au2009-'[2]$ лето'!at2009-'[2]$ лето'!as2009-'[2]$ лето'!ar2009-'[2]$ лето'!aq2009-'[2]$ лето'!ap2009-'[2]$ лето'!an2009-'[2]$ лето'!am2009-'[2]$ лето'!al2009-'[2]$ лето'!ak2009-'[2]$ лето'!aj2009-'[2]$ лето'!ah2009-'[2]$ лето'!ag2009-'[2]$ лето'!af2009-'[2]$ лето'!ae2009-'[2]$ лето'!ad2009-'[2]$ лето'!ab2009-'[2]$ лето'!aa2009-'[2]$ лето'!z2009-'[2]$ лето'!y2009-'[2]$ лето'!x2009-'[2]$ лето'!v2009-'[2]$ лето'!u2009-'[2]$ лето'!t2009-'[2]$ лето'!s2009-'[2]$ лето'!r2009-'[2]$ лето'!p2009-'[2]$ лето'!o2009-'[2]$ лето'!n2009-'[2]$ лето'!m2009-'[2]$ лето'!l2009+'[2]$ лето'!k2009+'[2]$ лето'!q2009+'[2]$ лето'!w2009+'[2]$ лето'!ac2009+'[2]$ лето'!ai2009+'[2]$ лето'!ao2009</f>
        <v>0</v>
      </c>
      <c r="I2009" s="109" t="n">
        <f aca="false">'[2]$ лето'!ay2009*1.1</f>
        <v>2030.6</v>
      </c>
    </row>
    <row r="2010" customFormat="false" ht="15" hidden="false" customHeight="false" outlineLevel="0" collapsed="false">
      <c r="A2010" s="115" t="s">
        <v>326</v>
      </c>
      <c r="B2010" s="115" t="s">
        <v>574</v>
      </c>
      <c r="C2010" s="116" t="s">
        <v>2605</v>
      </c>
      <c r="D2010" s="116"/>
      <c r="E2010" s="116"/>
      <c r="F2010" s="116"/>
      <c r="G2010" s="108" t="s">
        <v>576</v>
      </c>
      <c r="H2010" s="105" t="n">
        <f aca="false">'[2]$ лето'!j2010-'[2]$ лето'!au2010-'[2]$ лето'!at2010-'[2]$ лето'!as2010-'[2]$ лето'!ar2010-'[2]$ лето'!aq2010-'[2]$ лето'!ap2010-'[2]$ лето'!an2010-'[2]$ лето'!am2010-'[2]$ лето'!al2010-'[2]$ лето'!ak2010-'[2]$ лето'!aj2010-'[2]$ лето'!ah2010-'[2]$ лето'!ag2010-'[2]$ лето'!af2010-'[2]$ лето'!ae2010-'[2]$ лето'!ad2010-'[2]$ лето'!ab2010-'[2]$ лето'!aa2010-'[2]$ лето'!z2010-'[2]$ лето'!y2010-'[2]$ лето'!x2010-'[2]$ лето'!v2010-'[2]$ лето'!u2010-'[2]$ лето'!t2010-'[2]$ лето'!s2010-'[2]$ лето'!r2010-'[2]$ лето'!p2010-'[2]$ лето'!o2010-'[2]$ лето'!n2010-'[2]$ лето'!m2010-'[2]$ лето'!l2010+'[2]$ лето'!k2010+'[2]$ лето'!q2010+'[2]$ лето'!w2010+'[2]$ лето'!ac2010+'[2]$ лето'!ai2010+'[2]$ лето'!ao2010</f>
        <v>8</v>
      </c>
      <c r="I2010" s="109" t="n">
        <f aca="false">'[2]$ лето'!ay2010*1.1</f>
        <v>2311.76</v>
      </c>
    </row>
    <row r="2011" customFormat="false" ht="15" hidden="false" customHeight="false" outlineLevel="0" collapsed="false">
      <c r="A2011" s="115" t="s">
        <v>326</v>
      </c>
      <c r="B2011" s="115" t="s">
        <v>583</v>
      </c>
      <c r="C2011" s="116" t="s">
        <v>2606</v>
      </c>
      <c r="D2011" s="116"/>
      <c r="E2011" s="116"/>
      <c r="F2011" s="116"/>
      <c r="G2011" s="108" t="s">
        <v>585</v>
      </c>
      <c r="H2011" s="105" t="n">
        <f aca="false">'[2]$ лето'!j2011-'[2]$ лето'!au2011-'[2]$ лето'!at2011-'[2]$ лето'!as2011-'[2]$ лето'!ar2011-'[2]$ лето'!aq2011-'[2]$ лето'!ap2011-'[2]$ лето'!an2011-'[2]$ лето'!am2011-'[2]$ лето'!al2011-'[2]$ лето'!ak2011-'[2]$ лето'!aj2011-'[2]$ лето'!ah2011-'[2]$ лето'!ag2011-'[2]$ лето'!af2011-'[2]$ лето'!ae2011-'[2]$ лето'!ad2011-'[2]$ лето'!ab2011-'[2]$ лето'!aa2011-'[2]$ лето'!z2011-'[2]$ лето'!y2011-'[2]$ лето'!x2011-'[2]$ лето'!v2011-'[2]$ лето'!u2011-'[2]$ лето'!t2011-'[2]$ лето'!s2011-'[2]$ лето'!r2011-'[2]$ лето'!p2011-'[2]$ лето'!o2011-'[2]$ лето'!n2011-'[2]$ лето'!m2011-'[2]$ лето'!l2011+'[2]$ лето'!k2011+'[2]$ лето'!q2011+'[2]$ лето'!w2011+'[2]$ лето'!ac2011+'[2]$ лето'!ai2011+'[2]$ лето'!ao2011</f>
        <v>4</v>
      </c>
      <c r="I2011" s="109" t="n">
        <f aca="false">'[2]$ лето'!ay2011*1.1</f>
        <v>2467.96</v>
      </c>
    </row>
    <row r="2012" customFormat="false" ht="15" hidden="false" customHeight="false" outlineLevel="0" collapsed="false">
      <c r="A2012" s="115" t="s">
        <v>326</v>
      </c>
      <c r="B2012" s="115" t="s">
        <v>583</v>
      </c>
      <c r="C2012" s="107" t="s">
        <v>2607</v>
      </c>
      <c r="D2012" s="107"/>
      <c r="E2012" s="116"/>
      <c r="F2012" s="116"/>
      <c r="G2012" s="108" t="s">
        <v>585</v>
      </c>
      <c r="H2012" s="105" t="n">
        <f aca="false">'[2]$ лето'!j2012-'[2]$ лето'!au2012-'[2]$ лето'!at2012-'[2]$ лето'!as2012-'[2]$ лето'!ar2012-'[2]$ лето'!aq2012-'[2]$ лето'!ap2012-'[2]$ лето'!an2012-'[2]$ лето'!am2012-'[2]$ лето'!al2012-'[2]$ лето'!ak2012-'[2]$ лето'!aj2012-'[2]$ лето'!ah2012-'[2]$ лето'!ag2012-'[2]$ лето'!af2012-'[2]$ лето'!ae2012-'[2]$ лето'!ad2012-'[2]$ лето'!ab2012-'[2]$ лето'!aa2012-'[2]$ лето'!z2012-'[2]$ лето'!y2012-'[2]$ лето'!x2012-'[2]$ лето'!v2012-'[2]$ лето'!u2012-'[2]$ лето'!t2012-'[2]$ лето'!s2012-'[2]$ лето'!r2012-'[2]$ лето'!p2012-'[2]$ лето'!o2012-'[2]$ лето'!n2012-'[2]$ лето'!m2012-'[2]$ лето'!l2012+'[2]$ лето'!k2012+'[2]$ лето'!q2012+'[2]$ лето'!w2012+'[2]$ лето'!ac2012+'[2]$ лето'!ai2012+'[2]$ лето'!ao2012</f>
        <v>8</v>
      </c>
      <c r="I2012" s="109" t="n">
        <f aca="false">'[2]$ лето'!ay2012*1.1</f>
        <v>2249.28</v>
      </c>
    </row>
    <row r="2013" customFormat="false" ht="15" hidden="false" customHeight="false" outlineLevel="0" collapsed="false">
      <c r="A2013" s="115" t="s">
        <v>326</v>
      </c>
      <c r="B2013" s="115" t="s">
        <v>593</v>
      </c>
      <c r="C2013" s="116" t="s">
        <v>2429</v>
      </c>
      <c r="D2013" s="116"/>
      <c r="E2013" s="116"/>
      <c r="F2013" s="116"/>
      <c r="G2013" s="108" t="s">
        <v>933</v>
      </c>
      <c r="H2013" s="105" t="n">
        <f aca="false">'[2]$ лето'!j2013-'[2]$ лето'!au2013-'[2]$ лето'!at2013-'[2]$ лето'!as2013-'[2]$ лето'!ar2013-'[2]$ лето'!aq2013-'[2]$ лето'!ap2013-'[2]$ лето'!an2013-'[2]$ лето'!am2013-'[2]$ лето'!al2013-'[2]$ лето'!ak2013-'[2]$ лето'!aj2013-'[2]$ лето'!ah2013-'[2]$ лето'!ag2013-'[2]$ лето'!af2013-'[2]$ лето'!ae2013-'[2]$ лето'!ad2013-'[2]$ лето'!ab2013-'[2]$ лето'!aa2013-'[2]$ лето'!z2013-'[2]$ лето'!y2013-'[2]$ лето'!x2013-'[2]$ лето'!v2013-'[2]$ лето'!u2013-'[2]$ лето'!t2013-'[2]$ лето'!s2013-'[2]$ лето'!r2013-'[2]$ лето'!p2013-'[2]$ лето'!o2013-'[2]$ лето'!n2013-'[2]$ лето'!m2013-'[2]$ лето'!l2013+'[2]$ лето'!k2013+'[2]$ лето'!q2013+'[2]$ лето'!w2013+'[2]$ лето'!ac2013+'[2]$ лето'!ai2013+'[2]$ лето'!ao2013</f>
        <v>4</v>
      </c>
      <c r="I2013" s="109" t="n">
        <f aca="false">'[2]$ лето'!ay2013*1.1</f>
        <v>3842.52</v>
      </c>
      <c r="J2013" s="85" t="n">
        <v>2017</v>
      </c>
    </row>
    <row r="2014" customFormat="false" ht="15" hidden="false" customHeight="false" outlineLevel="0" collapsed="false">
      <c r="A2014" s="115" t="s">
        <v>326</v>
      </c>
      <c r="B2014" s="115" t="s">
        <v>586</v>
      </c>
      <c r="C2014" s="116" t="s">
        <v>2596</v>
      </c>
      <c r="D2014" s="116"/>
      <c r="E2014" s="116"/>
      <c r="F2014" s="116"/>
      <c r="G2014" s="108" t="s">
        <v>520</v>
      </c>
      <c r="H2014" s="105" t="n">
        <f aca="false">'[2]$ лето'!j2014-'[2]$ лето'!au2014-'[2]$ лето'!at2014-'[2]$ лето'!as2014-'[2]$ лето'!ar2014-'[2]$ лето'!aq2014-'[2]$ лето'!ap2014-'[2]$ лето'!an2014-'[2]$ лето'!am2014-'[2]$ лето'!al2014-'[2]$ лето'!ak2014-'[2]$ лето'!aj2014-'[2]$ лето'!ah2014-'[2]$ лето'!ag2014-'[2]$ лето'!af2014-'[2]$ лето'!ae2014-'[2]$ лето'!ad2014-'[2]$ лето'!ab2014-'[2]$ лето'!aa2014-'[2]$ лето'!z2014-'[2]$ лето'!y2014-'[2]$ лето'!x2014-'[2]$ лето'!v2014-'[2]$ лето'!u2014-'[2]$ лето'!t2014-'[2]$ лето'!s2014-'[2]$ лето'!r2014-'[2]$ лето'!p2014-'[2]$ лето'!o2014-'[2]$ лето'!n2014-'[2]$ лето'!m2014-'[2]$ лето'!l2014+'[2]$ лето'!k2014+'[2]$ лето'!q2014+'[2]$ лето'!w2014+'[2]$ лето'!ac2014+'[2]$ лето'!ai2014+'[2]$ лето'!ao2014</f>
        <v>4</v>
      </c>
      <c r="I2014" s="109" t="n">
        <f aca="false">'[2]$ лето'!ay2014*1.1</f>
        <v>1499.52</v>
      </c>
    </row>
    <row r="2015" customFormat="false" ht="15" hidden="false" customHeight="false" outlineLevel="0" collapsed="false">
      <c r="A2015" s="115" t="s">
        <v>326</v>
      </c>
      <c r="B2015" s="115" t="s">
        <v>762</v>
      </c>
      <c r="C2015" s="116" t="s">
        <v>2608</v>
      </c>
      <c r="D2015" s="116"/>
      <c r="E2015" s="116" t="s">
        <v>2609</v>
      </c>
      <c r="F2015" s="116"/>
      <c r="G2015" s="108"/>
      <c r="H2015" s="105" t="n">
        <f aca="false">'[2]$ лето'!j2015-'[2]$ лето'!au2015-'[2]$ лето'!at2015-'[2]$ лето'!as2015-'[2]$ лето'!ar2015-'[2]$ лето'!aq2015-'[2]$ лето'!ap2015-'[2]$ лето'!an2015-'[2]$ лето'!am2015-'[2]$ лето'!al2015-'[2]$ лето'!ak2015-'[2]$ лето'!aj2015-'[2]$ лето'!ah2015-'[2]$ лето'!ag2015-'[2]$ лето'!af2015-'[2]$ лето'!ae2015-'[2]$ лето'!ad2015-'[2]$ лето'!ab2015-'[2]$ лето'!aa2015-'[2]$ лето'!z2015-'[2]$ лето'!y2015-'[2]$ лето'!x2015-'[2]$ лето'!v2015-'[2]$ лето'!u2015-'[2]$ лето'!t2015-'[2]$ лето'!s2015-'[2]$ лето'!r2015-'[2]$ лето'!p2015-'[2]$ лето'!o2015-'[2]$ лето'!n2015-'[2]$ лето'!m2015-'[2]$ лето'!l2015+'[2]$ лето'!k2015+'[2]$ лето'!q2015+'[2]$ лето'!w2015+'[2]$ лето'!ac2015+'[2]$ лето'!ai2015+'[2]$ лето'!ao2015</f>
        <v>4</v>
      </c>
      <c r="I2015" s="109" t="n">
        <f aca="false">'[2]$ лето'!ay2015*1.1</f>
        <v>2186.8</v>
      </c>
    </row>
    <row r="2016" customFormat="false" ht="15" hidden="false" customHeight="false" outlineLevel="0" collapsed="false">
      <c r="A2016" s="115" t="s">
        <v>326</v>
      </c>
      <c r="B2016" s="115" t="s">
        <v>617</v>
      </c>
      <c r="C2016" s="116" t="s">
        <v>2610</v>
      </c>
      <c r="D2016" s="116"/>
      <c r="E2016" s="116"/>
      <c r="F2016" s="116"/>
      <c r="G2016" s="108"/>
      <c r="H2016" s="105" t="n">
        <f aca="false">'[2]$ лето'!j2016-'[2]$ лето'!au2016-'[2]$ лето'!at2016-'[2]$ лето'!as2016-'[2]$ лето'!ar2016-'[2]$ лето'!aq2016-'[2]$ лето'!ap2016-'[2]$ лето'!an2016-'[2]$ лето'!am2016-'[2]$ лето'!al2016-'[2]$ лето'!ak2016-'[2]$ лето'!aj2016-'[2]$ лето'!ah2016-'[2]$ лето'!ag2016-'[2]$ лето'!af2016-'[2]$ лето'!ae2016-'[2]$ лето'!ad2016-'[2]$ лето'!ab2016-'[2]$ лето'!aa2016-'[2]$ лето'!z2016-'[2]$ лето'!y2016-'[2]$ лето'!x2016-'[2]$ лето'!v2016-'[2]$ лето'!u2016-'[2]$ лето'!t2016-'[2]$ лето'!s2016-'[2]$ лето'!r2016-'[2]$ лето'!p2016-'[2]$ лето'!o2016-'[2]$ лето'!n2016-'[2]$ лето'!m2016-'[2]$ лето'!l2016+'[2]$ лето'!k2016+'[2]$ лето'!q2016+'[2]$ лето'!w2016+'[2]$ лето'!ac2016+'[2]$ лето'!ai2016+'[2]$ лето'!ao2016</f>
        <v>4</v>
      </c>
      <c r="I2016" s="109" t="n">
        <f aca="false">'[2]$ лето'!ay2016*1.1</f>
        <v>1874.4</v>
      </c>
    </row>
    <row r="2017" customFormat="false" ht="15" hidden="false" customHeight="false" outlineLevel="0" collapsed="false">
      <c r="A2017" s="115" t="s">
        <v>326</v>
      </c>
      <c r="B2017" s="115" t="s">
        <v>623</v>
      </c>
      <c r="C2017" s="116" t="s">
        <v>2600</v>
      </c>
      <c r="D2017" s="116"/>
      <c r="E2017" s="116"/>
      <c r="F2017" s="116"/>
      <c r="G2017" s="108"/>
      <c r="H2017" s="105" t="n">
        <f aca="false">'[2]$ лето'!j2017-'[2]$ лето'!au2017-'[2]$ лето'!at2017-'[2]$ лето'!as2017-'[2]$ лето'!ar2017-'[2]$ лето'!aq2017-'[2]$ лето'!ap2017-'[2]$ лето'!an2017-'[2]$ лето'!am2017-'[2]$ лето'!al2017-'[2]$ лето'!ak2017-'[2]$ лето'!aj2017-'[2]$ лето'!ah2017-'[2]$ лето'!ag2017-'[2]$ лето'!af2017-'[2]$ лето'!ae2017-'[2]$ лето'!ad2017-'[2]$ лето'!ab2017-'[2]$ лето'!aa2017-'[2]$ лето'!z2017-'[2]$ лето'!y2017-'[2]$ лето'!x2017-'[2]$ лето'!v2017-'[2]$ лето'!u2017-'[2]$ лето'!t2017-'[2]$ лето'!s2017-'[2]$ лето'!r2017-'[2]$ лето'!p2017-'[2]$ лето'!o2017-'[2]$ лето'!n2017-'[2]$ лето'!m2017-'[2]$ лето'!l2017+'[2]$ лето'!k2017+'[2]$ лето'!q2017+'[2]$ лето'!w2017+'[2]$ лето'!ac2017+'[2]$ лето'!ai2017+'[2]$ лето'!ao2017</f>
        <v>4</v>
      </c>
      <c r="I2017" s="109" t="n">
        <f aca="false">'[2]$ лето'!ay2017*1.1</f>
        <v>1936.88</v>
      </c>
    </row>
    <row r="2018" customFormat="false" ht="15" hidden="false" customHeight="false" outlineLevel="0" collapsed="false">
      <c r="A2018" s="115" t="s">
        <v>326</v>
      </c>
      <c r="B2018" s="115" t="s">
        <v>564</v>
      </c>
      <c r="C2018" s="116" t="s">
        <v>2611</v>
      </c>
      <c r="D2018" s="116"/>
      <c r="E2018" s="116"/>
      <c r="F2018" s="116"/>
      <c r="G2018" s="108" t="s">
        <v>520</v>
      </c>
      <c r="H2018" s="105" t="n">
        <f aca="false">'[2]$ лето'!j2018-'[2]$ лето'!au2018-'[2]$ лето'!at2018-'[2]$ лето'!as2018-'[2]$ лето'!ar2018-'[2]$ лето'!aq2018-'[2]$ лето'!ap2018-'[2]$ лето'!an2018-'[2]$ лето'!am2018-'[2]$ лето'!al2018-'[2]$ лето'!ak2018-'[2]$ лето'!aj2018-'[2]$ лето'!ah2018-'[2]$ лето'!ag2018-'[2]$ лето'!af2018-'[2]$ лето'!ae2018-'[2]$ лето'!ad2018-'[2]$ лето'!ab2018-'[2]$ лето'!aa2018-'[2]$ лето'!z2018-'[2]$ лето'!y2018-'[2]$ лето'!x2018-'[2]$ лето'!v2018-'[2]$ лето'!u2018-'[2]$ лето'!t2018-'[2]$ лето'!s2018-'[2]$ лето'!r2018-'[2]$ лето'!p2018-'[2]$ лето'!o2018-'[2]$ лето'!n2018-'[2]$ лето'!m2018-'[2]$ лето'!l2018+'[2]$ лето'!k2018+'[2]$ лето'!q2018+'[2]$ лето'!w2018+'[2]$ лето'!ac2018+'[2]$ лето'!ai2018+'[2]$ лето'!ao2018</f>
        <v>8</v>
      </c>
      <c r="I2018" s="109" t="n">
        <f aca="false">'[2]$ лето'!ay2018*1.1</f>
        <v>1593.24</v>
      </c>
    </row>
    <row r="2019" customFormat="false" ht="15" hidden="false" customHeight="false" outlineLevel="0" collapsed="false">
      <c r="A2019" s="115" t="s">
        <v>2612</v>
      </c>
      <c r="B2019" s="115" t="s">
        <v>593</v>
      </c>
      <c r="C2019" s="107" t="s">
        <v>2613</v>
      </c>
      <c r="D2019" s="107"/>
      <c r="E2019" s="116"/>
      <c r="F2019" s="116"/>
      <c r="G2019" s="108"/>
      <c r="H2019" s="105" t="n">
        <f aca="false">'[2]$ лето'!j2019-'[2]$ лето'!au2019-'[2]$ лето'!at2019-'[2]$ лето'!as2019-'[2]$ лето'!ar2019-'[2]$ лето'!aq2019-'[2]$ лето'!ap2019-'[2]$ лето'!an2019-'[2]$ лето'!am2019-'[2]$ лето'!al2019-'[2]$ лето'!ak2019-'[2]$ лето'!aj2019-'[2]$ лето'!ah2019-'[2]$ лето'!ag2019-'[2]$ лето'!af2019-'[2]$ лето'!ae2019-'[2]$ лето'!ad2019-'[2]$ лето'!ab2019-'[2]$ лето'!aa2019-'[2]$ лето'!z2019-'[2]$ лето'!y2019-'[2]$ лето'!x2019-'[2]$ лето'!v2019-'[2]$ лето'!u2019-'[2]$ лето'!t2019-'[2]$ лето'!s2019-'[2]$ лето'!r2019-'[2]$ лето'!p2019-'[2]$ лето'!o2019-'[2]$ лето'!n2019-'[2]$ лето'!m2019-'[2]$ лето'!l2019+'[2]$ лето'!k2019+'[2]$ лето'!q2019+'[2]$ лето'!w2019+'[2]$ лето'!ac2019+'[2]$ лето'!ai2019+'[2]$ лето'!ao2019</f>
        <v>2</v>
      </c>
      <c r="I2019" s="109" t="n">
        <f aca="false">'[2]$ лето'!ay2019*1.1</f>
        <v>2530.44</v>
      </c>
    </row>
    <row r="2020" customFormat="false" ht="15" hidden="true" customHeight="false" outlineLevel="0" collapsed="false">
      <c r="A2020" s="115" t="s">
        <v>327</v>
      </c>
      <c r="B2020" s="115" t="s">
        <v>991</v>
      </c>
      <c r="C2020" s="107" t="s">
        <v>2614</v>
      </c>
      <c r="D2020" s="107"/>
      <c r="E2020" s="107"/>
      <c r="F2020" s="107"/>
      <c r="G2020" s="108" t="s">
        <v>520</v>
      </c>
      <c r="H2020" s="105" t="n">
        <f aca="false">'[2]$ лето'!j2020-'[2]$ лето'!au2020-'[2]$ лето'!at2020-'[2]$ лето'!as2020-'[2]$ лето'!ar2020-'[2]$ лето'!aq2020-'[2]$ лето'!ap2020-'[2]$ лето'!an2020-'[2]$ лето'!am2020-'[2]$ лето'!al2020-'[2]$ лето'!ak2020-'[2]$ лето'!aj2020-'[2]$ лето'!ah2020-'[2]$ лето'!ag2020-'[2]$ лето'!af2020-'[2]$ лето'!ae2020-'[2]$ лето'!ad2020-'[2]$ лето'!ab2020-'[2]$ лето'!aa2020-'[2]$ лето'!z2020-'[2]$ лето'!y2020-'[2]$ лето'!x2020-'[2]$ лето'!v2020-'[2]$ лето'!u2020-'[2]$ лето'!t2020-'[2]$ лето'!s2020-'[2]$ лето'!r2020-'[2]$ лето'!p2020-'[2]$ лето'!o2020-'[2]$ лето'!n2020-'[2]$ лето'!m2020-'[2]$ лето'!l2020+'[2]$ лето'!k2020+'[2]$ лето'!q2020+'[2]$ лето'!w2020+'[2]$ лето'!ac2020+'[2]$ лето'!ai2020+'[2]$ лето'!ao2020</f>
        <v>0</v>
      </c>
      <c r="I2020" s="109" t="n">
        <f aca="false">'[2]$ лето'!ay2020*1.1</f>
        <v>1811.92</v>
      </c>
    </row>
    <row r="2021" customFormat="false" ht="15" hidden="true" customHeight="false" outlineLevel="0" collapsed="false">
      <c r="A2021" s="115" t="s">
        <v>327</v>
      </c>
      <c r="B2021" s="115" t="s">
        <v>568</v>
      </c>
      <c r="C2021" s="116" t="s">
        <v>2615</v>
      </c>
      <c r="D2021" s="116"/>
      <c r="E2021" s="116"/>
      <c r="F2021" s="116"/>
      <c r="G2021" s="108"/>
      <c r="H2021" s="105" t="n">
        <f aca="false">'[2]$ лето'!j2021-'[2]$ лето'!au2021-'[2]$ лето'!at2021-'[2]$ лето'!as2021-'[2]$ лето'!ar2021-'[2]$ лето'!aq2021-'[2]$ лето'!ap2021-'[2]$ лето'!an2021-'[2]$ лето'!am2021-'[2]$ лето'!al2021-'[2]$ лето'!ak2021-'[2]$ лето'!aj2021-'[2]$ лето'!ah2021-'[2]$ лето'!ag2021-'[2]$ лето'!af2021-'[2]$ лето'!ae2021-'[2]$ лето'!ad2021-'[2]$ лето'!ab2021-'[2]$ лето'!aa2021-'[2]$ лето'!z2021-'[2]$ лето'!y2021-'[2]$ лето'!x2021-'[2]$ лето'!v2021-'[2]$ лето'!u2021-'[2]$ лето'!t2021-'[2]$ лето'!s2021-'[2]$ лето'!r2021-'[2]$ лето'!p2021-'[2]$ лето'!o2021-'[2]$ лето'!n2021-'[2]$ лето'!m2021-'[2]$ лето'!l2021+'[2]$ лето'!k2021+'[2]$ лето'!q2021+'[2]$ лето'!w2021+'[2]$ лето'!ac2021+'[2]$ лето'!ai2021+'[2]$ лето'!ao2021</f>
        <v>0</v>
      </c>
      <c r="I2021" s="109" t="n">
        <f aca="false">'[2]$ лето'!ay2021*1.1</f>
        <v>2842.84</v>
      </c>
    </row>
    <row r="2022" customFormat="false" ht="15" hidden="true" customHeight="false" outlineLevel="0" collapsed="false">
      <c r="A2022" s="115" t="s">
        <v>327</v>
      </c>
      <c r="B2022" s="115" t="s">
        <v>844</v>
      </c>
      <c r="C2022" s="116" t="s">
        <v>2584</v>
      </c>
      <c r="D2022" s="116"/>
      <c r="E2022" s="116"/>
      <c r="F2022" s="116"/>
      <c r="G2022" s="108" t="s">
        <v>1127</v>
      </c>
      <c r="H2022" s="105" t="n">
        <f aca="false">'[2]$ лето'!j2022-'[2]$ лето'!au2022-'[2]$ лето'!at2022-'[2]$ лето'!as2022-'[2]$ лето'!ar2022-'[2]$ лето'!aq2022-'[2]$ лето'!ap2022-'[2]$ лето'!an2022-'[2]$ лето'!am2022-'[2]$ лето'!al2022-'[2]$ лето'!ak2022-'[2]$ лето'!aj2022-'[2]$ лето'!ah2022-'[2]$ лето'!ag2022-'[2]$ лето'!af2022-'[2]$ лето'!ae2022-'[2]$ лето'!ad2022-'[2]$ лето'!ab2022-'[2]$ лето'!aa2022-'[2]$ лето'!z2022-'[2]$ лето'!y2022-'[2]$ лето'!x2022-'[2]$ лето'!v2022-'[2]$ лето'!u2022-'[2]$ лето'!t2022-'[2]$ лето'!s2022-'[2]$ лето'!r2022-'[2]$ лето'!p2022-'[2]$ лето'!o2022-'[2]$ лето'!n2022-'[2]$ лето'!m2022-'[2]$ лето'!l2022+'[2]$ лето'!k2022+'[2]$ лето'!q2022+'[2]$ лето'!w2022+'[2]$ лето'!ac2022+'[2]$ лето'!ai2022+'[2]$ лето'!ao2022</f>
        <v>0</v>
      </c>
      <c r="I2022" s="109" t="n">
        <f aca="false">'[2]$ лето'!ay2022*1.1</f>
        <v>2499.2</v>
      </c>
    </row>
    <row r="2023" customFormat="false" ht="15" hidden="true" customHeight="false" outlineLevel="0" collapsed="false">
      <c r="A2023" s="115" t="s">
        <v>327</v>
      </c>
      <c r="B2023" s="115" t="s">
        <v>601</v>
      </c>
      <c r="C2023" s="116" t="s">
        <v>2616</v>
      </c>
      <c r="D2023" s="116"/>
      <c r="E2023" s="116"/>
      <c r="F2023" s="116"/>
      <c r="G2023" s="108"/>
      <c r="H2023" s="105" t="n">
        <f aca="false">'[2]$ лето'!j2023-'[2]$ лето'!au2023-'[2]$ лето'!at2023-'[2]$ лето'!as2023-'[2]$ лето'!ar2023-'[2]$ лето'!aq2023-'[2]$ лето'!ap2023-'[2]$ лето'!an2023-'[2]$ лето'!am2023-'[2]$ лето'!al2023-'[2]$ лето'!ak2023-'[2]$ лето'!aj2023-'[2]$ лето'!ah2023-'[2]$ лето'!ag2023-'[2]$ лето'!af2023-'[2]$ лето'!ae2023-'[2]$ лето'!ad2023-'[2]$ лето'!ab2023-'[2]$ лето'!aa2023-'[2]$ лето'!z2023-'[2]$ лето'!y2023-'[2]$ лето'!x2023-'[2]$ лето'!v2023-'[2]$ лето'!u2023-'[2]$ лето'!t2023-'[2]$ лето'!s2023-'[2]$ лето'!r2023-'[2]$ лето'!p2023-'[2]$ лето'!o2023-'[2]$ лето'!n2023-'[2]$ лето'!m2023-'[2]$ лето'!l2023+'[2]$ лето'!k2023+'[2]$ лето'!q2023+'[2]$ лето'!w2023+'[2]$ лето'!ac2023+'[2]$ лето'!ai2023+'[2]$ лето'!ao2023</f>
        <v>0</v>
      </c>
      <c r="I2023" s="109" t="n">
        <f aca="false">'[2]$ лето'!ay2023*1.1</f>
        <v>2405.48</v>
      </c>
      <c r="J2023" s="113"/>
    </row>
    <row r="2024" customFormat="false" ht="15" hidden="true" customHeight="false" outlineLevel="0" collapsed="false">
      <c r="A2024" s="115" t="s">
        <v>327</v>
      </c>
      <c r="B2024" s="115" t="s">
        <v>557</v>
      </c>
      <c r="C2024" s="107" t="s">
        <v>2476</v>
      </c>
      <c r="D2024" s="107"/>
      <c r="E2024" s="107"/>
      <c r="F2024" s="107"/>
      <c r="G2024" s="108"/>
      <c r="H2024" s="105" t="n">
        <f aca="false">'[2]$ лето'!j2024-'[2]$ лето'!au2024-'[2]$ лето'!at2024-'[2]$ лето'!as2024-'[2]$ лето'!ar2024-'[2]$ лето'!aq2024-'[2]$ лето'!ap2024-'[2]$ лето'!an2024-'[2]$ лето'!am2024-'[2]$ лето'!al2024-'[2]$ лето'!ak2024-'[2]$ лето'!aj2024-'[2]$ лето'!ah2024-'[2]$ лето'!ag2024-'[2]$ лето'!af2024-'[2]$ лето'!ae2024-'[2]$ лето'!ad2024-'[2]$ лето'!ab2024-'[2]$ лето'!aa2024-'[2]$ лето'!z2024-'[2]$ лето'!y2024-'[2]$ лето'!x2024-'[2]$ лето'!v2024-'[2]$ лето'!u2024-'[2]$ лето'!t2024-'[2]$ лето'!s2024-'[2]$ лето'!r2024-'[2]$ лето'!p2024-'[2]$ лето'!o2024-'[2]$ лето'!n2024-'[2]$ лето'!m2024-'[2]$ лето'!l2024+'[2]$ лето'!k2024+'[2]$ лето'!q2024+'[2]$ лето'!w2024+'[2]$ лето'!ac2024+'[2]$ лето'!ai2024+'[2]$ лето'!ao2024</f>
        <v>0</v>
      </c>
      <c r="I2024" s="109" t="n">
        <f aca="false">'[2]$ лето'!ay2024*1.1</f>
        <v>1655.72</v>
      </c>
    </row>
    <row r="2025" customFormat="false" ht="15" hidden="false" customHeight="false" outlineLevel="0" collapsed="false">
      <c r="A2025" s="115" t="s">
        <v>327</v>
      </c>
      <c r="B2025" s="115" t="s">
        <v>741</v>
      </c>
      <c r="C2025" s="107" t="s">
        <v>2617</v>
      </c>
      <c r="D2025" s="107"/>
      <c r="E2025" s="116"/>
      <c r="F2025" s="116"/>
      <c r="G2025" s="108"/>
      <c r="H2025" s="105" t="n">
        <f aca="false">'[2]$ лето'!j2025-'[2]$ лето'!au2025-'[2]$ лето'!at2025-'[2]$ лето'!as2025-'[2]$ лето'!ar2025-'[2]$ лето'!aq2025-'[2]$ лето'!ap2025-'[2]$ лето'!an2025-'[2]$ лето'!am2025-'[2]$ лето'!al2025-'[2]$ лето'!ak2025-'[2]$ лето'!aj2025-'[2]$ лето'!ah2025-'[2]$ лето'!ag2025-'[2]$ лето'!af2025-'[2]$ лето'!ae2025-'[2]$ лето'!ad2025-'[2]$ лето'!ab2025-'[2]$ лето'!aa2025-'[2]$ лето'!z2025-'[2]$ лето'!y2025-'[2]$ лето'!x2025-'[2]$ лето'!v2025-'[2]$ лето'!u2025-'[2]$ лето'!t2025-'[2]$ лето'!s2025-'[2]$ лето'!r2025-'[2]$ лето'!p2025-'[2]$ лето'!o2025-'[2]$ лето'!n2025-'[2]$ лето'!m2025-'[2]$ лето'!l2025+'[2]$ лето'!k2025+'[2]$ лето'!q2025+'[2]$ лето'!w2025+'[2]$ лето'!ac2025+'[2]$ лето'!ai2025+'[2]$ лето'!ao2025</f>
        <v>2</v>
      </c>
      <c r="I2025" s="109" t="n">
        <f aca="false">'[2]$ лето'!ay2025*1.1</f>
        <v>2436.72</v>
      </c>
      <c r="J2025" s="85" t="s">
        <v>661</v>
      </c>
    </row>
    <row r="2026" customFormat="false" ht="15" hidden="false" customHeight="false" outlineLevel="0" collapsed="false">
      <c r="A2026" s="115" t="s">
        <v>327</v>
      </c>
      <c r="B2026" s="115" t="s">
        <v>741</v>
      </c>
      <c r="C2026" s="107" t="s">
        <v>2618</v>
      </c>
      <c r="D2026" s="107"/>
      <c r="E2026" s="116"/>
      <c r="F2026" s="116"/>
      <c r="G2026" s="108"/>
      <c r="H2026" s="105" t="n">
        <f aca="false">'[2]$ лето'!j2026-'[2]$ лето'!au2026-'[2]$ лето'!at2026-'[2]$ лето'!as2026-'[2]$ лето'!ar2026-'[2]$ лето'!aq2026-'[2]$ лето'!ap2026-'[2]$ лето'!an2026-'[2]$ лето'!am2026-'[2]$ лето'!al2026-'[2]$ лето'!ak2026-'[2]$ лето'!aj2026-'[2]$ лето'!ah2026-'[2]$ лето'!ag2026-'[2]$ лето'!af2026-'[2]$ лето'!ae2026-'[2]$ лето'!ad2026-'[2]$ лето'!ab2026-'[2]$ лето'!aa2026-'[2]$ лето'!z2026-'[2]$ лето'!y2026-'[2]$ лето'!x2026-'[2]$ лето'!v2026-'[2]$ лето'!u2026-'[2]$ лето'!t2026-'[2]$ лето'!s2026-'[2]$ лето'!r2026-'[2]$ лето'!p2026-'[2]$ лето'!o2026-'[2]$ лето'!n2026-'[2]$ лето'!m2026-'[2]$ лето'!l2026+'[2]$ лето'!k2026+'[2]$ лето'!q2026+'[2]$ лето'!w2026+'[2]$ лето'!ac2026+'[2]$ лето'!ai2026+'[2]$ лето'!ao2026</f>
        <v>2</v>
      </c>
      <c r="I2026" s="109" t="n">
        <f aca="false">'[2]$ лето'!ay2026*1.1</f>
        <v>2686.64</v>
      </c>
    </row>
    <row r="2027" customFormat="false" ht="15" hidden="false" customHeight="false" outlineLevel="0" collapsed="false">
      <c r="A2027" s="115" t="s">
        <v>327</v>
      </c>
      <c r="B2027" s="115" t="s">
        <v>1537</v>
      </c>
      <c r="C2027" s="107" t="s">
        <v>2484</v>
      </c>
      <c r="D2027" s="107"/>
      <c r="E2027" s="116"/>
      <c r="F2027" s="116"/>
      <c r="G2027" s="108"/>
      <c r="H2027" s="105" t="n">
        <f aca="false">'[2]$ лето'!j2027-'[2]$ лето'!au2027-'[2]$ лето'!at2027-'[2]$ лето'!as2027-'[2]$ лето'!ar2027-'[2]$ лето'!aq2027-'[2]$ лето'!ap2027-'[2]$ лето'!an2027-'[2]$ лето'!am2027-'[2]$ лето'!al2027-'[2]$ лето'!ak2027-'[2]$ лето'!aj2027-'[2]$ лето'!ah2027-'[2]$ лето'!ag2027-'[2]$ лето'!af2027-'[2]$ лето'!ae2027-'[2]$ лето'!ad2027-'[2]$ лето'!ab2027-'[2]$ лето'!aa2027-'[2]$ лето'!z2027-'[2]$ лето'!y2027-'[2]$ лето'!x2027-'[2]$ лето'!v2027-'[2]$ лето'!u2027-'[2]$ лето'!t2027-'[2]$ лето'!s2027-'[2]$ лето'!r2027-'[2]$ лето'!p2027-'[2]$ лето'!o2027-'[2]$ лето'!n2027-'[2]$ лето'!m2027-'[2]$ лето'!l2027+'[2]$ лето'!k2027+'[2]$ лето'!q2027+'[2]$ лето'!w2027+'[2]$ лето'!ac2027+'[2]$ лето'!ai2027+'[2]$ лето'!ao2027</f>
        <v>8</v>
      </c>
      <c r="I2027" s="109" t="n">
        <f aca="false">'[2]$ лето'!ay2027*1.1</f>
        <v>1650</v>
      </c>
      <c r="J2027" s="85" t="n">
        <v>2018</v>
      </c>
    </row>
    <row r="2028" customFormat="false" ht="15" hidden="false" customHeight="false" outlineLevel="0" collapsed="false">
      <c r="A2028" s="115" t="s">
        <v>327</v>
      </c>
      <c r="B2028" s="115" t="s">
        <v>666</v>
      </c>
      <c r="C2028" s="107" t="s">
        <v>2619</v>
      </c>
      <c r="D2028" s="107"/>
      <c r="E2028" s="116"/>
      <c r="F2028" s="116"/>
      <c r="G2028" s="108" t="s">
        <v>631</v>
      </c>
      <c r="H2028" s="105" t="n">
        <f aca="false">'[2]$ лето'!j2028-'[2]$ лето'!au2028-'[2]$ лето'!at2028-'[2]$ лето'!as2028-'[2]$ лето'!ar2028-'[2]$ лето'!aq2028-'[2]$ лето'!ap2028-'[2]$ лето'!an2028-'[2]$ лето'!am2028-'[2]$ лето'!al2028-'[2]$ лето'!ak2028-'[2]$ лето'!aj2028-'[2]$ лето'!ah2028-'[2]$ лето'!ag2028-'[2]$ лето'!af2028-'[2]$ лето'!ae2028-'[2]$ лето'!ad2028-'[2]$ лето'!ab2028-'[2]$ лето'!aa2028-'[2]$ лето'!z2028-'[2]$ лето'!y2028-'[2]$ лето'!x2028-'[2]$ лето'!v2028-'[2]$ лето'!u2028-'[2]$ лето'!t2028-'[2]$ лето'!s2028-'[2]$ лето'!r2028-'[2]$ лето'!p2028-'[2]$ лето'!o2028-'[2]$ лето'!n2028-'[2]$ лето'!m2028-'[2]$ лето'!l2028+'[2]$ лето'!k2028+'[2]$ лето'!q2028+'[2]$ лето'!w2028+'[2]$ лето'!ac2028+'[2]$ лето'!ai2028+'[2]$ лето'!ao2028</f>
        <v>4</v>
      </c>
      <c r="I2028" s="109" t="n">
        <f aca="false">'[2]$ лето'!ay2028*1.1</f>
        <v>2749.12</v>
      </c>
    </row>
    <row r="2029" customFormat="false" ht="15" hidden="true" customHeight="false" outlineLevel="0" collapsed="false">
      <c r="A2029" s="115" t="s">
        <v>327</v>
      </c>
      <c r="B2029" s="115" t="s">
        <v>572</v>
      </c>
      <c r="C2029" s="107" t="s">
        <v>2620</v>
      </c>
      <c r="D2029" s="107"/>
      <c r="E2029" s="107"/>
      <c r="F2029" s="107"/>
      <c r="G2029" s="108"/>
      <c r="H2029" s="105" t="n">
        <f aca="false">'[2]$ лето'!j2029-'[2]$ лето'!au2029-'[2]$ лето'!at2029-'[2]$ лето'!as2029-'[2]$ лето'!ar2029-'[2]$ лето'!aq2029-'[2]$ лето'!ap2029-'[2]$ лето'!an2029-'[2]$ лето'!am2029-'[2]$ лето'!al2029-'[2]$ лето'!ak2029-'[2]$ лето'!aj2029-'[2]$ лето'!ah2029-'[2]$ лето'!ag2029-'[2]$ лето'!af2029-'[2]$ лето'!ae2029-'[2]$ лето'!ad2029-'[2]$ лето'!ab2029-'[2]$ лето'!aa2029-'[2]$ лето'!z2029-'[2]$ лето'!y2029-'[2]$ лето'!x2029-'[2]$ лето'!v2029-'[2]$ лето'!u2029-'[2]$ лето'!t2029-'[2]$ лето'!s2029-'[2]$ лето'!r2029-'[2]$ лето'!p2029-'[2]$ лето'!o2029-'[2]$ лето'!n2029-'[2]$ лето'!m2029-'[2]$ лето'!l2029+'[2]$ лето'!k2029+'[2]$ лето'!q2029+'[2]$ лето'!w2029+'[2]$ лето'!ac2029+'[2]$ лето'!ai2029+'[2]$ лето'!ao2029</f>
        <v>0</v>
      </c>
      <c r="I2029" s="109" t="n">
        <f aca="false">'[2]$ лето'!ay2029*1.1</f>
        <v>2655.4</v>
      </c>
    </row>
    <row r="2030" customFormat="false" ht="15" hidden="false" customHeight="false" outlineLevel="0" collapsed="false">
      <c r="A2030" s="115" t="s">
        <v>327</v>
      </c>
      <c r="B2030" s="115" t="s">
        <v>574</v>
      </c>
      <c r="C2030" s="107" t="s">
        <v>2621</v>
      </c>
      <c r="D2030" s="107"/>
      <c r="E2030" s="116"/>
      <c r="F2030" s="116"/>
      <c r="G2030" s="108" t="s">
        <v>576</v>
      </c>
      <c r="H2030" s="105" t="n">
        <f aca="false">'[2]$ лето'!j2030-'[2]$ лето'!au2030-'[2]$ лето'!at2030-'[2]$ лето'!as2030-'[2]$ лето'!ar2030-'[2]$ лето'!aq2030-'[2]$ лето'!ap2030-'[2]$ лето'!an2030-'[2]$ лето'!am2030-'[2]$ лето'!al2030-'[2]$ лето'!ak2030-'[2]$ лето'!aj2030-'[2]$ лето'!ah2030-'[2]$ лето'!ag2030-'[2]$ лето'!af2030-'[2]$ лето'!ae2030-'[2]$ лето'!ad2030-'[2]$ лето'!ab2030-'[2]$ лето'!aa2030-'[2]$ лето'!z2030-'[2]$ лето'!y2030-'[2]$ лето'!x2030-'[2]$ лето'!v2030-'[2]$ лето'!u2030-'[2]$ лето'!t2030-'[2]$ лето'!s2030-'[2]$ лето'!r2030-'[2]$ лето'!p2030-'[2]$ лето'!o2030-'[2]$ лето'!n2030-'[2]$ лето'!m2030-'[2]$ лето'!l2030+'[2]$ лето'!k2030+'[2]$ лето'!q2030+'[2]$ лето'!w2030+'[2]$ лето'!ac2030+'[2]$ лето'!ai2030+'[2]$ лето'!ao2030</f>
        <v>6</v>
      </c>
      <c r="I2030" s="109" t="n">
        <f aca="false">'[2]$ лето'!ay2030*1.1</f>
        <v>2436.72</v>
      </c>
      <c r="J2030" s="85" t="n">
        <v>2017</v>
      </c>
    </row>
    <row r="2031" customFormat="false" ht="15" hidden="false" customHeight="false" outlineLevel="0" collapsed="false">
      <c r="A2031" s="115" t="s">
        <v>327</v>
      </c>
      <c r="B2031" s="115" t="s">
        <v>574</v>
      </c>
      <c r="C2031" s="107" t="s">
        <v>2622</v>
      </c>
      <c r="D2031" s="107"/>
      <c r="E2031" s="116"/>
      <c r="F2031" s="116"/>
      <c r="G2031" s="108" t="s">
        <v>576</v>
      </c>
      <c r="H2031" s="105" t="n">
        <f aca="false">'[2]$ лето'!j2031-'[2]$ лето'!au2031-'[2]$ лето'!at2031-'[2]$ лето'!as2031-'[2]$ лето'!ar2031-'[2]$ лето'!aq2031-'[2]$ лето'!ap2031-'[2]$ лето'!an2031-'[2]$ лето'!am2031-'[2]$ лето'!al2031-'[2]$ лето'!ak2031-'[2]$ лето'!aj2031-'[2]$ лето'!ah2031-'[2]$ лето'!ag2031-'[2]$ лето'!af2031-'[2]$ лето'!ae2031-'[2]$ лето'!ad2031-'[2]$ лето'!ab2031-'[2]$ лето'!aa2031-'[2]$ лето'!z2031-'[2]$ лето'!y2031-'[2]$ лето'!x2031-'[2]$ лето'!v2031-'[2]$ лето'!u2031-'[2]$ лето'!t2031-'[2]$ лето'!s2031-'[2]$ лето'!r2031-'[2]$ лето'!p2031-'[2]$ лето'!o2031-'[2]$ лето'!n2031-'[2]$ лето'!m2031-'[2]$ лето'!l2031+'[2]$ лето'!k2031+'[2]$ лето'!q2031+'[2]$ лето'!w2031+'[2]$ лето'!ac2031+'[2]$ лето'!ai2031+'[2]$ лето'!ao2031</f>
        <v>4</v>
      </c>
      <c r="I2031" s="109" t="n">
        <f aca="false">'[2]$ лето'!ay2031*1.1</f>
        <v>2405.48</v>
      </c>
    </row>
    <row r="2032" customFormat="false" ht="15" hidden="false" customHeight="false" outlineLevel="0" collapsed="false">
      <c r="A2032" s="115" t="s">
        <v>327</v>
      </c>
      <c r="B2032" s="115" t="s">
        <v>583</v>
      </c>
      <c r="C2032" s="107" t="s">
        <v>2623</v>
      </c>
      <c r="D2032" s="107"/>
      <c r="E2032" s="116"/>
      <c r="F2032" s="116"/>
      <c r="G2032" s="108" t="s">
        <v>585</v>
      </c>
      <c r="H2032" s="105" t="n">
        <f aca="false">'[2]$ лето'!j2032-'[2]$ лето'!au2032-'[2]$ лето'!at2032-'[2]$ лето'!as2032-'[2]$ лето'!ar2032-'[2]$ лето'!aq2032-'[2]$ лето'!ap2032-'[2]$ лето'!an2032-'[2]$ лето'!am2032-'[2]$ лето'!al2032-'[2]$ лето'!ak2032-'[2]$ лето'!aj2032-'[2]$ лето'!ah2032-'[2]$ лето'!ag2032-'[2]$ лето'!af2032-'[2]$ лето'!ae2032-'[2]$ лето'!ad2032-'[2]$ лето'!ab2032-'[2]$ лето'!aa2032-'[2]$ лето'!z2032-'[2]$ лето'!y2032-'[2]$ лето'!x2032-'[2]$ лето'!v2032-'[2]$ лето'!u2032-'[2]$ лето'!t2032-'[2]$ лето'!s2032-'[2]$ лето'!r2032-'[2]$ лето'!p2032-'[2]$ лето'!o2032-'[2]$ лето'!n2032-'[2]$ лето'!m2032-'[2]$ лето'!l2032+'[2]$ лето'!k2032+'[2]$ лето'!q2032+'[2]$ лето'!w2032+'[2]$ лето'!ac2032+'[2]$ лето'!ai2032+'[2]$ лето'!ao2032</f>
        <v>8</v>
      </c>
      <c r="I2032" s="109" t="n">
        <f aca="false">'[2]$ лето'!ay2032*1.1</f>
        <v>2436.72</v>
      </c>
      <c r="J2032" s="85" t="n">
        <v>2018</v>
      </c>
    </row>
    <row r="2033" customFormat="false" ht="15" hidden="true" customHeight="false" outlineLevel="0" collapsed="false">
      <c r="A2033" s="115" t="s">
        <v>327</v>
      </c>
      <c r="B2033" s="115" t="s">
        <v>583</v>
      </c>
      <c r="C2033" s="116" t="s">
        <v>2624</v>
      </c>
      <c r="D2033" s="116"/>
      <c r="E2033" s="116"/>
      <c r="F2033" s="116"/>
      <c r="G2033" s="108" t="s">
        <v>585</v>
      </c>
      <c r="H2033" s="105" t="n">
        <f aca="false">'[2]$ лето'!j2033-'[2]$ лето'!au2033-'[2]$ лето'!at2033-'[2]$ лето'!as2033-'[2]$ лето'!ar2033-'[2]$ лето'!aq2033-'[2]$ лето'!ap2033-'[2]$ лето'!an2033-'[2]$ лето'!am2033-'[2]$ лето'!al2033-'[2]$ лето'!ak2033-'[2]$ лето'!aj2033-'[2]$ лето'!ah2033-'[2]$ лето'!ag2033-'[2]$ лето'!af2033-'[2]$ лето'!ae2033-'[2]$ лето'!ad2033-'[2]$ лето'!ab2033-'[2]$ лето'!aa2033-'[2]$ лето'!z2033-'[2]$ лето'!y2033-'[2]$ лето'!x2033-'[2]$ лето'!v2033-'[2]$ лето'!u2033-'[2]$ лето'!t2033-'[2]$ лето'!s2033-'[2]$ лето'!r2033-'[2]$ лето'!p2033-'[2]$ лето'!o2033-'[2]$ лето'!n2033-'[2]$ лето'!m2033-'[2]$ лето'!l2033+'[2]$ лето'!k2033+'[2]$ лето'!q2033+'[2]$ лето'!w2033+'[2]$ лето'!ac2033+'[2]$ лето'!ai2033+'[2]$ лето'!ao2033</f>
        <v>0</v>
      </c>
      <c r="I2033" s="109" t="n">
        <f aca="false">'[2]$ лето'!ay2033*1.1</f>
        <v>2218.04</v>
      </c>
      <c r="J2033" s="85" t="n">
        <v>2018</v>
      </c>
    </row>
    <row r="2034" customFormat="false" ht="15" hidden="true" customHeight="false" outlineLevel="0" collapsed="false">
      <c r="A2034" s="115" t="s">
        <v>327</v>
      </c>
      <c r="B2034" s="115" t="s">
        <v>593</v>
      </c>
      <c r="C2034" s="107" t="s">
        <v>2625</v>
      </c>
      <c r="D2034" s="107"/>
      <c r="E2034" s="107"/>
      <c r="F2034" s="107"/>
      <c r="G2034" s="108" t="s">
        <v>1127</v>
      </c>
      <c r="H2034" s="105" t="n">
        <f aca="false">'[2]$ лето'!j2034-'[2]$ лето'!au2034-'[2]$ лето'!at2034-'[2]$ лето'!as2034-'[2]$ лето'!ar2034-'[2]$ лето'!aq2034-'[2]$ лето'!ap2034-'[2]$ лето'!an2034-'[2]$ лето'!am2034-'[2]$ лето'!al2034-'[2]$ лето'!ak2034-'[2]$ лето'!aj2034-'[2]$ лето'!ah2034-'[2]$ лето'!ag2034-'[2]$ лето'!af2034-'[2]$ лето'!ae2034-'[2]$ лето'!ad2034-'[2]$ лето'!ab2034-'[2]$ лето'!aa2034-'[2]$ лето'!z2034-'[2]$ лето'!y2034-'[2]$ лето'!x2034-'[2]$ лето'!v2034-'[2]$ лето'!u2034-'[2]$ лето'!t2034-'[2]$ лето'!s2034-'[2]$ лето'!r2034-'[2]$ лето'!p2034-'[2]$ лето'!o2034-'[2]$ лето'!n2034-'[2]$ лето'!m2034-'[2]$ лето'!l2034+'[2]$ лето'!k2034+'[2]$ лето'!q2034+'[2]$ лето'!w2034+'[2]$ лето'!ac2034+'[2]$ лето'!ai2034+'[2]$ лето'!ao2034</f>
        <v>0</v>
      </c>
      <c r="I2034" s="109" t="n">
        <f aca="false">'[2]$ лето'!ay2034*1.1</f>
        <v>3124</v>
      </c>
    </row>
    <row r="2035" customFormat="false" ht="15" hidden="false" customHeight="false" outlineLevel="0" collapsed="false">
      <c r="A2035" s="115" t="s">
        <v>327</v>
      </c>
      <c r="B2035" s="115" t="s">
        <v>617</v>
      </c>
      <c r="C2035" s="107" t="s">
        <v>2626</v>
      </c>
      <c r="D2035" s="107"/>
      <c r="E2035" s="116"/>
      <c r="F2035" s="116"/>
      <c r="G2035" s="108" t="s">
        <v>873</v>
      </c>
      <c r="H2035" s="105" t="n">
        <f aca="false">'[2]$ лето'!j2035-'[2]$ лето'!au2035-'[2]$ лето'!at2035-'[2]$ лето'!as2035-'[2]$ лето'!ar2035-'[2]$ лето'!aq2035-'[2]$ лето'!ap2035-'[2]$ лето'!an2035-'[2]$ лето'!am2035-'[2]$ лето'!al2035-'[2]$ лето'!ak2035-'[2]$ лето'!aj2035-'[2]$ лето'!ah2035-'[2]$ лето'!ag2035-'[2]$ лето'!af2035-'[2]$ лето'!ae2035-'[2]$ лето'!ad2035-'[2]$ лето'!ab2035-'[2]$ лето'!aa2035-'[2]$ лето'!z2035-'[2]$ лето'!y2035-'[2]$ лето'!x2035-'[2]$ лето'!v2035-'[2]$ лето'!u2035-'[2]$ лето'!t2035-'[2]$ лето'!s2035-'[2]$ лето'!r2035-'[2]$ лето'!p2035-'[2]$ лето'!o2035-'[2]$ лето'!n2035-'[2]$ лето'!m2035-'[2]$ лето'!l2035+'[2]$ лето'!k2035+'[2]$ лето'!q2035+'[2]$ лето'!w2035+'[2]$ лето'!ac2035+'[2]$ лето'!ai2035+'[2]$ лето'!ao2035</f>
        <v>6</v>
      </c>
      <c r="I2035" s="109" t="n">
        <f aca="false">'[2]$ лето'!ay2035*1.1</f>
        <v>1811.92</v>
      </c>
      <c r="J2035" s="85" t="n">
        <v>2018</v>
      </c>
    </row>
    <row r="2036" customFormat="false" ht="15" hidden="false" customHeight="false" outlineLevel="0" collapsed="false">
      <c r="A2036" s="115" t="s">
        <v>327</v>
      </c>
      <c r="B2036" s="115" t="s">
        <v>762</v>
      </c>
      <c r="C2036" s="107" t="s">
        <v>2627</v>
      </c>
      <c r="D2036" s="107"/>
      <c r="E2036" s="116"/>
      <c r="F2036" s="116"/>
      <c r="G2036" s="108"/>
      <c r="H2036" s="105" t="n">
        <f aca="false">'[2]$ лето'!j2036-'[2]$ лето'!au2036-'[2]$ лето'!at2036-'[2]$ лето'!as2036-'[2]$ лето'!ar2036-'[2]$ лето'!aq2036-'[2]$ лето'!ap2036-'[2]$ лето'!an2036-'[2]$ лето'!am2036-'[2]$ лето'!al2036-'[2]$ лето'!ak2036-'[2]$ лето'!aj2036-'[2]$ лето'!ah2036-'[2]$ лето'!ag2036-'[2]$ лето'!af2036-'[2]$ лето'!ae2036-'[2]$ лето'!ad2036-'[2]$ лето'!ab2036-'[2]$ лето'!aa2036-'[2]$ лето'!z2036-'[2]$ лето'!y2036-'[2]$ лето'!x2036-'[2]$ лето'!v2036-'[2]$ лето'!u2036-'[2]$ лето'!t2036-'[2]$ лето'!s2036-'[2]$ лето'!r2036-'[2]$ лето'!p2036-'[2]$ лето'!o2036-'[2]$ лето'!n2036-'[2]$ лето'!m2036-'[2]$ лето'!l2036+'[2]$ лето'!k2036+'[2]$ лето'!q2036+'[2]$ лето'!w2036+'[2]$ лето'!ac2036+'[2]$ лето'!ai2036+'[2]$ лето'!ao2036</f>
        <v>2</v>
      </c>
      <c r="I2036" s="109" t="n">
        <f aca="false">'[2]$ лето'!ay2036*1.1</f>
        <v>2093.08</v>
      </c>
    </row>
    <row r="2037" customFormat="false" ht="15" hidden="false" customHeight="false" outlineLevel="0" collapsed="false">
      <c r="A2037" s="115" t="s">
        <v>327</v>
      </c>
      <c r="B2037" s="115" t="s">
        <v>621</v>
      </c>
      <c r="C2037" s="107" t="s">
        <v>2628</v>
      </c>
      <c r="D2037" s="107"/>
      <c r="E2037" s="116"/>
      <c r="F2037" s="116"/>
      <c r="G2037" s="108" t="s">
        <v>520</v>
      </c>
      <c r="H2037" s="105" t="n">
        <f aca="false">'[2]$ лето'!j2037-'[2]$ лето'!au2037-'[2]$ лето'!at2037-'[2]$ лето'!as2037-'[2]$ лето'!ar2037-'[2]$ лето'!aq2037-'[2]$ лето'!ap2037-'[2]$ лето'!an2037-'[2]$ лето'!am2037-'[2]$ лето'!al2037-'[2]$ лето'!ak2037-'[2]$ лето'!aj2037-'[2]$ лето'!ah2037-'[2]$ лето'!ag2037-'[2]$ лето'!af2037-'[2]$ лето'!ae2037-'[2]$ лето'!ad2037-'[2]$ лето'!ab2037-'[2]$ лето'!aa2037-'[2]$ лето'!z2037-'[2]$ лето'!y2037-'[2]$ лето'!x2037-'[2]$ лето'!v2037-'[2]$ лето'!u2037-'[2]$ лето'!t2037-'[2]$ лето'!s2037-'[2]$ лето'!r2037-'[2]$ лето'!p2037-'[2]$ лето'!o2037-'[2]$ лето'!n2037-'[2]$ лето'!m2037-'[2]$ лето'!l2037+'[2]$ лето'!k2037+'[2]$ лето'!q2037+'[2]$ лето'!w2037+'[2]$ лето'!ac2037+'[2]$ лето'!ai2037+'[2]$ лето'!ao2037</f>
        <v>4</v>
      </c>
      <c r="I2037" s="109" t="n">
        <f aca="false">'[2]$ лето'!ay2037*1.1</f>
        <v>1718.2</v>
      </c>
    </row>
    <row r="2038" customFormat="false" ht="15" hidden="false" customHeight="false" outlineLevel="0" collapsed="false">
      <c r="A2038" s="115" t="s">
        <v>327</v>
      </c>
      <c r="B2038" s="115" t="s">
        <v>564</v>
      </c>
      <c r="C2038" s="107" t="s">
        <v>2518</v>
      </c>
      <c r="D2038" s="107"/>
      <c r="E2038" s="116"/>
      <c r="F2038" s="116"/>
      <c r="G2038" s="108" t="s">
        <v>520</v>
      </c>
      <c r="H2038" s="105" t="n">
        <f aca="false">'[2]$ лето'!j2038-'[2]$ лето'!au2038-'[2]$ лето'!at2038-'[2]$ лето'!as2038-'[2]$ лето'!ar2038-'[2]$ лето'!aq2038-'[2]$ лето'!ap2038-'[2]$ лето'!an2038-'[2]$ лето'!am2038-'[2]$ лето'!al2038-'[2]$ лето'!ak2038-'[2]$ лето'!aj2038-'[2]$ лето'!ah2038-'[2]$ лето'!ag2038-'[2]$ лето'!af2038-'[2]$ лето'!ae2038-'[2]$ лето'!ad2038-'[2]$ лето'!ab2038-'[2]$ лето'!aa2038-'[2]$ лето'!z2038-'[2]$ лето'!y2038-'[2]$ лето'!x2038-'[2]$ лето'!v2038-'[2]$ лето'!u2038-'[2]$ лето'!t2038-'[2]$ лето'!s2038-'[2]$ лето'!r2038-'[2]$ лето'!p2038-'[2]$ лето'!o2038-'[2]$ лето'!n2038-'[2]$ лето'!m2038-'[2]$ лето'!l2038+'[2]$ лето'!k2038+'[2]$ лето'!q2038+'[2]$ лето'!w2038+'[2]$ лето'!ac2038+'[2]$ лето'!ai2038+'[2]$ лето'!ao2038</f>
        <v>8</v>
      </c>
      <c r="I2038" s="109" t="n">
        <f aca="false">'[2]$ лето'!ay2038*1.1</f>
        <v>1686.96</v>
      </c>
      <c r="J2038" s="85" t="n">
        <v>2017</v>
      </c>
    </row>
    <row r="2039" customFormat="false" ht="15" hidden="true" customHeight="false" outlineLevel="0" collapsed="false">
      <c r="A2039" s="115" t="s">
        <v>330</v>
      </c>
      <c r="B2039" s="115" t="s">
        <v>991</v>
      </c>
      <c r="C2039" s="107" t="s">
        <v>2440</v>
      </c>
      <c r="D2039" s="107"/>
      <c r="E2039" s="107"/>
      <c r="F2039" s="107"/>
      <c r="G2039" s="108" t="s">
        <v>520</v>
      </c>
      <c r="H2039" s="105" t="n">
        <f aca="false">'[2]$ лето'!j2039-'[2]$ лето'!au2039-'[2]$ лето'!at2039-'[2]$ лето'!as2039-'[2]$ лето'!ar2039-'[2]$ лето'!aq2039-'[2]$ лето'!ap2039-'[2]$ лето'!an2039-'[2]$ лето'!am2039-'[2]$ лето'!al2039-'[2]$ лето'!ak2039-'[2]$ лето'!aj2039-'[2]$ лето'!ah2039-'[2]$ лето'!ag2039-'[2]$ лето'!af2039-'[2]$ лето'!ae2039-'[2]$ лето'!ad2039-'[2]$ лето'!ab2039-'[2]$ лето'!aa2039-'[2]$ лето'!z2039-'[2]$ лето'!y2039-'[2]$ лето'!x2039-'[2]$ лето'!v2039-'[2]$ лето'!u2039-'[2]$ лето'!t2039-'[2]$ лето'!s2039-'[2]$ лето'!r2039-'[2]$ лето'!p2039-'[2]$ лето'!o2039-'[2]$ лето'!n2039-'[2]$ лето'!m2039-'[2]$ лето'!l2039+'[2]$ лето'!k2039+'[2]$ лето'!q2039+'[2]$ лето'!w2039+'[2]$ лето'!ac2039+'[2]$ лето'!ai2039+'[2]$ лето'!ao2039</f>
        <v>0</v>
      </c>
      <c r="I2039" s="109" t="n">
        <f aca="false">'[2]$ лето'!ay2039*1.1</f>
        <v>1562</v>
      </c>
    </row>
    <row r="2040" customFormat="false" ht="15" hidden="true" customHeight="false" outlineLevel="0" collapsed="false">
      <c r="A2040" s="115" t="s">
        <v>330</v>
      </c>
      <c r="B2040" s="115" t="s">
        <v>568</v>
      </c>
      <c r="C2040" s="107" t="s">
        <v>2629</v>
      </c>
      <c r="D2040" s="107"/>
      <c r="E2040" s="107"/>
      <c r="F2040" s="107"/>
      <c r="G2040" s="108"/>
      <c r="H2040" s="105" t="n">
        <f aca="false">'[2]$ лето'!j2040-'[2]$ лето'!au2040-'[2]$ лето'!at2040-'[2]$ лето'!as2040-'[2]$ лето'!ar2040-'[2]$ лето'!aq2040-'[2]$ лето'!ap2040-'[2]$ лето'!an2040-'[2]$ лето'!am2040-'[2]$ лето'!al2040-'[2]$ лето'!ak2040-'[2]$ лето'!aj2040-'[2]$ лето'!ah2040-'[2]$ лето'!ag2040-'[2]$ лето'!af2040-'[2]$ лето'!ae2040-'[2]$ лето'!ad2040-'[2]$ лето'!ab2040-'[2]$ лето'!aa2040-'[2]$ лето'!z2040-'[2]$ лето'!y2040-'[2]$ лето'!x2040-'[2]$ лето'!v2040-'[2]$ лето'!u2040-'[2]$ лето'!t2040-'[2]$ лето'!s2040-'[2]$ лето'!r2040-'[2]$ лето'!p2040-'[2]$ лето'!o2040-'[2]$ лето'!n2040-'[2]$ лето'!m2040-'[2]$ лето'!l2040+'[2]$ лето'!k2040+'[2]$ лето'!q2040+'[2]$ лето'!w2040+'[2]$ лето'!ac2040+'[2]$ лето'!ai2040+'[2]$ лето'!ao2040</f>
        <v>0</v>
      </c>
      <c r="I2040" s="109" t="n">
        <f aca="false">'[2]$ лето'!ay2040*1.1</f>
        <v>2967.8</v>
      </c>
    </row>
    <row r="2041" customFormat="false" ht="15" hidden="true" customHeight="false" outlineLevel="0" collapsed="false">
      <c r="A2041" s="115" t="s">
        <v>330</v>
      </c>
      <c r="B2041" s="115" t="s">
        <v>568</v>
      </c>
      <c r="C2041" s="107" t="s">
        <v>2519</v>
      </c>
      <c r="D2041" s="107"/>
      <c r="E2041" s="107"/>
      <c r="F2041" s="107"/>
      <c r="G2041" s="108"/>
      <c r="H2041" s="105" t="n">
        <f aca="false">'[2]$ лето'!j2041-'[2]$ лето'!au2041-'[2]$ лето'!at2041-'[2]$ лето'!as2041-'[2]$ лето'!ar2041-'[2]$ лето'!aq2041-'[2]$ лето'!ap2041-'[2]$ лето'!an2041-'[2]$ лето'!am2041-'[2]$ лето'!al2041-'[2]$ лето'!ak2041-'[2]$ лето'!aj2041-'[2]$ лето'!ah2041-'[2]$ лето'!ag2041-'[2]$ лето'!af2041-'[2]$ лето'!ae2041-'[2]$ лето'!ad2041-'[2]$ лето'!ab2041-'[2]$ лето'!aa2041-'[2]$ лето'!z2041-'[2]$ лето'!y2041-'[2]$ лето'!x2041-'[2]$ лето'!v2041-'[2]$ лето'!u2041-'[2]$ лето'!t2041-'[2]$ лето'!s2041-'[2]$ лето'!r2041-'[2]$ лето'!p2041-'[2]$ лето'!o2041-'[2]$ лето'!n2041-'[2]$ лето'!m2041-'[2]$ лето'!l2041+'[2]$ лето'!k2041+'[2]$ лето'!q2041+'[2]$ лето'!w2041+'[2]$ лето'!ac2041+'[2]$ лето'!ai2041+'[2]$ лето'!ao2041</f>
        <v>0</v>
      </c>
      <c r="I2041" s="109" t="n">
        <f aca="false">'[2]$ лето'!ay2041*1.1</f>
        <v>2405.48</v>
      </c>
    </row>
    <row r="2042" customFormat="false" ht="15" hidden="true" customHeight="false" outlineLevel="0" collapsed="false">
      <c r="A2042" s="115" t="s">
        <v>330</v>
      </c>
      <c r="B2042" s="115" t="s">
        <v>844</v>
      </c>
      <c r="C2042" s="107" t="s">
        <v>2630</v>
      </c>
      <c r="D2042" s="107"/>
      <c r="E2042" s="107"/>
      <c r="F2042" s="107"/>
      <c r="G2042" s="108" t="s">
        <v>1075</v>
      </c>
      <c r="H2042" s="105" t="n">
        <f aca="false">'[2]$ лето'!j2042-'[2]$ лето'!au2042-'[2]$ лето'!at2042-'[2]$ лето'!as2042-'[2]$ лето'!ar2042-'[2]$ лето'!aq2042-'[2]$ лето'!ap2042-'[2]$ лето'!an2042-'[2]$ лето'!am2042-'[2]$ лето'!al2042-'[2]$ лето'!ak2042-'[2]$ лето'!aj2042-'[2]$ лето'!ah2042-'[2]$ лето'!ag2042-'[2]$ лето'!af2042-'[2]$ лето'!ae2042-'[2]$ лето'!ad2042-'[2]$ лето'!ab2042-'[2]$ лето'!aa2042-'[2]$ лето'!z2042-'[2]$ лето'!y2042-'[2]$ лето'!x2042-'[2]$ лето'!v2042-'[2]$ лето'!u2042-'[2]$ лето'!t2042-'[2]$ лето'!s2042-'[2]$ лето'!r2042-'[2]$ лето'!p2042-'[2]$ лето'!o2042-'[2]$ лето'!n2042-'[2]$ лето'!m2042-'[2]$ лето'!l2042+'[2]$ лето'!k2042+'[2]$ лето'!q2042+'[2]$ лето'!w2042+'[2]$ лето'!ac2042+'[2]$ лето'!ai2042+'[2]$ лето'!ao2042</f>
        <v>0</v>
      </c>
      <c r="I2042" s="109" t="n">
        <f aca="false">'[2]$ лето'!ay2042*1.1</f>
        <v>2530.44</v>
      </c>
      <c r="J2042" s="85" t="n">
        <v>2017</v>
      </c>
    </row>
    <row r="2043" customFormat="false" ht="15" hidden="true" customHeight="false" outlineLevel="0" collapsed="false">
      <c r="A2043" s="115" t="s">
        <v>330</v>
      </c>
      <c r="B2043" s="115" t="s">
        <v>741</v>
      </c>
      <c r="C2043" s="116" t="s">
        <v>2530</v>
      </c>
      <c r="D2043" s="116"/>
      <c r="E2043" s="116"/>
      <c r="F2043" s="116"/>
      <c r="G2043" s="108" t="s">
        <v>1954</v>
      </c>
      <c r="H2043" s="105" t="n">
        <f aca="false">'[2]$ лето'!j2043-'[2]$ лето'!au2043-'[2]$ лето'!at2043-'[2]$ лето'!as2043-'[2]$ лето'!ar2043-'[2]$ лето'!aq2043-'[2]$ лето'!ap2043-'[2]$ лето'!an2043-'[2]$ лето'!am2043-'[2]$ лето'!al2043-'[2]$ лето'!ak2043-'[2]$ лето'!aj2043-'[2]$ лето'!ah2043-'[2]$ лето'!ag2043-'[2]$ лето'!af2043-'[2]$ лето'!ae2043-'[2]$ лето'!ad2043-'[2]$ лето'!ab2043-'[2]$ лето'!aa2043-'[2]$ лето'!z2043-'[2]$ лето'!y2043-'[2]$ лето'!x2043-'[2]$ лето'!v2043-'[2]$ лето'!u2043-'[2]$ лето'!t2043-'[2]$ лето'!s2043-'[2]$ лето'!r2043-'[2]$ лето'!p2043-'[2]$ лето'!o2043-'[2]$ лето'!n2043-'[2]$ лето'!m2043-'[2]$ лето'!l2043+'[2]$ лето'!k2043+'[2]$ лето'!q2043+'[2]$ лето'!w2043+'[2]$ лето'!ac2043+'[2]$ лето'!ai2043+'[2]$ лето'!ao2043</f>
        <v>0</v>
      </c>
      <c r="I2043" s="109" t="n">
        <f aca="false">'[2]$ лето'!ay2043*1.1</f>
        <v>2749.12</v>
      </c>
      <c r="J2043" s="85" t="n">
        <v>2018</v>
      </c>
    </row>
    <row r="2044" customFormat="false" ht="15" hidden="true" customHeight="false" outlineLevel="0" collapsed="false">
      <c r="A2044" s="115" t="s">
        <v>330</v>
      </c>
      <c r="B2044" s="115" t="s">
        <v>604</v>
      </c>
      <c r="C2044" s="116" t="s">
        <v>2531</v>
      </c>
      <c r="D2044" s="116"/>
      <c r="E2044" s="116"/>
      <c r="F2044" s="116"/>
      <c r="G2044" s="108"/>
      <c r="H2044" s="105" t="n">
        <f aca="false">'[2]$ лето'!j2044-'[2]$ лето'!au2044-'[2]$ лето'!at2044-'[2]$ лето'!as2044-'[2]$ лето'!ar2044-'[2]$ лето'!aq2044-'[2]$ лето'!ap2044-'[2]$ лето'!an2044-'[2]$ лето'!am2044-'[2]$ лето'!al2044-'[2]$ лето'!ak2044-'[2]$ лето'!aj2044-'[2]$ лето'!ah2044-'[2]$ лето'!ag2044-'[2]$ лето'!af2044-'[2]$ лето'!ae2044-'[2]$ лето'!ad2044-'[2]$ лето'!ab2044-'[2]$ лето'!aa2044-'[2]$ лето'!z2044-'[2]$ лето'!y2044-'[2]$ лето'!x2044-'[2]$ лето'!v2044-'[2]$ лето'!u2044-'[2]$ лето'!t2044-'[2]$ лето'!s2044-'[2]$ лето'!r2044-'[2]$ лето'!p2044-'[2]$ лето'!o2044-'[2]$ лето'!n2044-'[2]$ лето'!m2044-'[2]$ лето'!l2044+'[2]$ лето'!k2044+'[2]$ лето'!q2044+'[2]$ лето'!w2044+'[2]$ лето'!ac2044+'[2]$ лето'!ai2044+'[2]$ лето'!ao2044</f>
        <v>0</v>
      </c>
      <c r="I2044" s="109" t="n">
        <f aca="false">'[2]$ лето'!ay2044*1.1</f>
        <v>2499.2</v>
      </c>
    </row>
    <row r="2045" customFormat="false" ht="15" hidden="false" customHeight="false" outlineLevel="0" collapsed="false">
      <c r="A2045" s="115" t="s">
        <v>330</v>
      </c>
      <c r="B2045" s="115" t="s">
        <v>2421</v>
      </c>
      <c r="C2045" s="116" t="s">
        <v>2631</v>
      </c>
      <c r="D2045" s="116"/>
      <c r="E2045" s="116"/>
      <c r="F2045" s="116"/>
      <c r="G2045" s="108"/>
      <c r="H2045" s="105" t="n">
        <f aca="false">'[2]$ лето'!j2045-'[2]$ лето'!au2045-'[2]$ лето'!at2045-'[2]$ лето'!as2045-'[2]$ лето'!ar2045-'[2]$ лето'!aq2045-'[2]$ лето'!ap2045-'[2]$ лето'!an2045-'[2]$ лето'!am2045-'[2]$ лето'!al2045-'[2]$ лето'!ak2045-'[2]$ лето'!aj2045-'[2]$ лето'!ah2045-'[2]$ лето'!ag2045-'[2]$ лето'!af2045-'[2]$ лето'!ae2045-'[2]$ лето'!ad2045-'[2]$ лето'!ab2045-'[2]$ лето'!aa2045-'[2]$ лето'!z2045-'[2]$ лето'!y2045-'[2]$ лето'!x2045-'[2]$ лето'!v2045-'[2]$ лето'!u2045-'[2]$ лето'!t2045-'[2]$ лето'!s2045-'[2]$ лето'!r2045-'[2]$ лето'!p2045-'[2]$ лето'!o2045-'[2]$ лето'!n2045-'[2]$ лето'!m2045-'[2]$ лето'!l2045+'[2]$ лето'!k2045+'[2]$ лето'!q2045+'[2]$ лето'!w2045+'[2]$ лето'!ac2045+'[2]$ лето'!ai2045+'[2]$ лето'!ao2045</f>
        <v>2</v>
      </c>
      <c r="I2045" s="109" t="n">
        <f aca="false">'[2]$ лето'!ay2045*1.1</f>
        <v>1562</v>
      </c>
    </row>
    <row r="2046" customFormat="false" ht="15" hidden="true" customHeight="false" outlineLevel="0" collapsed="false">
      <c r="A2046" s="115" t="s">
        <v>330</v>
      </c>
      <c r="B2046" s="115" t="s">
        <v>1537</v>
      </c>
      <c r="C2046" s="116" t="s">
        <v>2484</v>
      </c>
      <c r="D2046" s="116"/>
      <c r="E2046" s="116"/>
      <c r="F2046" s="116"/>
      <c r="G2046" s="108"/>
      <c r="H2046" s="105" t="n">
        <f aca="false">'[2]$ лето'!j2046-'[2]$ лето'!au2046-'[2]$ лето'!at2046-'[2]$ лето'!as2046-'[2]$ лето'!ar2046-'[2]$ лето'!aq2046-'[2]$ лето'!ap2046-'[2]$ лето'!an2046-'[2]$ лето'!am2046-'[2]$ лето'!al2046-'[2]$ лето'!ak2046-'[2]$ лето'!aj2046-'[2]$ лето'!ah2046-'[2]$ лето'!ag2046-'[2]$ лето'!af2046-'[2]$ лето'!ae2046-'[2]$ лето'!ad2046-'[2]$ лето'!ab2046-'[2]$ лето'!aa2046-'[2]$ лето'!z2046-'[2]$ лето'!y2046-'[2]$ лето'!x2046-'[2]$ лето'!v2046-'[2]$ лето'!u2046-'[2]$ лето'!t2046-'[2]$ лето'!s2046-'[2]$ лето'!r2046-'[2]$ лето'!p2046-'[2]$ лето'!o2046-'[2]$ лето'!n2046-'[2]$ лето'!m2046-'[2]$ лето'!l2046+'[2]$ лето'!k2046+'[2]$ лето'!q2046+'[2]$ лето'!w2046+'[2]$ лето'!ac2046+'[2]$ лето'!ai2046+'[2]$ лето'!ao2046</f>
        <v>0</v>
      </c>
      <c r="I2046" s="109" t="n">
        <f aca="false">'[2]$ лето'!ay2046*1.1</f>
        <v>1650</v>
      </c>
      <c r="J2046" s="85" t="n">
        <v>2018</v>
      </c>
    </row>
    <row r="2047" customFormat="false" ht="15" hidden="true" customHeight="false" outlineLevel="0" collapsed="false">
      <c r="A2047" s="115" t="s">
        <v>330</v>
      </c>
      <c r="B2047" s="115" t="s">
        <v>1130</v>
      </c>
      <c r="C2047" s="116" t="s">
        <v>2632</v>
      </c>
      <c r="D2047" s="116"/>
      <c r="E2047" s="116"/>
      <c r="F2047" s="116"/>
      <c r="G2047" s="108"/>
      <c r="H2047" s="105" t="n">
        <f aca="false">'[2]$ лето'!j2047-'[2]$ лето'!au2047-'[2]$ лето'!at2047-'[2]$ лето'!as2047-'[2]$ лето'!ar2047-'[2]$ лето'!aq2047-'[2]$ лето'!ap2047-'[2]$ лето'!an2047-'[2]$ лето'!am2047-'[2]$ лето'!al2047-'[2]$ лето'!ak2047-'[2]$ лето'!aj2047-'[2]$ лето'!ah2047-'[2]$ лето'!ag2047-'[2]$ лето'!af2047-'[2]$ лето'!ae2047-'[2]$ лето'!ad2047-'[2]$ лето'!ab2047-'[2]$ лето'!aa2047-'[2]$ лето'!z2047-'[2]$ лето'!y2047-'[2]$ лето'!x2047-'[2]$ лето'!v2047-'[2]$ лето'!u2047-'[2]$ лето'!t2047-'[2]$ лето'!s2047-'[2]$ лето'!r2047-'[2]$ лето'!p2047-'[2]$ лето'!o2047-'[2]$ лето'!n2047-'[2]$ лето'!m2047-'[2]$ лето'!l2047+'[2]$ лето'!k2047+'[2]$ лето'!q2047+'[2]$ лето'!w2047+'[2]$ лето'!ac2047+'[2]$ лето'!ai2047+'[2]$ лето'!ao2047</f>
        <v>0</v>
      </c>
      <c r="I2047" s="109" t="n">
        <f aca="false">'[2]$ лето'!ay2047*1.1</f>
        <v>1780.68</v>
      </c>
    </row>
    <row r="2048" customFormat="false" ht="15" hidden="false" customHeight="false" outlineLevel="0" collapsed="false">
      <c r="A2048" s="115" t="s">
        <v>330</v>
      </c>
      <c r="B2048" s="115" t="s">
        <v>666</v>
      </c>
      <c r="C2048" s="116" t="s">
        <v>2633</v>
      </c>
      <c r="D2048" s="116"/>
      <c r="E2048" s="116"/>
      <c r="F2048" s="116"/>
      <c r="G2048" s="108" t="s">
        <v>631</v>
      </c>
      <c r="H2048" s="105" t="n">
        <f aca="false">'[2]$ лето'!j2048-'[2]$ лето'!au2048-'[2]$ лето'!at2048-'[2]$ лето'!as2048-'[2]$ лето'!ar2048-'[2]$ лето'!aq2048-'[2]$ лето'!ap2048-'[2]$ лето'!an2048-'[2]$ лето'!am2048-'[2]$ лето'!al2048-'[2]$ лето'!ak2048-'[2]$ лето'!aj2048-'[2]$ лето'!ah2048-'[2]$ лето'!ag2048-'[2]$ лето'!af2048-'[2]$ лето'!ae2048-'[2]$ лето'!ad2048-'[2]$ лето'!ab2048-'[2]$ лето'!aa2048-'[2]$ лето'!z2048-'[2]$ лето'!y2048-'[2]$ лето'!x2048-'[2]$ лето'!v2048-'[2]$ лето'!u2048-'[2]$ лето'!t2048-'[2]$ лето'!s2048-'[2]$ лето'!r2048-'[2]$ лето'!p2048-'[2]$ лето'!o2048-'[2]$ лето'!n2048-'[2]$ лето'!m2048-'[2]$ лето'!l2048+'[2]$ лето'!k2048+'[2]$ лето'!q2048+'[2]$ лето'!w2048+'[2]$ лето'!ac2048+'[2]$ лето'!ai2048+'[2]$ лето'!ao2048</f>
        <v>4</v>
      </c>
      <c r="I2048" s="109" t="n">
        <f aca="false">'[2]$ лето'!ay2048*1.1</f>
        <v>2717.88</v>
      </c>
      <c r="J2048" s="85" t="n">
        <v>2018</v>
      </c>
    </row>
    <row r="2049" customFormat="false" ht="15" hidden="true" customHeight="false" outlineLevel="0" collapsed="false">
      <c r="A2049" s="115" t="s">
        <v>330</v>
      </c>
      <c r="B2049" s="115" t="s">
        <v>668</v>
      </c>
      <c r="C2049" s="116" t="s">
        <v>2634</v>
      </c>
      <c r="D2049" s="116"/>
      <c r="E2049" s="116"/>
      <c r="F2049" s="116"/>
      <c r="G2049" s="108" t="s">
        <v>609</v>
      </c>
      <c r="H2049" s="105" t="n">
        <f aca="false">'[2]$ лето'!j2049-'[2]$ лето'!au2049-'[2]$ лето'!at2049-'[2]$ лето'!as2049-'[2]$ лето'!ar2049-'[2]$ лето'!aq2049-'[2]$ лето'!ap2049-'[2]$ лето'!an2049-'[2]$ лето'!am2049-'[2]$ лето'!al2049-'[2]$ лето'!ak2049-'[2]$ лето'!aj2049-'[2]$ лето'!ah2049-'[2]$ лето'!ag2049-'[2]$ лето'!af2049-'[2]$ лето'!ae2049-'[2]$ лето'!ad2049-'[2]$ лето'!ab2049-'[2]$ лето'!aa2049-'[2]$ лето'!z2049-'[2]$ лето'!y2049-'[2]$ лето'!x2049-'[2]$ лето'!v2049-'[2]$ лето'!u2049-'[2]$ лето'!t2049-'[2]$ лето'!s2049-'[2]$ лето'!r2049-'[2]$ лето'!p2049-'[2]$ лето'!o2049-'[2]$ лето'!n2049-'[2]$ лето'!m2049-'[2]$ лето'!l2049+'[2]$ лето'!k2049+'[2]$ лето'!q2049+'[2]$ лето'!w2049+'[2]$ лето'!ac2049+'[2]$ лето'!ai2049+'[2]$ лето'!ao2049</f>
        <v>0</v>
      </c>
      <c r="I2049" s="109" t="n">
        <f aca="false">'[2]$ лето'!ay2049*1.1</f>
        <v>3124</v>
      </c>
    </row>
    <row r="2050" customFormat="false" ht="15" hidden="true" customHeight="false" outlineLevel="0" collapsed="false">
      <c r="A2050" s="115" t="s">
        <v>330</v>
      </c>
      <c r="B2050" s="115" t="s">
        <v>574</v>
      </c>
      <c r="C2050" s="116" t="s">
        <v>2505</v>
      </c>
      <c r="D2050" s="116"/>
      <c r="E2050" s="116"/>
      <c r="F2050" s="116"/>
      <c r="G2050" s="108" t="s">
        <v>576</v>
      </c>
      <c r="H2050" s="105" t="n">
        <f aca="false">'[2]$ лето'!j2050-'[2]$ лето'!au2050-'[2]$ лето'!at2050-'[2]$ лето'!as2050-'[2]$ лето'!ar2050-'[2]$ лето'!aq2050-'[2]$ лето'!ap2050-'[2]$ лето'!an2050-'[2]$ лето'!am2050-'[2]$ лето'!al2050-'[2]$ лето'!ak2050-'[2]$ лето'!aj2050-'[2]$ лето'!ah2050-'[2]$ лето'!ag2050-'[2]$ лето'!af2050-'[2]$ лето'!ae2050-'[2]$ лето'!ad2050-'[2]$ лето'!ab2050-'[2]$ лето'!aa2050-'[2]$ лето'!z2050-'[2]$ лето'!y2050-'[2]$ лето'!x2050-'[2]$ лето'!v2050-'[2]$ лето'!u2050-'[2]$ лето'!t2050-'[2]$ лето'!s2050-'[2]$ лето'!r2050-'[2]$ лето'!p2050-'[2]$ лето'!o2050-'[2]$ лето'!n2050-'[2]$ лето'!m2050-'[2]$ лето'!l2050+'[2]$ лето'!k2050+'[2]$ лето'!q2050+'[2]$ лето'!w2050+'[2]$ лето'!ac2050+'[2]$ лето'!ai2050+'[2]$ лето'!ao2050</f>
        <v>0</v>
      </c>
      <c r="I2050" s="109" t="n">
        <f aca="false">'[2]$ лето'!ay2050*1.1</f>
        <v>2280.52</v>
      </c>
    </row>
    <row r="2051" customFormat="false" ht="15" hidden="false" customHeight="false" outlineLevel="0" collapsed="false">
      <c r="A2051" s="115" t="s">
        <v>330</v>
      </c>
      <c r="B2051" s="115" t="s">
        <v>574</v>
      </c>
      <c r="C2051" s="116" t="s">
        <v>2492</v>
      </c>
      <c r="D2051" s="116"/>
      <c r="E2051" s="116"/>
      <c r="F2051" s="116"/>
      <c r="G2051" s="108" t="s">
        <v>576</v>
      </c>
      <c r="H2051" s="105" t="n">
        <f aca="false">'[2]$ лето'!j2051-'[2]$ лето'!au2051-'[2]$ лето'!at2051-'[2]$ лето'!as2051-'[2]$ лето'!ar2051-'[2]$ лето'!aq2051-'[2]$ лето'!ap2051-'[2]$ лето'!an2051-'[2]$ лето'!am2051-'[2]$ лето'!al2051-'[2]$ лето'!ak2051-'[2]$ лето'!aj2051-'[2]$ лето'!ah2051-'[2]$ лето'!ag2051-'[2]$ лето'!af2051-'[2]$ лето'!ae2051-'[2]$ лето'!ad2051-'[2]$ лето'!ab2051-'[2]$ лето'!aa2051-'[2]$ лето'!z2051-'[2]$ лето'!y2051-'[2]$ лето'!x2051-'[2]$ лето'!v2051-'[2]$ лето'!u2051-'[2]$ лето'!t2051-'[2]$ лето'!s2051-'[2]$ лето'!r2051-'[2]$ лето'!p2051-'[2]$ лето'!o2051-'[2]$ лето'!n2051-'[2]$ лето'!m2051-'[2]$ лето'!l2051+'[2]$ лето'!k2051+'[2]$ лето'!q2051+'[2]$ лето'!w2051+'[2]$ лето'!ac2051+'[2]$ лето'!ai2051+'[2]$ лето'!ao2051</f>
        <v>3</v>
      </c>
      <c r="I2051" s="109" t="n">
        <f aca="false">'[2]$ лето'!ay2051*1.1</f>
        <v>2499.2</v>
      </c>
      <c r="J2051" s="85" t="n">
        <v>2017</v>
      </c>
    </row>
    <row r="2052" customFormat="false" ht="15" hidden="false" customHeight="false" outlineLevel="0" collapsed="false">
      <c r="A2052" s="115" t="s">
        <v>330</v>
      </c>
      <c r="B2052" s="115" t="s">
        <v>1471</v>
      </c>
      <c r="C2052" s="116" t="s">
        <v>2635</v>
      </c>
      <c r="D2052" s="116"/>
      <c r="E2052" s="116"/>
      <c r="F2052" s="116"/>
      <c r="G2052" s="108"/>
      <c r="H2052" s="105" t="n">
        <f aca="false">'[2]$ лето'!j2052-'[2]$ лето'!au2052-'[2]$ лето'!at2052-'[2]$ лето'!as2052-'[2]$ лето'!ar2052-'[2]$ лето'!aq2052-'[2]$ лето'!ap2052-'[2]$ лето'!an2052-'[2]$ лето'!am2052-'[2]$ лето'!al2052-'[2]$ лето'!ak2052-'[2]$ лето'!aj2052-'[2]$ лето'!ah2052-'[2]$ лето'!ag2052-'[2]$ лето'!af2052-'[2]$ лето'!ae2052-'[2]$ лето'!ad2052-'[2]$ лето'!ab2052-'[2]$ лето'!aa2052-'[2]$ лето'!z2052-'[2]$ лето'!y2052-'[2]$ лето'!x2052-'[2]$ лето'!v2052-'[2]$ лето'!u2052-'[2]$ лето'!t2052-'[2]$ лето'!s2052-'[2]$ лето'!r2052-'[2]$ лето'!p2052-'[2]$ лето'!o2052-'[2]$ лето'!n2052-'[2]$ лето'!m2052-'[2]$ лето'!l2052+'[2]$ лето'!k2052+'[2]$ лето'!q2052+'[2]$ лето'!w2052+'[2]$ лето'!ac2052+'[2]$ лето'!ai2052+'[2]$ лето'!ao2052</f>
        <v>2</v>
      </c>
      <c r="I2052" s="109" t="n">
        <f aca="false">'[2]$ лето'!ay2052*1.1</f>
        <v>1718.2</v>
      </c>
    </row>
    <row r="2053" customFormat="false" ht="15" hidden="false" customHeight="false" outlineLevel="0" collapsed="false">
      <c r="A2053" s="115" t="s">
        <v>330</v>
      </c>
      <c r="B2053" s="115" t="s">
        <v>583</v>
      </c>
      <c r="C2053" s="116" t="s">
        <v>2606</v>
      </c>
      <c r="D2053" s="116"/>
      <c r="E2053" s="116"/>
      <c r="F2053" s="116"/>
      <c r="G2053" s="108"/>
      <c r="H2053" s="105" t="n">
        <f aca="false">'[2]$ лето'!j2053-'[2]$ лето'!au2053-'[2]$ лето'!at2053-'[2]$ лето'!as2053-'[2]$ лето'!ar2053-'[2]$ лето'!aq2053-'[2]$ лето'!ap2053-'[2]$ лето'!an2053-'[2]$ лето'!am2053-'[2]$ лето'!al2053-'[2]$ лето'!ak2053-'[2]$ лето'!aj2053-'[2]$ лето'!ah2053-'[2]$ лето'!ag2053-'[2]$ лето'!af2053-'[2]$ лето'!ae2053-'[2]$ лето'!ad2053-'[2]$ лето'!ab2053-'[2]$ лето'!aa2053-'[2]$ лето'!z2053-'[2]$ лето'!y2053-'[2]$ лето'!x2053-'[2]$ лето'!v2053-'[2]$ лето'!u2053-'[2]$ лето'!t2053-'[2]$ лето'!s2053-'[2]$ лето'!r2053-'[2]$ лето'!p2053-'[2]$ лето'!o2053-'[2]$ лето'!n2053-'[2]$ лето'!m2053-'[2]$ лето'!l2053+'[2]$ лето'!k2053+'[2]$ лето'!q2053+'[2]$ лето'!w2053+'[2]$ лето'!ac2053+'[2]$ лето'!ai2053+'[2]$ лето'!ao2053</f>
        <v>4</v>
      </c>
      <c r="I2053" s="109" t="n">
        <f aca="false">'[2]$ лето'!ay2053*1.1</f>
        <v>2655.4</v>
      </c>
    </row>
    <row r="2054" customFormat="false" ht="15" hidden="false" customHeight="false" outlineLevel="0" collapsed="false">
      <c r="A2054" s="115" t="s">
        <v>330</v>
      </c>
      <c r="B2054" s="115" t="s">
        <v>583</v>
      </c>
      <c r="C2054" s="116" t="s">
        <v>2636</v>
      </c>
      <c r="D2054" s="116"/>
      <c r="E2054" s="116"/>
      <c r="F2054" s="116"/>
      <c r="G2054" s="108"/>
      <c r="H2054" s="105" t="n">
        <f aca="false">'[2]$ лето'!j2054-'[2]$ лето'!au2054-'[2]$ лето'!at2054-'[2]$ лето'!as2054-'[2]$ лето'!ar2054-'[2]$ лето'!aq2054-'[2]$ лето'!ap2054-'[2]$ лето'!an2054-'[2]$ лето'!am2054-'[2]$ лето'!al2054-'[2]$ лето'!ak2054-'[2]$ лето'!aj2054-'[2]$ лето'!ah2054-'[2]$ лето'!ag2054-'[2]$ лето'!af2054-'[2]$ лето'!ae2054-'[2]$ лето'!ad2054-'[2]$ лето'!ab2054-'[2]$ лето'!aa2054-'[2]$ лето'!z2054-'[2]$ лето'!y2054-'[2]$ лето'!x2054-'[2]$ лето'!v2054-'[2]$ лето'!u2054-'[2]$ лето'!t2054-'[2]$ лето'!s2054-'[2]$ лето'!r2054-'[2]$ лето'!p2054-'[2]$ лето'!o2054-'[2]$ лето'!n2054-'[2]$ лето'!m2054-'[2]$ лето'!l2054+'[2]$ лето'!k2054+'[2]$ лето'!q2054+'[2]$ лето'!w2054+'[2]$ лето'!ac2054+'[2]$ лето'!ai2054+'[2]$ лето'!ao2054</f>
        <v>2</v>
      </c>
      <c r="I2054" s="109" t="n">
        <f aca="false">'[2]$ лето'!ay2054*1.1</f>
        <v>2218.04</v>
      </c>
      <c r="J2054" s="85" t="n">
        <v>2017</v>
      </c>
    </row>
    <row r="2055" customFormat="false" ht="15" hidden="false" customHeight="false" outlineLevel="0" collapsed="false">
      <c r="A2055" s="115" t="s">
        <v>330</v>
      </c>
      <c r="B2055" s="115" t="s">
        <v>593</v>
      </c>
      <c r="C2055" s="116" t="s">
        <v>2637</v>
      </c>
      <c r="D2055" s="116"/>
      <c r="E2055" s="116"/>
      <c r="F2055" s="116"/>
      <c r="G2055" s="108" t="s">
        <v>663</v>
      </c>
      <c r="H2055" s="105" t="n">
        <f aca="false">'[2]$ лето'!j2055-'[2]$ лето'!au2055-'[2]$ лето'!at2055-'[2]$ лето'!as2055-'[2]$ лето'!ar2055-'[2]$ лето'!aq2055-'[2]$ лето'!ap2055-'[2]$ лето'!an2055-'[2]$ лето'!am2055-'[2]$ лето'!al2055-'[2]$ лето'!ak2055-'[2]$ лето'!aj2055-'[2]$ лето'!ah2055-'[2]$ лето'!ag2055-'[2]$ лето'!af2055-'[2]$ лето'!ae2055-'[2]$ лето'!ad2055-'[2]$ лето'!ab2055-'[2]$ лето'!aa2055-'[2]$ лето'!z2055-'[2]$ лето'!y2055-'[2]$ лето'!x2055-'[2]$ лето'!v2055-'[2]$ лето'!u2055-'[2]$ лето'!t2055-'[2]$ лето'!s2055-'[2]$ лето'!r2055-'[2]$ лето'!p2055-'[2]$ лето'!o2055-'[2]$ лето'!n2055-'[2]$ лето'!m2055-'[2]$ лето'!l2055+'[2]$ лето'!k2055+'[2]$ лето'!q2055+'[2]$ лето'!w2055+'[2]$ лето'!ac2055+'[2]$ лето'!ai2055+'[2]$ лето'!ao2055</f>
        <v>4</v>
      </c>
      <c r="I2055" s="109" t="n">
        <f aca="false">'[2]$ лето'!ay2055*1.1</f>
        <v>4029.96</v>
      </c>
      <c r="J2055" s="85" t="n">
        <v>2018</v>
      </c>
    </row>
    <row r="2056" customFormat="false" ht="15" hidden="true" customHeight="false" outlineLevel="0" collapsed="false">
      <c r="A2056" s="115" t="s">
        <v>330</v>
      </c>
      <c r="B2056" s="115" t="s">
        <v>617</v>
      </c>
      <c r="C2056" s="116" t="s">
        <v>2638</v>
      </c>
      <c r="D2056" s="116"/>
      <c r="E2056" s="116"/>
      <c r="F2056" s="116"/>
      <c r="G2056" s="108"/>
      <c r="H2056" s="105" t="n">
        <f aca="false">'[2]$ лето'!j2056-'[2]$ лето'!au2056-'[2]$ лето'!at2056-'[2]$ лето'!as2056-'[2]$ лето'!ar2056-'[2]$ лето'!aq2056-'[2]$ лето'!ap2056-'[2]$ лето'!an2056-'[2]$ лето'!am2056-'[2]$ лето'!al2056-'[2]$ лето'!ak2056-'[2]$ лето'!aj2056-'[2]$ лето'!ah2056-'[2]$ лето'!ag2056-'[2]$ лето'!af2056-'[2]$ лето'!ae2056-'[2]$ лето'!ad2056-'[2]$ лето'!ab2056-'[2]$ лето'!aa2056-'[2]$ лето'!z2056-'[2]$ лето'!y2056-'[2]$ лето'!x2056-'[2]$ лето'!v2056-'[2]$ лето'!u2056-'[2]$ лето'!t2056-'[2]$ лето'!s2056-'[2]$ лето'!r2056-'[2]$ лето'!p2056-'[2]$ лето'!o2056-'[2]$ лето'!n2056-'[2]$ лето'!m2056-'[2]$ лето'!l2056+'[2]$ лето'!k2056+'[2]$ лето'!q2056+'[2]$ лето'!w2056+'[2]$ лето'!ac2056+'[2]$ лето'!ai2056+'[2]$ лето'!ao2056</f>
        <v>0</v>
      </c>
      <c r="I2056" s="109" t="n">
        <f aca="false">'[2]$ лето'!ay2056*1.1</f>
        <v>1738</v>
      </c>
    </row>
    <row r="2057" customFormat="false" ht="15" hidden="false" customHeight="false" outlineLevel="0" collapsed="false">
      <c r="A2057" s="115" t="s">
        <v>330</v>
      </c>
      <c r="B2057" s="115" t="s">
        <v>623</v>
      </c>
      <c r="C2057" s="116" t="s">
        <v>2639</v>
      </c>
      <c r="D2057" s="116"/>
      <c r="E2057" s="116"/>
      <c r="F2057" s="116"/>
      <c r="G2057" s="108" t="s">
        <v>625</v>
      </c>
      <c r="H2057" s="105" t="n">
        <f aca="false">'[2]$ лето'!j2057-'[2]$ лето'!au2057-'[2]$ лето'!at2057-'[2]$ лето'!as2057-'[2]$ лето'!ar2057-'[2]$ лето'!aq2057-'[2]$ лето'!ap2057-'[2]$ лето'!an2057-'[2]$ лето'!am2057-'[2]$ лето'!al2057-'[2]$ лето'!ak2057-'[2]$ лето'!aj2057-'[2]$ лето'!ah2057-'[2]$ лето'!ag2057-'[2]$ лето'!af2057-'[2]$ лето'!ae2057-'[2]$ лето'!ad2057-'[2]$ лето'!ab2057-'[2]$ лето'!aa2057-'[2]$ лето'!z2057-'[2]$ лето'!y2057-'[2]$ лето'!x2057-'[2]$ лето'!v2057-'[2]$ лето'!u2057-'[2]$ лето'!t2057-'[2]$ лето'!s2057-'[2]$ лето'!r2057-'[2]$ лето'!p2057-'[2]$ лето'!o2057-'[2]$ лето'!n2057-'[2]$ лето'!m2057-'[2]$ лето'!l2057+'[2]$ лето'!k2057+'[2]$ лето'!q2057+'[2]$ лето'!w2057+'[2]$ лето'!ac2057+'[2]$ лето'!ai2057+'[2]$ лето'!ao2057</f>
        <v>2</v>
      </c>
      <c r="I2057" s="109" t="n">
        <f aca="false">'[2]$ лето'!ay2057*1.1</f>
        <v>2030.6</v>
      </c>
      <c r="J2057" s="85" t="n">
        <v>2018</v>
      </c>
    </row>
    <row r="2058" customFormat="false" ht="15" hidden="false" customHeight="false" outlineLevel="0" collapsed="false">
      <c r="A2058" s="115" t="s">
        <v>330</v>
      </c>
      <c r="B2058" s="115" t="s">
        <v>564</v>
      </c>
      <c r="C2058" s="116" t="s">
        <v>2518</v>
      </c>
      <c r="D2058" s="116"/>
      <c r="E2058" s="116"/>
      <c r="F2058" s="116"/>
      <c r="G2058" s="108" t="s">
        <v>520</v>
      </c>
      <c r="H2058" s="105" t="n">
        <f aca="false">'[2]$ лето'!j2058-'[2]$ лето'!au2058-'[2]$ лето'!at2058-'[2]$ лето'!as2058-'[2]$ лето'!ar2058-'[2]$ лето'!aq2058-'[2]$ лето'!ap2058-'[2]$ лето'!an2058-'[2]$ лето'!am2058-'[2]$ лето'!al2058-'[2]$ лето'!ak2058-'[2]$ лето'!aj2058-'[2]$ лето'!ah2058-'[2]$ лето'!ag2058-'[2]$ лето'!af2058-'[2]$ лето'!ae2058-'[2]$ лето'!ad2058-'[2]$ лето'!ab2058-'[2]$ лето'!aa2058-'[2]$ лето'!z2058-'[2]$ лето'!y2058-'[2]$ лето'!x2058-'[2]$ лето'!v2058-'[2]$ лето'!u2058-'[2]$ лето'!t2058-'[2]$ лето'!s2058-'[2]$ лето'!r2058-'[2]$ лето'!p2058-'[2]$ лето'!o2058-'[2]$ лето'!n2058-'[2]$ лето'!m2058-'[2]$ лето'!l2058+'[2]$ лето'!k2058+'[2]$ лето'!q2058+'[2]$ лето'!w2058+'[2]$ лето'!ac2058+'[2]$ лето'!ai2058+'[2]$ лето'!ao2058</f>
        <v>2</v>
      </c>
      <c r="I2058" s="109" t="n">
        <f aca="false">'[2]$ лето'!ay2058*1.1</f>
        <v>1843.16</v>
      </c>
    </row>
    <row r="2059" customFormat="false" ht="15" hidden="true" customHeight="false" outlineLevel="0" collapsed="false">
      <c r="A2059" s="115" t="s">
        <v>331</v>
      </c>
      <c r="B2059" s="115" t="s">
        <v>991</v>
      </c>
      <c r="C2059" s="116" t="s">
        <v>2440</v>
      </c>
      <c r="D2059" s="116"/>
      <c r="E2059" s="116"/>
      <c r="F2059" s="116"/>
      <c r="G2059" s="108" t="s">
        <v>520</v>
      </c>
      <c r="H2059" s="105" t="n">
        <f aca="false">'[2]$ лето'!j2059-'[2]$ лето'!au2059-'[2]$ лето'!at2059-'[2]$ лето'!as2059-'[2]$ лето'!ar2059-'[2]$ лето'!aq2059-'[2]$ лето'!ap2059-'[2]$ лето'!an2059-'[2]$ лето'!am2059-'[2]$ лето'!al2059-'[2]$ лето'!ak2059-'[2]$ лето'!aj2059-'[2]$ лето'!ah2059-'[2]$ лето'!ag2059-'[2]$ лето'!af2059-'[2]$ лето'!ae2059-'[2]$ лето'!ad2059-'[2]$ лето'!ab2059-'[2]$ лето'!aa2059-'[2]$ лето'!z2059-'[2]$ лето'!y2059-'[2]$ лето'!x2059-'[2]$ лето'!v2059-'[2]$ лето'!u2059-'[2]$ лето'!t2059-'[2]$ лето'!s2059-'[2]$ лето'!r2059-'[2]$ лето'!p2059-'[2]$ лето'!o2059-'[2]$ лето'!n2059-'[2]$ лето'!m2059-'[2]$ лето'!l2059+'[2]$ лето'!k2059+'[2]$ лето'!q2059+'[2]$ лето'!w2059+'[2]$ лето'!ac2059+'[2]$ лето'!ai2059+'[2]$ лето'!ao2059</f>
        <v>0</v>
      </c>
      <c r="I2059" s="109" t="n">
        <f aca="false">'[2]$ лето'!ay2059*1.1</f>
        <v>1874.4</v>
      </c>
    </row>
    <row r="2060" customFormat="false" ht="15" hidden="true" customHeight="false" outlineLevel="0" collapsed="false">
      <c r="A2060" s="115" t="s">
        <v>331</v>
      </c>
      <c r="B2060" s="115" t="s">
        <v>568</v>
      </c>
      <c r="C2060" s="116" t="s">
        <v>2602</v>
      </c>
      <c r="D2060" s="116"/>
      <c r="E2060" s="116"/>
      <c r="F2060" s="116"/>
      <c r="G2060" s="108"/>
      <c r="H2060" s="105" t="n">
        <f aca="false">'[2]$ лето'!j2060-'[2]$ лето'!au2060-'[2]$ лето'!at2060-'[2]$ лето'!as2060-'[2]$ лето'!ar2060-'[2]$ лето'!aq2060-'[2]$ лето'!ap2060-'[2]$ лето'!an2060-'[2]$ лето'!am2060-'[2]$ лето'!al2060-'[2]$ лето'!ak2060-'[2]$ лето'!aj2060-'[2]$ лето'!ah2060-'[2]$ лето'!ag2060-'[2]$ лето'!af2060-'[2]$ лето'!ae2060-'[2]$ лето'!ad2060-'[2]$ лето'!ab2060-'[2]$ лето'!aa2060-'[2]$ лето'!z2060-'[2]$ лето'!y2060-'[2]$ лето'!x2060-'[2]$ лето'!v2060-'[2]$ лето'!u2060-'[2]$ лето'!t2060-'[2]$ лето'!s2060-'[2]$ лето'!r2060-'[2]$ лето'!p2060-'[2]$ лето'!o2060-'[2]$ лето'!n2060-'[2]$ лето'!m2060-'[2]$ лето'!l2060+'[2]$ лето'!k2060+'[2]$ лето'!q2060+'[2]$ лето'!w2060+'[2]$ лето'!ac2060+'[2]$ лето'!ai2060+'[2]$ лето'!ao2060</f>
        <v>0</v>
      </c>
      <c r="I2060" s="109" t="n">
        <f aca="false">'[2]$ лето'!ay2060*1.1</f>
        <v>3436.4</v>
      </c>
    </row>
    <row r="2061" customFormat="false" ht="15" hidden="true" customHeight="false" outlineLevel="0" collapsed="false">
      <c r="A2061" s="115" t="s">
        <v>331</v>
      </c>
      <c r="B2061" s="115" t="s">
        <v>844</v>
      </c>
      <c r="C2061" s="116" t="s">
        <v>2640</v>
      </c>
      <c r="D2061" s="116"/>
      <c r="E2061" s="116"/>
      <c r="F2061" s="116"/>
      <c r="G2061" s="108" t="s">
        <v>1127</v>
      </c>
      <c r="H2061" s="105" t="n">
        <f aca="false">'[2]$ лето'!j2061-'[2]$ лето'!au2061-'[2]$ лето'!at2061-'[2]$ лето'!as2061-'[2]$ лето'!ar2061-'[2]$ лето'!aq2061-'[2]$ лето'!ap2061-'[2]$ лето'!an2061-'[2]$ лето'!am2061-'[2]$ лето'!al2061-'[2]$ лето'!ak2061-'[2]$ лето'!aj2061-'[2]$ лето'!ah2061-'[2]$ лето'!ag2061-'[2]$ лето'!af2061-'[2]$ лето'!ae2061-'[2]$ лето'!ad2061-'[2]$ лето'!ab2061-'[2]$ лето'!aa2061-'[2]$ лето'!z2061-'[2]$ лето'!y2061-'[2]$ лето'!x2061-'[2]$ лето'!v2061-'[2]$ лето'!u2061-'[2]$ лето'!t2061-'[2]$ лето'!s2061-'[2]$ лето'!r2061-'[2]$ лето'!p2061-'[2]$ лето'!o2061-'[2]$ лето'!n2061-'[2]$ лето'!m2061-'[2]$ лето'!l2061+'[2]$ лето'!k2061+'[2]$ лето'!q2061+'[2]$ лето'!w2061+'[2]$ лето'!ac2061+'[2]$ лето'!ai2061+'[2]$ лето'!ao2061</f>
        <v>0</v>
      </c>
      <c r="I2061" s="109" t="n">
        <f aca="false">'[2]$ лето'!ay2061*1.1</f>
        <v>2811.6</v>
      </c>
      <c r="J2061" s="85" t="n">
        <v>2016</v>
      </c>
    </row>
    <row r="2062" customFormat="false" ht="15" hidden="false" customHeight="false" outlineLevel="0" collapsed="false">
      <c r="A2062" s="115" t="s">
        <v>331</v>
      </c>
      <c r="B2062" s="115" t="s">
        <v>741</v>
      </c>
      <c r="C2062" s="116" t="s">
        <v>2641</v>
      </c>
      <c r="D2062" s="116"/>
      <c r="E2062" s="116"/>
      <c r="F2062" s="116"/>
      <c r="G2062" s="108" t="s">
        <v>935</v>
      </c>
      <c r="H2062" s="105" t="n">
        <f aca="false">'[2]$ лето'!j2062-'[2]$ лето'!au2062-'[2]$ лето'!at2062-'[2]$ лето'!as2062-'[2]$ лето'!ar2062-'[2]$ лето'!aq2062-'[2]$ лето'!ap2062-'[2]$ лето'!an2062-'[2]$ лето'!am2062-'[2]$ лето'!al2062-'[2]$ лето'!ak2062-'[2]$ лето'!aj2062-'[2]$ лето'!ah2062-'[2]$ лето'!ag2062-'[2]$ лето'!af2062-'[2]$ лето'!ae2062-'[2]$ лето'!ad2062-'[2]$ лето'!ab2062-'[2]$ лето'!aa2062-'[2]$ лето'!z2062-'[2]$ лето'!y2062-'[2]$ лето'!x2062-'[2]$ лето'!v2062-'[2]$ лето'!u2062-'[2]$ лето'!t2062-'[2]$ лето'!s2062-'[2]$ лето'!r2062-'[2]$ лето'!p2062-'[2]$ лето'!o2062-'[2]$ лето'!n2062-'[2]$ лето'!m2062-'[2]$ лето'!l2062+'[2]$ лето'!k2062+'[2]$ лето'!q2062+'[2]$ лето'!w2062+'[2]$ лето'!ac2062+'[2]$ лето'!ai2062+'[2]$ лето'!ao2062</f>
        <v>4</v>
      </c>
      <c r="I2062" s="109" t="n">
        <f aca="false">'[2]$ лето'!ay2062*1.1</f>
        <v>2874.08</v>
      </c>
      <c r="J2062" s="85" t="n">
        <v>2016</v>
      </c>
    </row>
    <row r="2063" customFormat="false" ht="15" hidden="true" customHeight="false" outlineLevel="0" collapsed="false">
      <c r="A2063" s="115" t="s">
        <v>331</v>
      </c>
      <c r="B2063" s="115" t="s">
        <v>2642</v>
      </c>
      <c r="C2063" s="107" t="s">
        <v>2643</v>
      </c>
      <c r="D2063" s="107"/>
      <c r="E2063" s="107"/>
      <c r="F2063" s="107"/>
      <c r="G2063" s="162"/>
      <c r="H2063" s="105" t="n">
        <f aca="false">'[2]$ лето'!j2063-'[2]$ лето'!au2063-'[2]$ лето'!at2063-'[2]$ лето'!as2063-'[2]$ лето'!ar2063-'[2]$ лето'!aq2063-'[2]$ лето'!ap2063-'[2]$ лето'!an2063-'[2]$ лето'!am2063-'[2]$ лето'!al2063-'[2]$ лето'!ak2063-'[2]$ лето'!aj2063-'[2]$ лето'!ah2063-'[2]$ лето'!ag2063-'[2]$ лето'!af2063-'[2]$ лето'!ae2063-'[2]$ лето'!ad2063-'[2]$ лето'!ab2063-'[2]$ лето'!aa2063-'[2]$ лето'!z2063-'[2]$ лето'!y2063-'[2]$ лето'!x2063-'[2]$ лето'!v2063-'[2]$ лето'!u2063-'[2]$ лето'!t2063-'[2]$ лето'!s2063-'[2]$ лето'!r2063-'[2]$ лето'!p2063-'[2]$ лето'!o2063-'[2]$ лето'!n2063-'[2]$ лето'!m2063-'[2]$ лето'!l2063+'[2]$ лето'!k2063+'[2]$ лето'!q2063+'[2]$ лето'!w2063+'[2]$ лето'!ac2063+'[2]$ лето'!ai2063+'[2]$ лето'!ao2063</f>
        <v>0</v>
      </c>
      <c r="I2063" s="109" t="n">
        <f aca="false">'[2]$ лето'!ay2063*1.1</f>
        <v>1749.44</v>
      </c>
      <c r="J2063" s="163"/>
    </row>
    <row r="2064" customFormat="false" ht="15" hidden="false" customHeight="false" outlineLevel="0" collapsed="false">
      <c r="A2064" s="115" t="s">
        <v>331</v>
      </c>
      <c r="B2064" s="115" t="s">
        <v>666</v>
      </c>
      <c r="C2064" s="116" t="s">
        <v>2644</v>
      </c>
      <c r="D2064" s="116"/>
      <c r="E2064" s="116"/>
      <c r="F2064" s="116"/>
      <c r="G2064" s="108"/>
      <c r="H2064" s="105" t="n">
        <f aca="false">'[2]$ лето'!j2064-'[2]$ лето'!au2064-'[2]$ лето'!at2064-'[2]$ лето'!as2064-'[2]$ лето'!ar2064-'[2]$ лето'!aq2064-'[2]$ лето'!ap2064-'[2]$ лето'!an2064-'[2]$ лето'!am2064-'[2]$ лето'!al2064-'[2]$ лето'!ak2064-'[2]$ лето'!aj2064-'[2]$ лето'!ah2064-'[2]$ лето'!ag2064-'[2]$ лето'!af2064-'[2]$ лето'!ae2064-'[2]$ лето'!ad2064-'[2]$ лето'!ab2064-'[2]$ лето'!aa2064-'[2]$ лето'!z2064-'[2]$ лето'!y2064-'[2]$ лето'!x2064-'[2]$ лето'!v2064-'[2]$ лето'!u2064-'[2]$ лето'!t2064-'[2]$ лето'!s2064-'[2]$ лето'!r2064-'[2]$ лето'!p2064-'[2]$ лето'!o2064-'[2]$ лето'!n2064-'[2]$ лето'!m2064-'[2]$ лето'!l2064+'[2]$ лето'!k2064+'[2]$ лето'!q2064+'[2]$ лето'!w2064+'[2]$ лето'!ac2064+'[2]$ лето'!ai2064+'[2]$ лето'!ao2064</f>
        <v>4</v>
      </c>
      <c r="I2064" s="109" t="n">
        <f aca="false">'[2]$ лето'!ay2064*1.1</f>
        <v>3124</v>
      </c>
    </row>
    <row r="2065" customFormat="false" ht="15" hidden="true" customHeight="false" outlineLevel="0" collapsed="false">
      <c r="A2065" s="115" t="s">
        <v>331</v>
      </c>
      <c r="B2065" s="115" t="s">
        <v>668</v>
      </c>
      <c r="C2065" s="116" t="s">
        <v>2645</v>
      </c>
      <c r="D2065" s="116"/>
      <c r="E2065" s="116"/>
      <c r="F2065" s="116"/>
      <c r="G2065" s="108" t="s">
        <v>609</v>
      </c>
      <c r="H2065" s="105" t="n">
        <f aca="false">'[2]$ лето'!j2065-'[2]$ лето'!au2065-'[2]$ лето'!at2065-'[2]$ лето'!as2065-'[2]$ лето'!ar2065-'[2]$ лето'!aq2065-'[2]$ лето'!ap2065-'[2]$ лето'!an2065-'[2]$ лето'!am2065-'[2]$ лето'!al2065-'[2]$ лето'!ak2065-'[2]$ лето'!aj2065-'[2]$ лето'!ah2065-'[2]$ лето'!ag2065-'[2]$ лето'!af2065-'[2]$ лето'!ae2065-'[2]$ лето'!ad2065-'[2]$ лето'!ab2065-'[2]$ лето'!aa2065-'[2]$ лето'!z2065-'[2]$ лето'!y2065-'[2]$ лето'!x2065-'[2]$ лето'!v2065-'[2]$ лето'!u2065-'[2]$ лето'!t2065-'[2]$ лето'!s2065-'[2]$ лето'!r2065-'[2]$ лето'!p2065-'[2]$ лето'!o2065-'[2]$ лето'!n2065-'[2]$ лето'!m2065-'[2]$ лето'!l2065+'[2]$ лето'!k2065+'[2]$ лето'!q2065+'[2]$ лето'!w2065+'[2]$ лето'!ac2065+'[2]$ лето'!ai2065+'[2]$ лето'!ao2065</f>
        <v>0</v>
      </c>
      <c r="I2065" s="109" t="n">
        <f aca="false">'[2]$ лето'!ay2065*1.1</f>
        <v>2186.8</v>
      </c>
    </row>
    <row r="2066" customFormat="false" ht="15" hidden="false" customHeight="false" outlineLevel="0" collapsed="false">
      <c r="A2066" s="115" t="s">
        <v>331</v>
      </c>
      <c r="B2066" s="115" t="s">
        <v>574</v>
      </c>
      <c r="C2066" s="116" t="s">
        <v>2646</v>
      </c>
      <c r="D2066" s="116"/>
      <c r="E2066" s="116"/>
      <c r="F2066" s="116"/>
      <c r="G2066" s="108" t="s">
        <v>576</v>
      </c>
      <c r="H2066" s="105" t="n">
        <f aca="false">'[2]$ лето'!j2066-'[2]$ лето'!au2066-'[2]$ лето'!at2066-'[2]$ лето'!as2066-'[2]$ лето'!ar2066-'[2]$ лето'!aq2066-'[2]$ лето'!ap2066-'[2]$ лето'!an2066-'[2]$ лето'!am2066-'[2]$ лето'!al2066-'[2]$ лето'!ak2066-'[2]$ лето'!aj2066-'[2]$ лето'!ah2066-'[2]$ лето'!ag2066-'[2]$ лето'!af2066-'[2]$ лето'!ae2066-'[2]$ лето'!ad2066-'[2]$ лето'!ab2066-'[2]$ лето'!aa2066-'[2]$ лето'!z2066-'[2]$ лето'!y2066-'[2]$ лето'!x2066-'[2]$ лето'!v2066-'[2]$ лето'!u2066-'[2]$ лето'!t2066-'[2]$ лето'!s2066-'[2]$ лето'!r2066-'[2]$ лето'!p2066-'[2]$ лето'!o2066-'[2]$ лето'!n2066-'[2]$ лето'!m2066-'[2]$ лето'!l2066+'[2]$ лето'!k2066+'[2]$ лето'!q2066+'[2]$ лето'!w2066+'[2]$ лето'!ac2066+'[2]$ лето'!ai2066+'[2]$ лето'!ao2066</f>
        <v>6</v>
      </c>
      <c r="I2066" s="109" t="n">
        <f aca="false">'[2]$ лето'!ay2066*1.1</f>
        <v>2686.64</v>
      </c>
      <c r="J2066" s="85" t="n">
        <v>2017</v>
      </c>
    </row>
    <row r="2067" customFormat="false" ht="15" hidden="true" customHeight="false" outlineLevel="0" collapsed="false">
      <c r="A2067" s="115" t="s">
        <v>331</v>
      </c>
      <c r="B2067" s="115" t="s">
        <v>583</v>
      </c>
      <c r="C2067" s="107" t="s">
        <v>2606</v>
      </c>
      <c r="D2067" s="107"/>
      <c r="E2067" s="107"/>
      <c r="F2067" s="107"/>
      <c r="G2067" s="108"/>
      <c r="H2067" s="105" t="n">
        <f aca="false">'[2]$ лето'!j2067-'[2]$ лето'!au2067-'[2]$ лето'!at2067-'[2]$ лето'!as2067-'[2]$ лето'!ar2067-'[2]$ лето'!aq2067-'[2]$ лето'!ap2067-'[2]$ лето'!an2067-'[2]$ лето'!am2067-'[2]$ лето'!al2067-'[2]$ лето'!ak2067-'[2]$ лето'!aj2067-'[2]$ лето'!ah2067-'[2]$ лето'!ag2067-'[2]$ лето'!af2067-'[2]$ лето'!ae2067-'[2]$ лето'!ad2067-'[2]$ лето'!ab2067-'[2]$ лето'!aa2067-'[2]$ лето'!z2067-'[2]$ лето'!y2067-'[2]$ лето'!x2067-'[2]$ лето'!v2067-'[2]$ лето'!u2067-'[2]$ лето'!t2067-'[2]$ лето'!s2067-'[2]$ лето'!r2067-'[2]$ лето'!p2067-'[2]$ лето'!o2067-'[2]$ лето'!n2067-'[2]$ лето'!m2067-'[2]$ лето'!l2067+'[2]$ лето'!k2067+'[2]$ лето'!q2067+'[2]$ лето'!w2067+'[2]$ лето'!ac2067+'[2]$ лето'!ai2067+'[2]$ лето'!ao2067</f>
        <v>0</v>
      </c>
      <c r="I2067" s="109" t="n">
        <f aca="false">'[2]$ лето'!ay2067*1.1</f>
        <v>2530.44</v>
      </c>
    </row>
    <row r="2068" customFormat="false" ht="15" hidden="true" customHeight="false" outlineLevel="0" collapsed="false">
      <c r="A2068" s="115" t="s">
        <v>331</v>
      </c>
      <c r="B2068" s="115" t="s">
        <v>583</v>
      </c>
      <c r="C2068" s="107" t="s">
        <v>2647</v>
      </c>
      <c r="D2068" s="107"/>
      <c r="E2068" s="107"/>
      <c r="F2068" s="107"/>
      <c r="G2068" s="108"/>
      <c r="H2068" s="105" t="n">
        <f aca="false">'[2]$ лето'!j2068-'[2]$ лето'!au2068-'[2]$ лето'!at2068-'[2]$ лето'!as2068-'[2]$ лето'!ar2068-'[2]$ лето'!aq2068-'[2]$ лето'!ap2068-'[2]$ лето'!an2068-'[2]$ лето'!am2068-'[2]$ лето'!al2068-'[2]$ лето'!ak2068-'[2]$ лето'!aj2068-'[2]$ лето'!ah2068-'[2]$ лето'!ag2068-'[2]$ лето'!af2068-'[2]$ лето'!ae2068-'[2]$ лето'!ad2068-'[2]$ лето'!ab2068-'[2]$ лето'!aa2068-'[2]$ лето'!z2068-'[2]$ лето'!y2068-'[2]$ лето'!x2068-'[2]$ лето'!v2068-'[2]$ лето'!u2068-'[2]$ лето'!t2068-'[2]$ лето'!s2068-'[2]$ лето'!r2068-'[2]$ лето'!p2068-'[2]$ лето'!o2068-'[2]$ лето'!n2068-'[2]$ лето'!m2068-'[2]$ лето'!l2068+'[2]$ лето'!k2068+'[2]$ лето'!q2068+'[2]$ лето'!w2068+'[2]$ лето'!ac2068+'[2]$ лето'!ai2068+'[2]$ лето'!ao2068</f>
        <v>0</v>
      </c>
      <c r="I2068" s="109" t="n">
        <f aca="false">'[2]$ лето'!ay2068*1.1</f>
        <v>2655.4</v>
      </c>
    </row>
    <row r="2069" customFormat="false" ht="15" hidden="true" customHeight="false" outlineLevel="0" collapsed="false">
      <c r="A2069" s="115" t="s">
        <v>331</v>
      </c>
      <c r="B2069" s="115" t="s">
        <v>583</v>
      </c>
      <c r="C2069" s="107" t="s">
        <v>2648</v>
      </c>
      <c r="D2069" s="107"/>
      <c r="E2069" s="107"/>
      <c r="F2069" s="107"/>
      <c r="G2069" s="108"/>
      <c r="H2069" s="105" t="n">
        <f aca="false">'[2]$ лето'!j2069-'[2]$ лето'!au2069-'[2]$ лето'!at2069-'[2]$ лето'!as2069-'[2]$ лето'!ar2069-'[2]$ лето'!aq2069-'[2]$ лето'!ap2069-'[2]$ лето'!an2069-'[2]$ лето'!am2069-'[2]$ лето'!al2069-'[2]$ лето'!ak2069-'[2]$ лето'!aj2069-'[2]$ лето'!ah2069-'[2]$ лето'!ag2069-'[2]$ лето'!af2069-'[2]$ лето'!ae2069-'[2]$ лето'!ad2069-'[2]$ лето'!ab2069-'[2]$ лето'!aa2069-'[2]$ лето'!z2069-'[2]$ лето'!y2069-'[2]$ лето'!x2069-'[2]$ лето'!v2069-'[2]$ лето'!u2069-'[2]$ лето'!t2069-'[2]$ лето'!s2069-'[2]$ лето'!r2069-'[2]$ лето'!p2069-'[2]$ лето'!o2069-'[2]$ лето'!n2069-'[2]$ лето'!m2069-'[2]$ лето'!l2069+'[2]$ лето'!k2069+'[2]$ лето'!q2069+'[2]$ лето'!w2069+'[2]$ лето'!ac2069+'[2]$ лето'!ai2069+'[2]$ лето'!ao2069</f>
        <v>0</v>
      </c>
      <c r="I2069" s="109" t="n">
        <f aca="false">'[2]$ лето'!ay2069*1.1</f>
        <v>2249.28</v>
      </c>
    </row>
    <row r="2070" customFormat="false" ht="15" hidden="true" customHeight="false" outlineLevel="0" collapsed="false">
      <c r="A2070" s="115" t="s">
        <v>331</v>
      </c>
      <c r="B2070" s="115" t="s">
        <v>593</v>
      </c>
      <c r="C2070" s="107" t="s">
        <v>2649</v>
      </c>
      <c r="D2070" s="107"/>
      <c r="E2070" s="107"/>
      <c r="F2070" s="107"/>
      <c r="G2070" s="108" t="s">
        <v>1240</v>
      </c>
      <c r="H2070" s="105" t="n">
        <f aca="false">'[2]$ лето'!j2070-'[2]$ лето'!au2070-'[2]$ лето'!at2070-'[2]$ лето'!as2070-'[2]$ лето'!ar2070-'[2]$ лето'!aq2070-'[2]$ лето'!ap2070-'[2]$ лето'!an2070-'[2]$ лето'!am2070-'[2]$ лето'!al2070-'[2]$ лето'!ak2070-'[2]$ лето'!aj2070-'[2]$ лето'!ah2070-'[2]$ лето'!ag2070-'[2]$ лето'!af2070-'[2]$ лето'!ae2070-'[2]$ лето'!ad2070-'[2]$ лето'!ab2070-'[2]$ лето'!aa2070-'[2]$ лето'!z2070-'[2]$ лето'!y2070-'[2]$ лето'!x2070-'[2]$ лето'!v2070-'[2]$ лето'!u2070-'[2]$ лето'!t2070-'[2]$ лето'!s2070-'[2]$ лето'!r2070-'[2]$ лето'!p2070-'[2]$ лето'!o2070-'[2]$ лето'!n2070-'[2]$ лето'!m2070-'[2]$ лето'!l2070+'[2]$ лето'!k2070+'[2]$ лето'!q2070+'[2]$ лето'!w2070+'[2]$ лето'!ac2070+'[2]$ лето'!ai2070+'[2]$ лето'!ao2070</f>
        <v>0</v>
      </c>
      <c r="I2070" s="109" t="n">
        <f aca="false">'[2]$ лето'!ay2070*1.1</f>
        <v>3811.28</v>
      </c>
      <c r="J2070" s="85" t="n">
        <v>2017</v>
      </c>
    </row>
    <row r="2071" customFormat="false" ht="15" hidden="false" customHeight="false" outlineLevel="0" collapsed="false">
      <c r="A2071" s="115" t="s">
        <v>331</v>
      </c>
      <c r="B2071" s="115" t="s">
        <v>586</v>
      </c>
      <c r="C2071" s="107" t="s">
        <v>2650</v>
      </c>
      <c r="D2071" s="107"/>
      <c r="E2071" s="116"/>
      <c r="F2071" s="116"/>
      <c r="G2071" s="108" t="s">
        <v>520</v>
      </c>
      <c r="H2071" s="105" t="n">
        <f aca="false">'[2]$ лето'!j2071-'[2]$ лето'!au2071-'[2]$ лето'!at2071-'[2]$ лето'!as2071-'[2]$ лето'!ar2071-'[2]$ лето'!aq2071-'[2]$ лето'!ap2071-'[2]$ лето'!an2071-'[2]$ лето'!am2071-'[2]$ лето'!al2071-'[2]$ лето'!ak2071-'[2]$ лето'!aj2071-'[2]$ лето'!ah2071-'[2]$ лето'!ag2071-'[2]$ лето'!af2071-'[2]$ лето'!ae2071-'[2]$ лето'!ad2071-'[2]$ лето'!ab2071-'[2]$ лето'!aa2071-'[2]$ лето'!z2071-'[2]$ лето'!y2071-'[2]$ лето'!x2071-'[2]$ лето'!v2071-'[2]$ лето'!u2071-'[2]$ лето'!t2071-'[2]$ лето'!s2071-'[2]$ лето'!r2071-'[2]$ лето'!p2071-'[2]$ лето'!o2071-'[2]$ лето'!n2071-'[2]$ лето'!m2071-'[2]$ лето'!l2071+'[2]$ лето'!k2071+'[2]$ лето'!q2071+'[2]$ лето'!w2071+'[2]$ лето'!ac2071+'[2]$ лето'!ai2071+'[2]$ лето'!ao2071</f>
        <v>10</v>
      </c>
      <c r="I2071" s="109" t="n">
        <f aca="false">'[2]$ лето'!ay2071*1.1</f>
        <v>1749.44</v>
      </c>
    </row>
    <row r="2072" customFormat="false" ht="15" hidden="false" customHeight="false" outlineLevel="0" collapsed="false">
      <c r="A2072" s="115" t="s">
        <v>331</v>
      </c>
      <c r="B2072" s="115" t="s">
        <v>2651</v>
      </c>
      <c r="C2072" s="107" t="s">
        <v>2652</v>
      </c>
      <c r="D2072" s="107"/>
      <c r="E2072" s="116"/>
      <c r="F2072" s="116"/>
      <c r="G2072" s="108"/>
      <c r="H2072" s="105" t="n">
        <f aca="false">'[2]$ лето'!j2072-'[2]$ лето'!au2072-'[2]$ лето'!at2072-'[2]$ лето'!as2072-'[2]$ лето'!ar2072-'[2]$ лето'!aq2072-'[2]$ лето'!ap2072-'[2]$ лето'!an2072-'[2]$ лето'!am2072-'[2]$ лето'!al2072-'[2]$ лето'!ak2072-'[2]$ лето'!aj2072-'[2]$ лето'!ah2072-'[2]$ лето'!ag2072-'[2]$ лето'!af2072-'[2]$ лето'!ae2072-'[2]$ лето'!ad2072-'[2]$ лето'!ab2072-'[2]$ лето'!aa2072-'[2]$ лето'!z2072-'[2]$ лето'!y2072-'[2]$ лето'!x2072-'[2]$ лето'!v2072-'[2]$ лето'!u2072-'[2]$ лето'!t2072-'[2]$ лето'!s2072-'[2]$ лето'!r2072-'[2]$ лето'!p2072-'[2]$ лето'!o2072-'[2]$ лето'!n2072-'[2]$ лето'!m2072-'[2]$ лето'!l2072+'[2]$ лето'!k2072+'[2]$ лето'!q2072+'[2]$ лето'!w2072+'[2]$ лето'!ac2072+'[2]$ лето'!ai2072+'[2]$ лето'!ao2072</f>
        <v>4</v>
      </c>
      <c r="I2072" s="109" t="n">
        <f aca="false">'[2]$ лето'!ay2072*1.1</f>
        <v>1718.2</v>
      </c>
      <c r="J2072" s="85" t="n">
        <v>2016</v>
      </c>
    </row>
    <row r="2073" customFormat="false" ht="15" hidden="false" customHeight="false" outlineLevel="0" collapsed="false">
      <c r="A2073" s="115" t="s">
        <v>331</v>
      </c>
      <c r="B2073" s="115" t="s">
        <v>762</v>
      </c>
      <c r="C2073" s="107" t="s">
        <v>2653</v>
      </c>
      <c r="D2073" s="107"/>
      <c r="E2073" s="116"/>
      <c r="F2073" s="116"/>
      <c r="G2073" s="108"/>
      <c r="H2073" s="105" t="n">
        <f aca="false">'[2]$ лето'!j2073-'[2]$ лето'!au2073-'[2]$ лето'!at2073-'[2]$ лето'!as2073-'[2]$ лето'!ar2073-'[2]$ лето'!aq2073-'[2]$ лето'!ap2073-'[2]$ лето'!an2073-'[2]$ лето'!am2073-'[2]$ лето'!al2073-'[2]$ лето'!ak2073-'[2]$ лето'!aj2073-'[2]$ лето'!ah2073-'[2]$ лето'!ag2073-'[2]$ лето'!af2073-'[2]$ лето'!ae2073-'[2]$ лето'!ad2073-'[2]$ лето'!ab2073-'[2]$ лето'!aa2073-'[2]$ лето'!z2073-'[2]$ лето'!y2073-'[2]$ лето'!x2073-'[2]$ лето'!v2073-'[2]$ лето'!u2073-'[2]$ лето'!t2073-'[2]$ лето'!s2073-'[2]$ лето'!r2073-'[2]$ лето'!p2073-'[2]$ лето'!o2073-'[2]$ лето'!n2073-'[2]$ лето'!m2073-'[2]$ лето'!l2073+'[2]$ лето'!k2073+'[2]$ лето'!q2073+'[2]$ лето'!w2073+'[2]$ лето'!ac2073+'[2]$ лето'!ai2073+'[2]$ лето'!ao2073</f>
        <v>4</v>
      </c>
      <c r="I2073" s="109" t="n">
        <f aca="false">'[2]$ лето'!ay2073*1.1</f>
        <v>2124.32</v>
      </c>
    </row>
    <row r="2074" customFormat="false" ht="15" hidden="true" customHeight="false" outlineLevel="0" collapsed="false">
      <c r="A2074" s="115" t="s">
        <v>331</v>
      </c>
      <c r="B2074" s="115" t="s">
        <v>617</v>
      </c>
      <c r="C2074" s="107" t="s">
        <v>2654</v>
      </c>
      <c r="D2074" s="107"/>
      <c r="E2074" s="107"/>
      <c r="F2074" s="107"/>
      <c r="G2074" s="108" t="s">
        <v>625</v>
      </c>
      <c r="H2074" s="105" t="n">
        <f aca="false">'[2]$ лето'!j2074-'[2]$ лето'!au2074-'[2]$ лето'!at2074-'[2]$ лето'!as2074-'[2]$ лето'!ar2074-'[2]$ лето'!aq2074-'[2]$ лето'!ap2074-'[2]$ лето'!an2074-'[2]$ лето'!am2074-'[2]$ лето'!al2074-'[2]$ лето'!ak2074-'[2]$ лето'!aj2074-'[2]$ лето'!ah2074-'[2]$ лето'!ag2074-'[2]$ лето'!af2074-'[2]$ лето'!ae2074-'[2]$ лето'!ad2074-'[2]$ лето'!ab2074-'[2]$ лето'!aa2074-'[2]$ лето'!z2074-'[2]$ лето'!y2074-'[2]$ лето'!x2074-'[2]$ лето'!v2074-'[2]$ лето'!u2074-'[2]$ лето'!t2074-'[2]$ лето'!s2074-'[2]$ лето'!r2074-'[2]$ лето'!p2074-'[2]$ лето'!o2074-'[2]$ лето'!n2074-'[2]$ лето'!m2074-'[2]$ лето'!l2074+'[2]$ лето'!k2074+'[2]$ лето'!q2074+'[2]$ лето'!w2074+'[2]$ лето'!ac2074+'[2]$ лето'!ai2074+'[2]$ лето'!ao2074</f>
        <v>0</v>
      </c>
      <c r="I2074" s="109" t="n">
        <f aca="false">'[2]$ лето'!ay2074*1.1</f>
        <v>1905.64</v>
      </c>
      <c r="J2074" s="85" t="n">
        <v>2018</v>
      </c>
    </row>
    <row r="2075" customFormat="false" ht="15" hidden="false" customHeight="false" outlineLevel="0" collapsed="false">
      <c r="A2075" s="115" t="s">
        <v>331</v>
      </c>
      <c r="B2075" s="115" t="s">
        <v>564</v>
      </c>
      <c r="C2075" s="107" t="s">
        <v>2655</v>
      </c>
      <c r="D2075" s="107"/>
      <c r="E2075" s="116"/>
      <c r="F2075" s="116"/>
      <c r="G2075" s="108" t="s">
        <v>520</v>
      </c>
      <c r="H2075" s="105" t="n">
        <f aca="false">'[2]$ лето'!j2075-'[2]$ лето'!au2075-'[2]$ лето'!at2075-'[2]$ лето'!as2075-'[2]$ лето'!ar2075-'[2]$ лето'!aq2075-'[2]$ лето'!ap2075-'[2]$ лето'!an2075-'[2]$ лето'!am2075-'[2]$ лето'!al2075-'[2]$ лето'!ak2075-'[2]$ лето'!aj2075-'[2]$ лето'!ah2075-'[2]$ лето'!ag2075-'[2]$ лето'!af2075-'[2]$ лето'!ae2075-'[2]$ лето'!ad2075-'[2]$ лето'!ab2075-'[2]$ лето'!aa2075-'[2]$ лето'!z2075-'[2]$ лето'!y2075-'[2]$ лето'!x2075-'[2]$ лето'!v2075-'[2]$ лето'!u2075-'[2]$ лето'!t2075-'[2]$ лето'!s2075-'[2]$ лето'!r2075-'[2]$ лето'!p2075-'[2]$ лето'!o2075-'[2]$ лето'!n2075-'[2]$ лето'!m2075-'[2]$ лето'!l2075+'[2]$ лето'!k2075+'[2]$ лето'!q2075+'[2]$ лето'!w2075+'[2]$ лето'!ac2075+'[2]$ лето'!ai2075+'[2]$ лето'!ao2075</f>
        <v>8</v>
      </c>
      <c r="I2075" s="109" t="n">
        <f aca="false">'[2]$ лето'!ay2075*1.1</f>
        <v>1999.36</v>
      </c>
      <c r="J2075" s="85" t="n">
        <v>2017</v>
      </c>
    </row>
    <row r="2076" customFormat="false" ht="15" hidden="false" customHeight="false" outlineLevel="0" collapsed="false">
      <c r="A2076" s="115" t="s">
        <v>331</v>
      </c>
      <c r="B2076" s="115" t="s">
        <v>1028</v>
      </c>
      <c r="C2076" s="107" t="s">
        <v>2656</v>
      </c>
      <c r="D2076" s="107"/>
      <c r="E2076" s="116"/>
      <c r="F2076" s="116"/>
      <c r="G2076" s="108"/>
      <c r="H2076" s="105" t="n">
        <f aca="false">'[2]$ лето'!j2076-'[2]$ лето'!au2076-'[2]$ лето'!at2076-'[2]$ лето'!as2076-'[2]$ лето'!ar2076-'[2]$ лето'!aq2076-'[2]$ лето'!ap2076-'[2]$ лето'!an2076-'[2]$ лето'!am2076-'[2]$ лето'!al2076-'[2]$ лето'!ak2076-'[2]$ лето'!aj2076-'[2]$ лето'!ah2076-'[2]$ лето'!ag2076-'[2]$ лето'!af2076-'[2]$ лето'!ae2076-'[2]$ лето'!ad2076-'[2]$ лето'!ab2076-'[2]$ лето'!aa2076-'[2]$ лето'!z2076-'[2]$ лето'!y2076-'[2]$ лето'!x2076-'[2]$ лето'!v2076-'[2]$ лето'!u2076-'[2]$ лето'!t2076-'[2]$ лето'!s2076-'[2]$ лето'!r2076-'[2]$ лето'!p2076-'[2]$ лето'!o2076-'[2]$ лето'!n2076-'[2]$ лето'!m2076-'[2]$ лето'!l2076+'[2]$ лето'!k2076+'[2]$ лето'!q2076+'[2]$ лето'!w2076+'[2]$ лето'!ac2076+'[2]$ лето'!ai2076+'[2]$ лето'!ao2076</f>
        <v>4</v>
      </c>
      <c r="I2076" s="109" t="n">
        <f aca="false">'[2]$ лето'!ay2076*1.1</f>
        <v>3124</v>
      </c>
    </row>
    <row r="2077" customFormat="false" ht="15" hidden="true" customHeight="false" outlineLevel="0" collapsed="false">
      <c r="A2077" s="115" t="s">
        <v>334</v>
      </c>
      <c r="B2077" s="115" t="s">
        <v>568</v>
      </c>
      <c r="C2077" s="107" t="s">
        <v>2602</v>
      </c>
      <c r="D2077" s="107"/>
      <c r="E2077" s="107"/>
      <c r="F2077" s="107"/>
      <c r="G2077" s="108"/>
      <c r="H2077" s="105" t="n">
        <f aca="false">'[2]$ лето'!j2077-'[2]$ лето'!au2077-'[2]$ лето'!at2077-'[2]$ лето'!as2077-'[2]$ лето'!ar2077-'[2]$ лето'!aq2077-'[2]$ лето'!ap2077-'[2]$ лето'!an2077-'[2]$ лето'!am2077-'[2]$ лето'!al2077-'[2]$ лето'!ak2077-'[2]$ лето'!aj2077-'[2]$ лето'!ah2077-'[2]$ лето'!ag2077-'[2]$ лето'!af2077-'[2]$ лето'!ae2077-'[2]$ лето'!ad2077-'[2]$ лето'!ab2077-'[2]$ лето'!aa2077-'[2]$ лето'!z2077-'[2]$ лето'!y2077-'[2]$ лето'!x2077-'[2]$ лето'!v2077-'[2]$ лето'!u2077-'[2]$ лето'!t2077-'[2]$ лето'!s2077-'[2]$ лето'!r2077-'[2]$ лето'!p2077-'[2]$ лето'!o2077-'[2]$ лето'!n2077-'[2]$ лето'!m2077-'[2]$ лето'!l2077+'[2]$ лето'!k2077+'[2]$ лето'!q2077+'[2]$ лето'!w2077+'[2]$ лето'!ac2077+'[2]$ лето'!ai2077+'[2]$ лето'!ao2077</f>
        <v>0</v>
      </c>
      <c r="I2077" s="109" t="n">
        <f aca="false">'[2]$ лето'!ay2077*1.1</f>
        <v>3467.64</v>
      </c>
    </row>
    <row r="2078" customFormat="false" ht="15" hidden="true" customHeight="false" outlineLevel="0" collapsed="false">
      <c r="A2078" s="115" t="s">
        <v>334</v>
      </c>
      <c r="B2078" s="115" t="s">
        <v>844</v>
      </c>
      <c r="C2078" s="107" t="s">
        <v>2657</v>
      </c>
      <c r="D2078" s="107"/>
      <c r="E2078" s="107"/>
      <c r="F2078" s="107"/>
      <c r="G2078" s="108"/>
      <c r="H2078" s="105" t="n">
        <f aca="false">'[2]$ лето'!j2078-'[2]$ лето'!au2078-'[2]$ лето'!at2078-'[2]$ лето'!as2078-'[2]$ лето'!ar2078-'[2]$ лето'!aq2078-'[2]$ лето'!ap2078-'[2]$ лето'!an2078-'[2]$ лето'!am2078-'[2]$ лето'!al2078-'[2]$ лето'!ak2078-'[2]$ лето'!aj2078-'[2]$ лето'!ah2078-'[2]$ лето'!ag2078-'[2]$ лето'!af2078-'[2]$ лето'!ae2078-'[2]$ лето'!ad2078-'[2]$ лето'!ab2078-'[2]$ лето'!aa2078-'[2]$ лето'!z2078-'[2]$ лето'!y2078-'[2]$ лето'!x2078-'[2]$ лето'!v2078-'[2]$ лето'!u2078-'[2]$ лето'!t2078-'[2]$ лето'!s2078-'[2]$ лето'!r2078-'[2]$ лето'!p2078-'[2]$ лето'!o2078-'[2]$ лето'!n2078-'[2]$ лето'!m2078-'[2]$ лето'!l2078+'[2]$ лето'!k2078+'[2]$ лето'!q2078+'[2]$ лето'!w2078+'[2]$ лето'!ac2078+'[2]$ лето'!ai2078+'[2]$ лето'!ao2078</f>
        <v>0</v>
      </c>
      <c r="I2078" s="109" t="n">
        <f aca="false">'[2]$ лето'!ay2078*1.1</f>
        <v>2967.8</v>
      </c>
      <c r="J2078" s="85" t="s">
        <v>1127</v>
      </c>
    </row>
    <row r="2079" customFormat="false" ht="15" hidden="true" customHeight="false" outlineLevel="0" collapsed="false">
      <c r="A2079" s="115" t="s">
        <v>334</v>
      </c>
      <c r="B2079" s="115" t="s">
        <v>741</v>
      </c>
      <c r="C2079" s="107" t="s">
        <v>2504</v>
      </c>
      <c r="D2079" s="107"/>
      <c r="E2079" s="107"/>
      <c r="F2079" s="107"/>
      <c r="G2079" s="108"/>
      <c r="H2079" s="105" t="n">
        <f aca="false">'[2]$ лето'!j2079-'[2]$ лето'!au2079-'[2]$ лето'!at2079-'[2]$ лето'!as2079-'[2]$ лето'!ar2079-'[2]$ лето'!aq2079-'[2]$ лето'!ap2079-'[2]$ лето'!an2079-'[2]$ лето'!am2079-'[2]$ лето'!al2079-'[2]$ лето'!ak2079-'[2]$ лето'!aj2079-'[2]$ лето'!ah2079-'[2]$ лето'!ag2079-'[2]$ лето'!af2079-'[2]$ лето'!ae2079-'[2]$ лето'!ad2079-'[2]$ лето'!ab2079-'[2]$ лето'!aa2079-'[2]$ лето'!z2079-'[2]$ лето'!y2079-'[2]$ лето'!x2079-'[2]$ лето'!v2079-'[2]$ лето'!u2079-'[2]$ лето'!t2079-'[2]$ лето'!s2079-'[2]$ лето'!r2079-'[2]$ лето'!p2079-'[2]$ лето'!o2079-'[2]$ лето'!n2079-'[2]$ лето'!m2079-'[2]$ лето'!l2079+'[2]$ лето'!k2079+'[2]$ лето'!q2079+'[2]$ лето'!w2079+'[2]$ лето'!ac2079+'[2]$ лето'!ai2079+'[2]$ лето'!ao2079</f>
        <v>0</v>
      </c>
      <c r="I2079" s="109" t="n">
        <f aca="false">'[2]$ лето'!ay2079*1.1</f>
        <v>4154.92</v>
      </c>
    </row>
    <row r="2080" customFormat="false" ht="15" hidden="true" customHeight="false" outlineLevel="0" collapsed="false">
      <c r="A2080" s="115" t="s">
        <v>334</v>
      </c>
      <c r="B2080" s="115" t="s">
        <v>2423</v>
      </c>
      <c r="C2080" s="107" t="s">
        <v>2424</v>
      </c>
      <c r="D2080" s="107"/>
      <c r="E2080" s="107"/>
      <c r="F2080" s="107"/>
      <c r="G2080" s="108"/>
      <c r="H2080" s="105" t="n">
        <f aca="false">'[2]$ лето'!j2080-'[2]$ лето'!au2080-'[2]$ лето'!at2080-'[2]$ лето'!as2080-'[2]$ лето'!ar2080-'[2]$ лето'!aq2080-'[2]$ лето'!ap2080-'[2]$ лето'!an2080-'[2]$ лето'!am2080-'[2]$ лето'!al2080-'[2]$ лето'!ak2080-'[2]$ лето'!aj2080-'[2]$ лето'!ah2080-'[2]$ лето'!ag2080-'[2]$ лето'!af2080-'[2]$ лето'!ae2080-'[2]$ лето'!ad2080-'[2]$ лето'!ab2080-'[2]$ лето'!aa2080-'[2]$ лето'!z2080-'[2]$ лето'!y2080-'[2]$ лето'!x2080-'[2]$ лето'!v2080-'[2]$ лето'!u2080-'[2]$ лето'!t2080-'[2]$ лето'!s2080-'[2]$ лето'!r2080-'[2]$ лето'!p2080-'[2]$ лето'!o2080-'[2]$ лето'!n2080-'[2]$ лето'!m2080-'[2]$ лето'!l2080+'[2]$ лето'!k2080+'[2]$ лето'!q2080+'[2]$ лето'!w2080+'[2]$ лето'!ac2080+'[2]$ лето'!ai2080+'[2]$ лето'!ao2080</f>
        <v>0</v>
      </c>
      <c r="I2080" s="109" t="n">
        <f aca="false">'[2]$ лето'!ay2080*1.1</f>
        <v>1874.4</v>
      </c>
    </row>
    <row r="2081" customFormat="false" ht="15" hidden="true" customHeight="false" outlineLevel="0" collapsed="false">
      <c r="A2081" s="115" t="s">
        <v>334</v>
      </c>
      <c r="B2081" s="115" t="s">
        <v>1130</v>
      </c>
      <c r="C2081" s="107" t="s">
        <v>2658</v>
      </c>
      <c r="D2081" s="107"/>
      <c r="E2081" s="107"/>
      <c r="F2081" s="107"/>
      <c r="G2081" s="108"/>
      <c r="H2081" s="105" t="n">
        <f aca="false">'[2]$ лето'!j2081-'[2]$ лето'!au2081-'[2]$ лето'!at2081-'[2]$ лето'!as2081-'[2]$ лето'!ar2081-'[2]$ лето'!aq2081-'[2]$ лето'!ap2081-'[2]$ лето'!an2081-'[2]$ лето'!am2081-'[2]$ лето'!al2081-'[2]$ лето'!ak2081-'[2]$ лето'!aj2081-'[2]$ лето'!ah2081-'[2]$ лето'!ag2081-'[2]$ лето'!af2081-'[2]$ лето'!ae2081-'[2]$ лето'!ad2081-'[2]$ лето'!ab2081-'[2]$ лето'!aa2081-'[2]$ лето'!z2081-'[2]$ лето'!y2081-'[2]$ лето'!x2081-'[2]$ лето'!v2081-'[2]$ лето'!u2081-'[2]$ лето'!t2081-'[2]$ лето'!s2081-'[2]$ лето'!r2081-'[2]$ лето'!p2081-'[2]$ лето'!o2081-'[2]$ лето'!n2081-'[2]$ лето'!m2081-'[2]$ лето'!l2081+'[2]$ лето'!k2081+'[2]$ лето'!q2081+'[2]$ лето'!w2081+'[2]$ лето'!ac2081+'[2]$ лето'!ai2081+'[2]$ лето'!ao2081</f>
        <v>0</v>
      </c>
      <c r="I2081" s="109" t="n">
        <f aca="false">'[2]$ лето'!ay2081*1.1</f>
        <v>1718.2</v>
      </c>
    </row>
    <row r="2082" customFormat="false" ht="15" hidden="true" customHeight="false" outlineLevel="0" collapsed="false">
      <c r="A2082" s="115" t="s">
        <v>334</v>
      </c>
      <c r="B2082" s="115" t="s">
        <v>666</v>
      </c>
      <c r="C2082" s="107" t="s">
        <v>2659</v>
      </c>
      <c r="D2082" s="107"/>
      <c r="E2082" s="107"/>
      <c r="F2082" s="107"/>
      <c r="G2082" s="108" t="s">
        <v>631</v>
      </c>
      <c r="H2082" s="105" t="n">
        <f aca="false">'[2]$ лето'!j2082-'[2]$ лето'!au2082-'[2]$ лето'!at2082-'[2]$ лето'!as2082-'[2]$ лето'!ar2082-'[2]$ лето'!aq2082-'[2]$ лето'!ap2082-'[2]$ лето'!an2082-'[2]$ лето'!am2082-'[2]$ лето'!al2082-'[2]$ лето'!ak2082-'[2]$ лето'!aj2082-'[2]$ лето'!ah2082-'[2]$ лето'!ag2082-'[2]$ лето'!af2082-'[2]$ лето'!ae2082-'[2]$ лето'!ad2082-'[2]$ лето'!ab2082-'[2]$ лето'!aa2082-'[2]$ лето'!z2082-'[2]$ лето'!y2082-'[2]$ лето'!x2082-'[2]$ лето'!v2082-'[2]$ лето'!u2082-'[2]$ лето'!t2082-'[2]$ лето'!s2082-'[2]$ лето'!r2082-'[2]$ лето'!p2082-'[2]$ лето'!o2082-'[2]$ лето'!n2082-'[2]$ лето'!m2082-'[2]$ лето'!l2082+'[2]$ лето'!k2082+'[2]$ лето'!q2082+'[2]$ лето'!w2082+'[2]$ лето'!ac2082+'[2]$ лето'!ai2082+'[2]$ лето'!ao2082</f>
        <v>0</v>
      </c>
      <c r="I2082" s="109" t="n">
        <f aca="false">'[2]$ лето'!ay2082*1.1</f>
        <v>3124</v>
      </c>
      <c r="J2082" s="85" t="n">
        <v>2018</v>
      </c>
    </row>
    <row r="2083" customFormat="false" ht="15" hidden="false" customHeight="false" outlineLevel="0" collapsed="false">
      <c r="A2083" s="115" t="s">
        <v>334</v>
      </c>
      <c r="B2083" s="115" t="s">
        <v>574</v>
      </c>
      <c r="C2083" s="107" t="s">
        <v>2660</v>
      </c>
      <c r="D2083" s="107"/>
      <c r="E2083" s="116"/>
      <c r="F2083" s="116"/>
      <c r="G2083" s="108" t="s">
        <v>576</v>
      </c>
      <c r="H2083" s="105" t="n">
        <f aca="false">'[2]$ лето'!j2083-'[2]$ лето'!au2083-'[2]$ лето'!at2083-'[2]$ лето'!as2083-'[2]$ лето'!ar2083-'[2]$ лето'!aq2083-'[2]$ лето'!ap2083-'[2]$ лето'!an2083-'[2]$ лето'!am2083-'[2]$ лето'!al2083-'[2]$ лето'!ak2083-'[2]$ лето'!aj2083-'[2]$ лето'!ah2083-'[2]$ лето'!ag2083-'[2]$ лето'!af2083-'[2]$ лето'!ae2083-'[2]$ лето'!ad2083-'[2]$ лето'!ab2083-'[2]$ лето'!aa2083-'[2]$ лето'!z2083-'[2]$ лето'!y2083-'[2]$ лето'!x2083-'[2]$ лето'!v2083-'[2]$ лето'!u2083-'[2]$ лето'!t2083-'[2]$ лето'!s2083-'[2]$ лето'!r2083-'[2]$ лето'!p2083-'[2]$ лето'!o2083-'[2]$ лето'!n2083-'[2]$ лето'!m2083-'[2]$ лето'!l2083+'[2]$ лето'!k2083+'[2]$ лето'!q2083+'[2]$ лето'!w2083+'[2]$ лето'!ac2083+'[2]$ лето'!ai2083+'[2]$ лето'!ao2083</f>
        <v>2</v>
      </c>
      <c r="I2083" s="109" t="n">
        <f aca="false">'[2]$ лето'!ay2083*1.1</f>
        <v>2561.68</v>
      </c>
    </row>
    <row r="2084" customFormat="false" ht="15" hidden="true" customHeight="false" outlineLevel="0" collapsed="false">
      <c r="A2084" s="115" t="s">
        <v>334</v>
      </c>
      <c r="B2084" s="115" t="s">
        <v>574</v>
      </c>
      <c r="C2084" s="107" t="s">
        <v>2505</v>
      </c>
      <c r="D2084" s="107"/>
      <c r="E2084" s="107"/>
      <c r="F2084" s="107"/>
      <c r="G2084" s="108" t="s">
        <v>576</v>
      </c>
      <c r="H2084" s="105" t="n">
        <f aca="false">'[2]$ лето'!j2084-'[2]$ лето'!au2084-'[2]$ лето'!at2084-'[2]$ лето'!as2084-'[2]$ лето'!ar2084-'[2]$ лето'!aq2084-'[2]$ лето'!ap2084-'[2]$ лето'!an2084-'[2]$ лето'!am2084-'[2]$ лето'!al2084-'[2]$ лето'!ak2084-'[2]$ лето'!aj2084-'[2]$ лето'!ah2084-'[2]$ лето'!ag2084-'[2]$ лето'!af2084-'[2]$ лето'!ae2084-'[2]$ лето'!ad2084-'[2]$ лето'!ab2084-'[2]$ лето'!aa2084-'[2]$ лето'!z2084-'[2]$ лето'!y2084-'[2]$ лето'!x2084-'[2]$ лето'!v2084-'[2]$ лето'!u2084-'[2]$ лето'!t2084-'[2]$ лето'!s2084-'[2]$ лето'!r2084-'[2]$ лето'!p2084-'[2]$ лето'!o2084-'[2]$ лето'!n2084-'[2]$ лето'!m2084-'[2]$ лето'!l2084+'[2]$ лето'!k2084+'[2]$ лето'!q2084+'[2]$ лето'!w2084+'[2]$ лето'!ac2084+'[2]$ лето'!ai2084+'[2]$ лето'!ao2084</f>
        <v>0</v>
      </c>
      <c r="I2084" s="109" t="n">
        <f aca="false">'[2]$ лето'!ay2084*1.1</f>
        <v>2467.96</v>
      </c>
    </row>
    <row r="2085" customFormat="false" ht="15" hidden="true" customHeight="false" outlineLevel="0" collapsed="false">
      <c r="A2085" s="115" t="s">
        <v>334</v>
      </c>
      <c r="B2085" s="115" t="s">
        <v>583</v>
      </c>
      <c r="C2085" s="107" t="s">
        <v>2506</v>
      </c>
      <c r="D2085" s="107"/>
      <c r="E2085" s="107"/>
      <c r="F2085" s="107"/>
      <c r="G2085" s="108"/>
      <c r="H2085" s="105" t="n">
        <f aca="false">'[2]$ лето'!j2085-'[2]$ лето'!au2085-'[2]$ лето'!at2085-'[2]$ лето'!as2085-'[2]$ лето'!ar2085-'[2]$ лето'!aq2085-'[2]$ лето'!ap2085-'[2]$ лето'!an2085-'[2]$ лето'!am2085-'[2]$ лето'!al2085-'[2]$ лето'!ak2085-'[2]$ лето'!aj2085-'[2]$ лето'!ah2085-'[2]$ лето'!ag2085-'[2]$ лето'!af2085-'[2]$ лето'!ae2085-'[2]$ лето'!ad2085-'[2]$ лето'!ab2085-'[2]$ лето'!aa2085-'[2]$ лето'!z2085-'[2]$ лето'!y2085-'[2]$ лето'!x2085-'[2]$ лето'!v2085-'[2]$ лето'!u2085-'[2]$ лето'!t2085-'[2]$ лето'!s2085-'[2]$ лето'!r2085-'[2]$ лето'!p2085-'[2]$ лето'!o2085-'[2]$ лето'!n2085-'[2]$ лето'!m2085-'[2]$ лето'!l2085+'[2]$ лето'!k2085+'[2]$ лето'!q2085+'[2]$ лето'!w2085+'[2]$ лето'!ac2085+'[2]$ лето'!ai2085+'[2]$ лето'!ao2085</f>
        <v>0</v>
      </c>
      <c r="I2085" s="109" t="n">
        <f aca="false">'[2]$ лето'!ay2085*1.1</f>
        <v>2343</v>
      </c>
    </row>
    <row r="2086" customFormat="false" ht="15" hidden="false" customHeight="false" outlineLevel="0" collapsed="false">
      <c r="A2086" s="115" t="s">
        <v>334</v>
      </c>
      <c r="B2086" s="115" t="s">
        <v>583</v>
      </c>
      <c r="C2086" s="107" t="s">
        <v>2541</v>
      </c>
      <c r="D2086" s="107"/>
      <c r="E2086" s="116"/>
      <c r="F2086" s="116"/>
      <c r="G2086" s="108"/>
      <c r="H2086" s="105" t="n">
        <f aca="false">'[2]$ лето'!j2086-'[2]$ лето'!au2086-'[2]$ лето'!at2086-'[2]$ лето'!as2086-'[2]$ лето'!ar2086-'[2]$ лето'!aq2086-'[2]$ лето'!ap2086-'[2]$ лето'!an2086-'[2]$ лето'!am2086-'[2]$ лето'!al2086-'[2]$ лето'!ak2086-'[2]$ лето'!aj2086-'[2]$ лето'!ah2086-'[2]$ лето'!ag2086-'[2]$ лето'!af2086-'[2]$ лето'!ae2086-'[2]$ лето'!ad2086-'[2]$ лето'!ab2086-'[2]$ лето'!aa2086-'[2]$ лето'!z2086-'[2]$ лето'!y2086-'[2]$ лето'!x2086-'[2]$ лето'!v2086-'[2]$ лето'!u2086-'[2]$ лето'!t2086-'[2]$ лето'!s2086-'[2]$ лето'!r2086-'[2]$ лето'!p2086-'[2]$ лето'!o2086-'[2]$ лето'!n2086-'[2]$ лето'!m2086-'[2]$ лето'!l2086+'[2]$ лето'!k2086+'[2]$ лето'!q2086+'[2]$ лето'!w2086+'[2]$ лето'!ac2086+'[2]$ лето'!ai2086+'[2]$ лето'!ao2086</f>
        <v>4</v>
      </c>
      <c r="I2086" s="109" t="n">
        <f aca="false">'[2]$ лето'!ay2086*1.1</f>
        <v>2405.48</v>
      </c>
      <c r="J2086" s="85" t="n">
        <v>2018</v>
      </c>
    </row>
    <row r="2087" customFormat="false" ht="15" hidden="true" customHeight="false" outlineLevel="0" collapsed="false">
      <c r="A2087" s="115" t="s">
        <v>334</v>
      </c>
      <c r="B2087" s="115" t="s">
        <v>593</v>
      </c>
      <c r="C2087" s="116" t="s">
        <v>2661</v>
      </c>
      <c r="D2087" s="116"/>
      <c r="E2087" s="116"/>
      <c r="F2087" s="116"/>
      <c r="G2087" s="108"/>
      <c r="H2087" s="105" t="n">
        <f aca="false">'[2]$ лето'!j2087-'[2]$ лето'!au2087-'[2]$ лето'!at2087-'[2]$ лето'!as2087-'[2]$ лето'!ar2087-'[2]$ лето'!aq2087-'[2]$ лето'!ap2087-'[2]$ лето'!an2087-'[2]$ лето'!am2087-'[2]$ лето'!al2087-'[2]$ лето'!ak2087-'[2]$ лето'!aj2087-'[2]$ лето'!ah2087-'[2]$ лето'!ag2087-'[2]$ лето'!af2087-'[2]$ лето'!ae2087-'[2]$ лето'!ad2087-'[2]$ лето'!ab2087-'[2]$ лето'!aa2087-'[2]$ лето'!z2087-'[2]$ лето'!y2087-'[2]$ лето'!x2087-'[2]$ лето'!v2087-'[2]$ лето'!u2087-'[2]$ лето'!t2087-'[2]$ лето'!s2087-'[2]$ лето'!r2087-'[2]$ лето'!p2087-'[2]$ лето'!o2087-'[2]$ лето'!n2087-'[2]$ лето'!m2087-'[2]$ лето'!l2087+'[2]$ лето'!k2087+'[2]$ лето'!q2087+'[2]$ лето'!w2087+'[2]$ лето'!ac2087+'[2]$ лето'!ai2087+'[2]$ лето'!ao2087</f>
        <v>0</v>
      </c>
      <c r="I2087" s="109" t="n">
        <f aca="false">'[2]$ лето'!ay2087*1.1</f>
        <v>2842.84</v>
      </c>
    </row>
    <row r="2088" customFormat="false" ht="15" hidden="true" customHeight="false" outlineLevel="0" collapsed="false">
      <c r="A2088" s="115" t="s">
        <v>334</v>
      </c>
      <c r="B2088" s="115" t="s">
        <v>621</v>
      </c>
      <c r="C2088" s="116" t="s">
        <v>2553</v>
      </c>
      <c r="D2088" s="116"/>
      <c r="E2088" s="116"/>
      <c r="F2088" s="116"/>
      <c r="G2088" s="108" t="s">
        <v>520</v>
      </c>
      <c r="H2088" s="105" t="n">
        <f aca="false">'[2]$ лето'!j2088-'[2]$ лето'!au2088-'[2]$ лето'!at2088-'[2]$ лето'!as2088-'[2]$ лето'!ar2088-'[2]$ лето'!aq2088-'[2]$ лето'!ap2088-'[2]$ лето'!an2088-'[2]$ лето'!am2088-'[2]$ лето'!al2088-'[2]$ лето'!ak2088-'[2]$ лето'!aj2088-'[2]$ лето'!ah2088-'[2]$ лето'!ag2088-'[2]$ лето'!af2088-'[2]$ лето'!ae2088-'[2]$ лето'!ad2088-'[2]$ лето'!ab2088-'[2]$ лето'!aa2088-'[2]$ лето'!z2088-'[2]$ лето'!y2088-'[2]$ лето'!x2088-'[2]$ лето'!v2088-'[2]$ лето'!u2088-'[2]$ лето'!t2088-'[2]$ лето'!s2088-'[2]$ лето'!r2088-'[2]$ лето'!p2088-'[2]$ лето'!o2088-'[2]$ лето'!n2088-'[2]$ лето'!m2088-'[2]$ лето'!l2088+'[2]$ лето'!k2088+'[2]$ лето'!q2088+'[2]$ лето'!w2088+'[2]$ лето'!ac2088+'[2]$ лето'!ai2088+'[2]$ лето'!ao2088</f>
        <v>0</v>
      </c>
      <c r="I2088" s="109" t="n">
        <f aca="false">'[2]$ лето'!ay2088*1.1</f>
        <v>1811.92</v>
      </c>
    </row>
    <row r="2089" customFormat="false" ht="15" hidden="false" customHeight="false" outlineLevel="0" collapsed="false">
      <c r="A2089" s="115" t="s">
        <v>334</v>
      </c>
      <c r="B2089" s="115" t="s">
        <v>564</v>
      </c>
      <c r="C2089" s="116" t="s">
        <v>2662</v>
      </c>
      <c r="D2089" s="116"/>
      <c r="E2089" s="116"/>
      <c r="F2089" s="116"/>
      <c r="G2089" s="108" t="s">
        <v>520</v>
      </c>
      <c r="H2089" s="105" t="n">
        <f aca="false">'[2]$ лето'!j2089-'[2]$ лето'!au2089-'[2]$ лето'!at2089-'[2]$ лето'!as2089-'[2]$ лето'!ar2089-'[2]$ лето'!aq2089-'[2]$ лето'!ap2089-'[2]$ лето'!an2089-'[2]$ лето'!am2089-'[2]$ лето'!al2089-'[2]$ лето'!ak2089-'[2]$ лето'!aj2089-'[2]$ лето'!ah2089-'[2]$ лето'!ag2089-'[2]$ лето'!af2089-'[2]$ лето'!ae2089-'[2]$ лето'!ad2089-'[2]$ лето'!ab2089-'[2]$ лето'!aa2089-'[2]$ лето'!z2089-'[2]$ лето'!y2089-'[2]$ лето'!x2089-'[2]$ лето'!v2089-'[2]$ лето'!u2089-'[2]$ лето'!t2089-'[2]$ лето'!s2089-'[2]$ лето'!r2089-'[2]$ лето'!p2089-'[2]$ лето'!o2089-'[2]$ лето'!n2089-'[2]$ лето'!m2089-'[2]$ лето'!l2089+'[2]$ лето'!k2089+'[2]$ лето'!q2089+'[2]$ лето'!w2089+'[2]$ лето'!ac2089+'[2]$ лето'!ai2089+'[2]$ лето'!ao2089</f>
        <v>4</v>
      </c>
      <c r="I2089" s="109" t="n">
        <f aca="false">'[2]$ лето'!ay2089*1.1</f>
        <v>1874.4</v>
      </c>
      <c r="J2089" s="85" t="n">
        <v>2017</v>
      </c>
    </row>
    <row r="2090" customFormat="false" ht="15" hidden="true" customHeight="false" outlineLevel="0" collapsed="false">
      <c r="A2090" s="123" t="s">
        <v>335</v>
      </c>
      <c r="B2090" s="115" t="s">
        <v>991</v>
      </c>
      <c r="C2090" s="107" t="s">
        <v>2440</v>
      </c>
      <c r="D2090" s="107"/>
      <c r="E2090" s="107"/>
      <c r="F2090" s="107"/>
      <c r="G2090" s="108" t="s">
        <v>520</v>
      </c>
      <c r="H2090" s="105" t="n">
        <f aca="false">'[2]$ лето'!j2090-'[2]$ лето'!au2090-'[2]$ лето'!at2090-'[2]$ лето'!as2090-'[2]$ лето'!ar2090-'[2]$ лето'!aq2090-'[2]$ лето'!ap2090-'[2]$ лето'!an2090-'[2]$ лето'!am2090-'[2]$ лето'!al2090-'[2]$ лето'!ak2090-'[2]$ лето'!aj2090-'[2]$ лето'!ah2090-'[2]$ лето'!ag2090-'[2]$ лето'!af2090-'[2]$ лето'!ae2090-'[2]$ лето'!ad2090-'[2]$ лето'!ab2090-'[2]$ лето'!aa2090-'[2]$ лето'!z2090-'[2]$ лето'!y2090-'[2]$ лето'!x2090-'[2]$ лето'!v2090-'[2]$ лето'!u2090-'[2]$ лето'!t2090-'[2]$ лето'!s2090-'[2]$ лето'!r2090-'[2]$ лето'!p2090-'[2]$ лето'!o2090-'[2]$ лето'!n2090-'[2]$ лето'!m2090-'[2]$ лето'!l2090+'[2]$ лето'!k2090+'[2]$ лето'!q2090+'[2]$ лето'!w2090+'[2]$ лето'!ac2090+'[2]$ лето'!ai2090+'[2]$ лето'!ao2090</f>
        <v>0</v>
      </c>
      <c r="I2090" s="109" t="n">
        <f aca="false">'[2]$ лето'!ay2090*1.1</f>
        <v>3030.28</v>
      </c>
    </row>
    <row r="2091" customFormat="false" ht="15" hidden="true" customHeight="false" outlineLevel="0" collapsed="false">
      <c r="A2091" s="123" t="s">
        <v>335</v>
      </c>
      <c r="B2091" s="115" t="s">
        <v>568</v>
      </c>
      <c r="C2091" s="116" t="s">
        <v>2602</v>
      </c>
      <c r="D2091" s="116"/>
      <c r="E2091" s="116"/>
      <c r="F2091" s="116"/>
      <c r="G2091" s="108" t="s">
        <v>585</v>
      </c>
      <c r="H2091" s="105" t="n">
        <f aca="false">'[2]$ лето'!j2091-'[2]$ лето'!au2091-'[2]$ лето'!at2091-'[2]$ лето'!as2091-'[2]$ лето'!ar2091-'[2]$ лето'!aq2091-'[2]$ лето'!ap2091-'[2]$ лето'!an2091-'[2]$ лето'!am2091-'[2]$ лето'!al2091-'[2]$ лето'!ak2091-'[2]$ лето'!aj2091-'[2]$ лето'!ah2091-'[2]$ лето'!ag2091-'[2]$ лето'!af2091-'[2]$ лето'!ae2091-'[2]$ лето'!ad2091-'[2]$ лето'!ab2091-'[2]$ лето'!aa2091-'[2]$ лето'!z2091-'[2]$ лето'!y2091-'[2]$ лето'!x2091-'[2]$ лето'!v2091-'[2]$ лето'!u2091-'[2]$ лето'!t2091-'[2]$ лето'!s2091-'[2]$ лето'!r2091-'[2]$ лето'!p2091-'[2]$ лето'!o2091-'[2]$ лето'!n2091-'[2]$ лето'!m2091-'[2]$ лето'!l2091+'[2]$ лето'!k2091+'[2]$ лето'!q2091+'[2]$ лето'!w2091+'[2]$ лето'!ac2091+'[2]$ лето'!ai2091+'[2]$ лето'!ao2091</f>
        <v>0</v>
      </c>
      <c r="I2091" s="109" t="n">
        <f aca="false">'[2]$ лето'!ay2091*1.1</f>
        <v>2811.6</v>
      </c>
      <c r="J2091" s="85" t="n">
        <v>2017</v>
      </c>
    </row>
    <row r="2092" customFormat="false" ht="15" hidden="true" customHeight="false" outlineLevel="0" collapsed="false">
      <c r="A2092" s="123" t="s">
        <v>335</v>
      </c>
      <c r="B2092" s="119" t="s">
        <v>601</v>
      </c>
      <c r="C2092" s="115" t="s">
        <v>2663</v>
      </c>
      <c r="D2092" s="115"/>
      <c r="E2092" s="115"/>
      <c r="F2092" s="115"/>
      <c r="G2092" s="164"/>
      <c r="H2092" s="105" t="n">
        <f aca="false">'[2]$ лето'!j2092-'[2]$ лето'!au2092-'[2]$ лето'!at2092-'[2]$ лето'!as2092-'[2]$ лето'!ar2092-'[2]$ лето'!aq2092-'[2]$ лето'!ap2092-'[2]$ лето'!an2092-'[2]$ лето'!am2092-'[2]$ лето'!al2092-'[2]$ лето'!ak2092-'[2]$ лето'!aj2092-'[2]$ лето'!ah2092-'[2]$ лето'!ag2092-'[2]$ лето'!af2092-'[2]$ лето'!ae2092-'[2]$ лето'!ad2092-'[2]$ лето'!ab2092-'[2]$ лето'!aa2092-'[2]$ лето'!z2092-'[2]$ лето'!y2092-'[2]$ лето'!x2092-'[2]$ лето'!v2092-'[2]$ лето'!u2092-'[2]$ лето'!t2092-'[2]$ лето'!s2092-'[2]$ лето'!r2092-'[2]$ лето'!p2092-'[2]$ лето'!o2092-'[2]$ лето'!n2092-'[2]$ лето'!m2092-'[2]$ лето'!l2092+'[2]$ лето'!k2092+'[2]$ лето'!q2092+'[2]$ лето'!w2092+'[2]$ лето'!ac2092+'[2]$ лето'!ai2092+'[2]$ лето'!ao2092</f>
        <v>0</v>
      </c>
      <c r="I2092" s="109" t="n">
        <f aca="false">'[2]$ лето'!ay2092*1.1</f>
        <v>4686</v>
      </c>
      <c r="J2092" s="165"/>
    </row>
    <row r="2093" customFormat="false" ht="15" hidden="true" customHeight="false" outlineLevel="0" collapsed="false">
      <c r="A2093" s="123" t="s">
        <v>335</v>
      </c>
      <c r="B2093" s="115" t="s">
        <v>606</v>
      </c>
      <c r="C2093" s="107" t="s">
        <v>2664</v>
      </c>
      <c r="D2093" s="107"/>
      <c r="E2093" s="107"/>
      <c r="F2093" s="107"/>
      <c r="G2093" s="108"/>
      <c r="H2093" s="105" t="n">
        <f aca="false">'[2]$ лето'!j2093-'[2]$ лето'!au2093-'[2]$ лето'!at2093-'[2]$ лето'!as2093-'[2]$ лето'!ar2093-'[2]$ лето'!aq2093-'[2]$ лето'!ap2093-'[2]$ лето'!an2093-'[2]$ лето'!am2093-'[2]$ лето'!al2093-'[2]$ лето'!ak2093-'[2]$ лето'!aj2093-'[2]$ лето'!ah2093-'[2]$ лето'!ag2093-'[2]$ лето'!af2093-'[2]$ лето'!ae2093-'[2]$ лето'!ad2093-'[2]$ лето'!ab2093-'[2]$ лето'!aa2093-'[2]$ лето'!z2093-'[2]$ лето'!y2093-'[2]$ лето'!x2093-'[2]$ лето'!v2093-'[2]$ лето'!u2093-'[2]$ лето'!t2093-'[2]$ лето'!s2093-'[2]$ лето'!r2093-'[2]$ лето'!p2093-'[2]$ лето'!o2093-'[2]$ лето'!n2093-'[2]$ лето'!m2093-'[2]$ лето'!l2093+'[2]$ лето'!k2093+'[2]$ лето'!q2093+'[2]$ лето'!w2093+'[2]$ лето'!ac2093+'[2]$ лето'!ai2093+'[2]$ лето'!ao2093</f>
        <v>0</v>
      </c>
      <c r="I2093" s="109" t="n">
        <f aca="false">'[2]$ лето'!ay2093*1.1</f>
        <v>3217.72</v>
      </c>
    </row>
    <row r="2094" customFormat="false" ht="15" hidden="true" customHeight="false" outlineLevel="0" collapsed="false">
      <c r="A2094" s="123" t="s">
        <v>335</v>
      </c>
      <c r="B2094" s="115" t="s">
        <v>666</v>
      </c>
      <c r="C2094" s="107" t="s">
        <v>2579</v>
      </c>
      <c r="D2094" s="107"/>
      <c r="E2094" s="107"/>
      <c r="F2094" s="107"/>
      <c r="G2094" s="108"/>
      <c r="H2094" s="105" t="n">
        <f aca="false">'[2]$ лето'!j2094-'[2]$ лето'!au2094-'[2]$ лето'!at2094-'[2]$ лето'!as2094-'[2]$ лето'!ar2094-'[2]$ лето'!aq2094-'[2]$ лето'!ap2094-'[2]$ лето'!an2094-'[2]$ лето'!am2094-'[2]$ лето'!al2094-'[2]$ лето'!ak2094-'[2]$ лето'!aj2094-'[2]$ лето'!ah2094-'[2]$ лето'!ag2094-'[2]$ лето'!af2094-'[2]$ лето'!ae2094-'[2]$ лето'!ad2094-'[2]$ лето'!ab2094-'[2]$ лето'!aa2094-'[2]$ лето'!z2094-'[2]$ лето'!y2094-'[2]$ лето'!x2094-'[2]$ лето'!v2094-'[2]$ лето'!u2094-'[2]$ лето'!t2094-'[2]$ лето'!s2094-'[2]$ лето'!r2094-'[2]$ лето'!p2094-'[2]$ лето'!o2094-'[2]$ лето'!n2094-'[2]$ лето'!m2094-'[2]$ лето'!l2094+'[2]$ лето'!k2094+'[2]$ лето'!q2094+'[2]$ лето'!w2094+'[2]$ лето'!ac2094+'[2]$ лето'!ai2094+'[2]$ лето'!ao2094</f>
        <v>0</v>
      </c>
      <c r="I2094" s="109" t="n">
        <f aca="false">'[2]$ лето'!ay2094*1.1</f>
        <v>3467.64</v>
      </c>
    </row>
    <row r="2095" customFormat="false" ht="15" hidden="true" customHeight="false" outlineLevel="0" collapsed="false">
      <c r="A2095" s="123" t="s">
        <v>335</v>
      </c>
      <c r="B2095" s="115" t="s">
        <v>574</v>
      </c>
      <c r="C2095" s="107" t="s">
        <v>2665</v>
      </c>
      <c r="D2095" s="107"/>
      <c r="E2095" s="107"/>
      <c r="F2095" s="107"/>
      <c r="G2095" s="108" t="s">
        <v>576</v>
      </c>
      <c r="H2095" s="105" t="n">
        <f aca="false">'[2]$ лето'!j2095-'[2]$ лето'!au2095-'[2]$ лето'!at2095-'[2]$ лето'!as2095-'[2]$ лето'!ar2095-'[2]$ лето'!aq2095-'[2]$ лето'!ap2095-'[2]$ лето'!an2095-'[2]$ лето'!am2095-'[2]$ лето'!al2095-'[2]$ лето'!ak2095-'[2]$ лето'!aj2095-'[2]$ лето'!ah2095-'[2]$ лето'!ag2095-'[2]$ лето'!af2095-'[2]$ лето'!ae2095-'[2]$ лето'!ad2095-'[2]$ лето'!ab2095-'[2]$ лето'!aa2095-'[2]$ лето'!z2095-'[2]$ лето'!y2095-'[2]$ лето'!x2095-'[2]$ лето'!v2095-'[2]$ лето'!u2095-'[2]$ лето'!t2095-'[2]$ лето'!s2095-'[2]$ лето'!r2095-'[2]$ лето'!p2095-'[2]$ лето'!o2095-'[2]$ лето'!n2095-'[2]$ лето'!m2095-'[2]$ лето'!l2095+'[2]$ лето'!k2095+'[2]$ лето'!q2095+'[2]$ лето'!w2095+'[2]$ лето'!ac2095+'[2]$ лето'!ai2095+'[2]$ лето'!ao2095</f>
        <v>0</v>
      </c>
      <c r="I2095" s="109" t="n">
        <f aca="false">'[2]$ лето'!ay2095*1.1</f>
        <v>2592.92</v>
      </c>
      <c r="J2095" s="85" t="n">
        <v>2018</v>
      </c>
    </row>
    <row r="2096" customFormat="false" ht="15" hidden="true" customHeight="false" outlineLevel="0" collapsed="false">
      <c r="A2096" s="115" t="s">
        <v>335</v>
      </c>
      <c r="B2096" s="115" t="s">
        <v>583</v>
      </c>
      <c r="C2096" s="107" t="s">
        <v>2506</v>
      </c>
      <c r="D2096" s="107"/>
      <c r="E2096" s="107"/>
      <c r="F2096" s="107"/>
      <c r="G2096" s="108"/>
      <c r="H2096" s="105" t="n">
        <f aca="false">'[2]$ лето'!j2096-'[2]$ лето'!au2096-'[2]$ лето'!at2096-'[2]$ лето'!as2096-'[2]$ лето'!ar2096-'[2]$ лето'!aq2096-'[2]$ лето'!ap2096-'[2]$ лето'!an2096-'[2]$ лето'!am2096-'[2]$ лето'!al2096-'[2]$ лето'!ak2096-'[2]$ лето'!aj2096-'[2]$ лето'!ah2096-'[2]$ лето'!ag2096-'[2]$ лето'!af2096-'[2]$ лето'!ae2096-'[2]$ лето'!ad2096-'[2]$ лето'!ab2096-'[2]$ лето'!aa2096-'[2]$ лето'!z2096-'[2]$ лето'!y2096-'[2]$ лето'!x2096-'[2]$ лето'!v2096-'[2]$ лето'!u2096-'[2]$ лето'!t2096-'[2]$ лето'!s2096-'[2]$ лето'!r2096-'[2]$ лето'!p2096-'[2]$ лето'!o2096-'[2]$ лето'!n2096-'[2]$ лето'!m2096-'[2]$ лето'!l2096+'[2]$ лето'!k2096+'[2]$ лето'!q2096+'[2]$ лето'!w2096+'[2]$ лето'!ac2096+'[2]$ лето'!ai2096+'[2]$ лето'!ao2096</f>
        <v>0</v>
      </c>
      <c r="I2096" s="109" t="n">
        <f aca="false">'[2]$ лето'!ay2096*1.1</f>
        <v>2967.8</v>
      </c>
      <c r="J2096" s="85" t="n">
        <v>2017</v>
      </c>
    </row>
    <row r="2097" customFormat="false" ht="15" hidden="true" customHeight="false" outlineLevel="0" collapsed="false">
      <c r="A2097" s="115" t="s">
        <v>335</v>
      </c>
      <c r="B2097" s="115" t="s">
        <v>583</v>
      </c>
      <c r="C2097" s="116" t="s">
        <v>2524</v>
      </c>
      <c r="D2097" s="116"/>
      <c r="E2097" s="116"/>
      <c r="F2097" s="116"/>
      <c r="G2097" s="108"/>
      <c r="H2097" s="105" t="n">
        <f aca="false">'[2]$ лето'!j2097-'[2]$ лето'!au2097-'[2]$ лето'!at2097-'[2]$ лето'!as2097-'[2]$ лето'!ar2097-'[2]$ лето'!aq2097-'[2]$ лето'!ap2097-'[2]$ лето'!an2097-'[2]$ лето'!am2097-'[2]$ лето'!al2097-'[2]$ лето'!ak2097-'[2]$ лето'!aj2097-'[2]$ лето'!ah2097-'[2]$ лето'!ag2097-'[2]$ лето'!af2097-'[2]$ лето'!ae2097-'[2]$ лето'!ad2097-'[2]$ лето'!ab2097-'[2]$ лето'!aa2097-'[2]$ лето'!z2097-'[2]$ лето'!y2097-'[2]$ лето'!x2097-'[2]$ лето'!v2097-'[2]$ лето'!u2097-'[2]$ лето'!t2097-'[2]$ лето'!s2097-'[2]$ лето'!r2097-'[2]$ лето'!p2097-'[2]$ лето'!o2097-'[2]$ лето'!n2097-'[2]$ лето'!m2097-'[2]$ лето'!l2097+'[2]$ лето'!k2097+'[2]$ лето'!q2097+'[2]$ лето'!w2097+'[2]$ лето'!ac2097+'[2]$ лето'!ai2097+'[2]$ лето'!ao2097</f>
        <v>0</v>
      </c>
      <c r="I2097" s="109" t="n">
        <f aca="false">'[2]$ лето'!ay2097*1.1</f>
        <v>2811.6</v>
      </c>
      <c r="J2097" s="113"/>
    </row>
    <row r="2098" customFormat="false" ht="15" hidden="false" customHeight="false" outlineLevel="0" collapsed="false">
      <c r="A2098" s="115" t="s">
        <v>335</v>
      </c>
      <c r="B2098" s="115" t="s">
        <v>593</v>
      </c>
      <c r="C2098" s="116" t="s">
        <v>2666</v>
      </c>
      <c r="D2098" s="116"/>
      <c r="E2098" s="116"/>
      <c r="F2098" s="116"/>
      <c r="G2098" s="108" t="s">
        <v>663</v>
      </c>
      <c r="H2098" s="105" t="n">
        <f aca="false">'[2]$ лето'!j2098-'[2]$ лето'!au2098-'[2]$ лето'!at2098-'[2]$ лето'!as2098-'[2]$ лето'!ar2098-'[2]$ лето'!aq2098-'[2]$ лето'!ap2098-'[2]$ лето'!an2098-'[2]$ лето'!am2098-'[2]$ лето'!al2098-'[2]$ лето'!ak2098-'[2]$ лето'!aj2098-'[2]$ лето'!ah2098-'[2]$ лето'!ag2098-'[2]$ лето'!af2098-'[2]$ лето'!ae2098-'[2]$ лето'!ad2098-'[2]$ лето'!ab2098-'[2]$ лето'!aa2098-'[2]$ лето'!z2098-'[2]$ лето'!y2098-'[2]$ лето'!x2098-'[2]$ лето'!v2098-'[2]$ лето'!u2098-'[2]$ лето'!t2098-'[2]$ лето'!s2098-'[2]$ лето'!r2098-'[2]$ лето'!p2098-'[2]$ лето'!o2098-'[2]$ лето'!n2098-'[2]$ лето'!m2098-'[2]$ лето'!l2098+'[2]$ лето'!k2098+'[2]$ лето'!q2098+'[2]$ лето'!w2098+'[2]$ лето'!ac2098+'[2]$ лето'!ai2098+'[2]$ лето'!ao2098</f>
        <v>8</v>
      </c>
      <c r="I2098" s="109" t="n">
        <f aca="false">'[2]$ лето'!ay2098*1.1</f>
        <v>4061.2</v>
      </c>
      <c r="J2098" s="113" t="n">
        <v>2017</v>
      </c>
    </row>
    <row r="2099" customFormat="false" ht="15" hidden="true" customHeight="false" outlineLevel="0" collapsed="false">
      <c r="A2099" s="115" t="s">
        <v>335</v>
      </c>
      <c r="B2099" s="115" t="s">
        <v>833</v>
      </c>
      <c r="C2099" s="116" t="s">
        <v>2667</v>
      </c>
      <c r="D2099" s="116"/>
      <c r="E2099" s="116"/>
      <c r="F2099" s="116"/>
      <c r="G2099" s="108"/>
      <c r="H2099" s="105" t="n">
        <f aca="false">'[2]$ лето'!j2099-'[2]$ лето'!au2099-'[2]$ лето'!at2099-'[2]$ лето'!as2099-'[2]$ лето'!ar2099-'[2]$ лето'!aq2099-'[2]$ лето'!ap2099-'[2]$ лето'!an2099-'[2]$ лето'!am2099-'[2]$ лето'!al2099-'[2]$ лето'!ak2099-'[2]$ лето'!aj2099-'[2]$ лето'!ah2099-'[2]$ лето'!ag2099-'[2]$ лето'!af2099-'[2]$ лето'!ae2099-'[2]$ лето'!ad2099-'[2]$ лето'!ab2099-'[2]$ лето'!aa2099-'[2]$ лето'!z2099-'[2]$ лето'!y2099-'[2]$ лето'!x2099-'[2]$ лето'!v2099-'[2]$ лето'!u2099-'[2]$ лето'!t2099-'[2]$ лето'!s2099-'[2]$ лето'!r2099-'[2]$ лето'!p2099-'[2]$ лето'!o2099-'[2]$ лето'!n2099-'[2]$ лето'!m2099-'[2]$ лето'!l2099+'[2]$ лето'!k2099+'[2]$ лето'!q2099+'[2]$ лето'!w2099+'[2]$ лето'!ac2099+'[2]$ лето'!ai2099+'[2]$ лето'!ao2099</f>
        <v>0</v>
      </c>
      <c r="I2099" s="109" t="n">
        <f aca="false">'[2]$ лето'!ay2099*1.1</f>
        <v>2061.84</v>
      </c>
      <c r="J2099" s="113"/>
    </row>
    <row r="2100" customFormat="false" ht="15" hidden="true" customHeight="false" outlineLevel="0" collapsed="false">
      <c r="A2100" s="115" t="s">
        <v>335</v>
      </c>
      <c r="B2100" s="115" t="s">
        <v>623</v>
      </c>
      <c r="C2100" s="116" t="s">
        <v>2668</v>
      </c>
      <c r="D2100" s="116"/>
      <c r="E2100" s="116"/>
      <c r="F2100" s="116"/>
      <c r="G2100" s="108"/>
      <c r="H2100" s="105" t="n">
        <f aca="false">'[2]$ лето'!j2100-'[2]$ лето'!au2100-'[2]$ лето'!at2100-'[2]$ лето'!as2100-'[2]$ лето'!ar2100-'[2]$ лето'!aq2100-'[2]$ лето'!ap2100-'[2]$ лето'!an2100-'[2]$ лето'!am2100-'[2]$ лето'!al2100-'[2]$ лето'!ak2100-'[2]$ лето'!aj2100-'[2]$ лето'!ah2100-'[2]$ лето'!ag2100-'[2]$ лето'!af2100-'[2]$ лето'!ae2100-'[2]$ лето'!ad2100-'[2]$ лето'!ab2100-'[2]$ лето'!aa2100-'[2]$ лето'!z2100-'[2]$ лето'!y2100-'[2]$ лето'!x2100-'[2]$ лето'!v2100-'[2]$ лето'!u2100-'[2]$ лето'!t2100-'[2]$ лето'!s2100-'[2]$ лето'!r2100-'[2]$ лето'!p2100-'[2]$ лето'!o2100-'[2]$ лето'!n2100-'[2]$ лето'!m2100-'[2]$ лето'!l2100+'[2]$ лето'!k2100+'[2]$ лето'!q2100+'[2]$ лето'!w2100+'[2]$ лето'!ac2100+'[2]$ лето'!ai2100+'[2]$ лето'!ao2100</f>
        <v>0</v>
      </c>
      <c r="I2100" s="109" t="n">
        <f aca="false">'[2]$ лето'!ay2100*1.1</f>
        <v>2155.56</v>
      </c>
      <c r="J2100" s="113"/>
    </row>
    <row r="2101" customFormat="false" ht="15" hidden="false" customHeight="false" outlineLevel="0" collapsed="false">
      <c r="A2101" s="115" t="s">
        <v>335</v>
      </c>
      <c r="B2101" s="115" t="s">
        <v>564</v>
      </c>
      <c r="C2101" s="116" t="s">
        <v>2518</v>
      </c>
      <c r="D2101" s="116"/>
      <c r="E2101" s="116"/>
      <c r="F2101" s="116"/>
      <c r="G2101" s="108" t="s">
        <v>520</v>
      </c>
      <c r="H2101" s="105" t="n">
        <f aca="false">'[2]$ лето'!j2101-'[2]$ лето'!au2101-'[2]$ лето'!at2101-'[2]$ лето'!as2101-'[2]$ лето'!ar2101-'[2]$ лето'!aq2101-'[2]$ лето'!ap2101-'[2]$ лето'!an2101-'[2]$ лето'!am2101-'[2]$ лето'!al2101-'[2]$ лето'!ak2101-'[2]$ лето'!aj2101-'[2]$ лето'!ah2101-'[2]$ лето'!ag2101-'[2]$ лето'!af2101-'[2]$ лето'!ae2101-'[2]$ лето'!ad2101-'[2]$ лето'!ab2101-'[2]$ лето'!aa2101-'[2]$ лето'!z2101-'[2]$ лето'!y2101-'[2]$ лето'!x2101-'[2]$ лето'!v2101-'[2]$ лето'!u2101-'[2]$ лето'!t2101-'[2]$ лето'!s2101-'[2]$ лето'!r2101-'[2]$ лето'!p2101-'[2]$ лето'!o2101-'[2]$ лето'!n2101-'[2]$ лето'!m2101-'[2]$ лето'!l2101+'[2]$ лето'!k2101+'[2]$ лето'!q2101+'[2]$ лето'!w2101+'[2]$ лето'!ac2101+'[2]$ лето'!ai2101+'[2]$ лето'!ao2101</f>
        <v>4</v>
      </c>
      <c r="I2101" s="109" t="n">
        <f aca="false">'[2]$ лето'!ay2101*1.1</f>
        <v>2030.6</v>
      </c>
      <c r="J2101" s="113" t="n">
        <v>2017</v>
      </c>
    </row>
    <row r="2102" customFormat="false" ht="15" hidden="true" customHeight="false" outlineLevel="0" collapsed="false">
      <c r="A2102" s="115" t="s">
        <v>335</v>
      </c>
      <c r="B2102" s="115" t="s">
        <v>1028</v>
      </c>
      <c r="C2102" s="116" t="s">
        <v>2669</v>
      </c>
      <c r="D2102" s="116"/>
      <c r="E2102" s="116"/>
      <c r="F2102" s="116"/>
      <c r="G2102" s="108" t="s">
        <v>876</v>
      </c>
      <c r="H2102" s="105" t="n">
        <f aca="false">'[2]$ лето'!j2102-'[2]$ лето'!au2102-'[2]$ лето'!at2102-'[2]$ лето'!as2102-'[2]$ лето'!ar2102-'[2]$ лето'!aq2102-'[2]$ лето'!ap2102-'[2]$ лето'!an2102-'[2]$ лето'!am2102-'[2]$ лето'!al2102-'[2]$ лето'!ak2102-'[2]$ лето'!aj2102-'[2]$ лето'!ah2102-'[2]$ лето'!ag2102-'[2]$ лето'!af2102-'[2]$ лето'!ae2102-'[2]$ лето'!ad2102-'[2]$ лето'!ab2102-'[2]$ лето'!aa2102-'[2]$ лето'!z2102-'[2]$ лето'!y2102-'[2]$ лето'!x2102-'[2]$ лето'!v2102-'[2]$ лето'!u2102-'[2]$ лето'!t2102-'[2]$ лето'!s2102-'[2]$ лето'!r2102-'[2]$ лето'!p2102-'[2]$ лето'!o2102-'[2]$ лето'!n2102-'[2]$ лето'!m2102-'[2]$ лето'!l2102+'[2]$ лето'!k2102+'[2]$ лето'!q2102+'[2]$ лето'!w2102+'[2]$ лето'!ac2102+'[2]$ лето'!ai2102+'[2]$ лето'!ao2102</f>
        <v>0</v>
      </c>
      <c r="I2102" s="109" t="n">
        <f aca="false">'[2]$ лето'!ay2102*1.1</f>
        <v>3280.2</v>
      </c>
      <c r="J2102" s="113"/>
    </row>
    <row r="2103" customFormat="false" ht="15" hidden="false" customHeight="false" outlineLevel="0" collapsed="false">
      <c r="A2103" s="115" t="s">
        <v>341</v>
      </c>
      <c r="B2103" s="115" t="s">
        <v>568</v>
      </c>
      <c r="C2103" s="107" t="s">
        <v>2670</v>
      </c>
      <c r="D2103" s="107"/>
      <c r="E2103" s="116"/>
      <c r="F2103" s="116"/>
      <c r="G2103" s="108" t="s">
        <v>585</v>
      </c>
      <c r="H2103" s="105" t="n">
        <f aca="false">'[2]$ лето'!j2103-'[2]$ лето'!au2103-'[2]$ лето'!at2103-'[2]$ лето'!as2103-'[2]$ лето'!ar2103-'[2]$ лето'!aq2103-'[2]$ лето'!ap2103-'[2]$ лето'!an2103-'[2]$ лето'!am2103-'[2]$ лето'!al2103-'[2]$ лето'!ak2103-'[2]$ лето'!aj2103-'[2]$ лето'!ah2103-'[2]$ лето'!ag2103-'[2]$ лето'!af2103-'[2]$ лето'!ae2103-'[2]$ лето'!ad2103-'[2]$ лето'!ab2103-'[2]$ лето'!aa2103-'[2]$ лето'!z2103-'[2]$ лето'!y2103-'[2]$ лето'!x2103-'[2]$ лето'!v2103-'[2]$ лето'!u2103-'[2]$ лето'!t2103-'[2]$ лето'!s2103-'[2]$ лето'!r2103-'[2]$ лето'!p2103-'[2]$ лето'!o2103-'[2]$ лето'!n2103-'[2]$ лето'!m2103-'[2]$ лето'!l2103+'[2]$ лето'!k2103+'[2]$ лето'!q2103+'[2]$ лето'!w2103+'[2]$ лето'!ac2103+'[2]$ лето'!ai2103+'[2]$ лето'!ao2103</f>
        <v>2</v>
      </c>
      <c r="I2103" s="109" t="n">
        <f aca="false">'[2]$ лето'!ay2103*1.1</f>
        <v>2624.16</v>
      </c>
      <c r="J2103" s="85" t="n">
        <v>2017</v>
      </c>
    </row>
    <row r="2104" customFormat="false" ht="15" hidden="false" customHeight="false" outlineLevel="0" collapsed="false">
      <c r="A2104" s="115" t="s">
        <v>341</v>
      </c>
      <c r="B2104" s="115" t="s">
        <v>601</v>
      </c>
      <c r="C2104" s="107" t="s">
        <v>2671</v>
      </c>
      <c r="D2104" s="107"/>
      <c r="E2104" s="116"/>
      <c r="F2104" s="116"/>
      <c r="G2104" s="108" t="s">
        <v>576</v>
      </c>
      <c r="H2104" s="105" t="n">
        <f aca="false">'[2]$ лето'!j2104-'[2]$ лето'!au2104-'[2]$ лето'!at2104-'[2]$ лето'!as2104-'[2]$ лето'!ar2104-'[2]$ лето'!aq2104-'[2]$ лето'!ap2104-'[2]$ лето'!an2104-'[2]$ лето'!am2104-'[2]$ лето'!al2104-'[2]$ лето'!ak2104-'[2]$ лето'!aj2104-'[2]$ лето'!ah2104-'[2]$ лето'!ag2104-'[2]$ лето'!af2104-'[2]$ лето'!ae2104-'[2]$ лето'!ad2104-'[2]$ лето'!ab2104-'[2]$ лето'!aa2104-'[2]$ лето'!z2104-'[2]$ лето'!y2104-'[2]$ лето'!x2104-'[2]$ лето'!v2104-'[2]$ лето'!u2104-'[2]$ лето'!t2104-'[2]$ лето'!s2104-'[2]$ лето'!r2104-'[2]$ лето'!p2104-'[2]$ лето'!o2104-'[2]$ лето'!n2104-'[2]$ лето'!m2104-'[2]$ лето'!l2104+'[2]$ лето'!k2104+'[2]$ лето'!q2104+'[2]$ лето'!w2104+'[2]$ лето'!ac2104+'[2]$ лето'!ai2104+'[2]$ лето'!ao2104</f>
        <v>2</v>
      </c>
      <c r="I2104" s="109" t="n">
        <f aca="false">'[2]$ лето'!ay2104*1.1</f>
        <v>3436.4</v>
      </c>
      <c r="J2104" s="85" t="n">
        <v>2016</v>
      </c>
    </row>
    <row r="2105" customFormat="false" ht="15" hidden="true" customHeight="false" outlineLevel="0" collapsed="false">
      <c r="A2105" s="115" t="s">
        <v>341</v>
      </c>
      <c r="B2105" s="115" t="s">
        <v>601</v>
      </c>
      <c r="C2105" s="107" t="s">
        <v>2672</v>
      </c>
      <c r="D2105" s="107"/>
      <c r="E2105" s="107"/>
      <c r="F2105" s="107"/>
      <c r="G2105" s="108"/>
      <c r="H2105" s="105" t="n">
        <f aca="false">'[2]$ лето'!j2105-'[2]$ лето'!au2105-'[2]$ лето'!at2105-'[2]$ лето'!as2105-'[2]$ лето'!ar2105-'[2]$ лето'!aq2105-'[2]$ лето'!ap2105-'[2]$ лето'!an2105-'[2]$ лето'!am2105-'[2]$ лето'!al2105-'[2]$ лето'!ak2105-'[2]$ лето'!aj2105-'[2]$ лето'!ah2105-'[2]$ лето'!ag2105-'[2]$ лето'!af2105-'[2]$ лето'!ae2105-'[2]$ лето'!ad2105-'[2]$ лето'!ab2105-'[2]$ лето'!aa2105-'[2]$ лето'!z2105-'[2]$ лето'!y2105-'[2]$ лето'!x2105-'[2]$ лето'!v2105-'[2]$ лето'!u2105-'[2]$ лето'!t2105-'[2]$ лето'!s2105-'[2]$ лето'!r2105-'[2]$ лето'!p2105-'[2]$ лето'!o2105-'[2]$ лето'!n2105-'[2]$ лето'!m2105-'[2]$ лето'!l2105+'[2]$ лето'!k2105+'[2]$ лето'!q2105+'[2]$ лето'!w2105+'[2]$ лето'!ac2105+'[2]$ лето'!ai2105+'[2]$ лето'!ao2105</f>
        <v>0</v>
      </c>
      <c r="I2105" s="109" t="n">
        <f aca="false">'[2]$ лето'!ay2105*1.1</f>
        <v>3592.6</v>
      </c>
    </row>
    <row r="2106" customFormat="false" ht="15" hidden="true" customHeight="false" outlineLevel="0" collapsed="false">
      <c r="A2106" s="115" t="s">
        <v>341</v>
      </c>
      <c r="B2106" s="115" t="s">
        <v>741</v>
      </c>
      <c r="C2106" s="107" t="s">
        <v>2673</v>
      </c>
      <c r="D2106" s="107"/>
      <c r="E2106" s="107"/>
      <c r="F2106" s="107"/>
      <c r="G2106" s="108" t="s">
        <v>1954</v>
      </c>
      <c r="H2106" s="105" t="n">
        <f aca="false">'[2]$ лето'!j2106-'[2]$ лето'!au2106-'[2]$ лето'!at2106-'[2]$ лето'!as2106-'[2]$ лето'!ar2106-'[2]$ лето'!aq2106-'[2]$ лето'!ap2106-'[2]$ лето'!an2106-'[2]$ лето'!am2106-'[2]$ лето'!al2106-'[2]$ лето'!ak2106-'[2]$ лето'!aj2106-'[2]$ лето'!ah2106-'[2]$ лето'!ag2106-'[2]$ лето'!af2106-'[2]$ лето'!ae2106-'[2]$ лето'!ad2106-'[2]$ лето'!ab2106-'[2]$ лето'!aa2106-'[2]$ лето'!z2106-'[2]$ лето'!y2106-'[2]$ лето'!x2106-'[2]$ лето'!v2106-'[2]$ лето'!u2106-'[2]$ лето'!t2106-'[2]$ лето'!s2106-'[2]$ лето'!r2106-'[2]$ лето'!p2106-'[2]$ лето'!o2106-'[2]$ лето'!n2106-'[2]$ лето'!m2106-'[2]$ лето'!l2106+'[2]$ лето'!k2106+'[2]$ лето'!q2106+'[2]$ лето'!w2106+'[2]$ лето'!ac2106+'[2]$ лето'!ai2106+'[2]$ лето'!ao2106</f>
        <v>0</v>
      </c>
      <c r="I2106" s="109" t="n">
        <f aca="false">'[2]$ лето'!ay2106*1.1</f>
        <v>2905.32</v>
      </c>
    </row>
    <row r="2107" customFormat="false" ht="15" hidden="false" customHeight="false" outlineLevel="0" collapsed="false">
      <c r="A2107" s="115" t="s">
        <v>341</v>
      </c>
      <c r="B2107" s="115" t="s">
        <v>1130</v>
      </c>
      <c r="C2107" s="107" t="s">
        <v>2674</v>
      </c>
      <c r="D2107" s="107"/>
      <c r="E2107" s="116"/>
      <c r="F2107" s="116"/>
      <c r="G2107" s="108"/>
      <c r="H2107" s="105" t="n">
        <f aca="false">'[2]$ лето'!j2107-'[2]$ лето'!au2107-'[2]$ лето'!at2107-'[2]$ лето'!as2107-'[2]$ лето'!ar2107-'[2]$ лето'!aq2107-'[2]$ лето'!ap2107-'[2]$ лето'!an2107-'[2]$ лето'!am2107-'[2]$ лето'!al2107-'[2]$ лето'!ak2107-'[2]$ лето'!aj2107-'[2]$ лето'!ah2107-'[2]$ лето'!ag2107-'[2]$ лето'!af2107-'[2]$ лето'!ae2107-'[2]$ лето'!ad2107-'[2]$ лето'!ab2107-'[2]$ лето'!aa2107-'[2]$ лето'!z2107-'[2]$ лето'!y2107-'[2]$ лето'!x2107-'[2]$ лето'!v2107-'[2]$ лето'!u2107-'[2]$ лето'!t2107-'[2]$ лето'!s2107-'[2]$ лето'!r2107-'[2]$ лето'!p2107-'[2]$ лето'!o2107-'[2]$ лето'!n2107-'[2]$ лето'!m2107-'[2]$ лето'!l2107+'[2]$ лето'!k2107+'[2]$ лето'!q2107+'[2]$ лето'!w2107+'[2]$ лето'!ac2107+'[2]$ лето'!ai2107+'[2]$ лето'!ao2107</f>
        <v>2</v>
      </c>
      <c r="I2107" s="109" t="n">
        <f aca="false">'[2]$ лето'!ay2107*1.1</f>
        <v>1718.2</v>
      </c>
    </row>
    <row r="2108" customFormat="false" ht="15" hidden="false" customHeight="false" outlineLevel="0" collapsed="false">
      <c r="A2108" s="115" t="s">
        <v>341</v>
      </c>
      <c r="B2108" s="115" t="s">
        <v>666</v>
      </c>
      <c r="C2108" s="116" t="s">
        <v>2675</v>
      </c>
      <c r="D2108" s="116"/>
      <c r="E2108" s="116"/>
      <c r="F2108" s="116"/>
      <c r="G2108" s="108" t="s">
        <v>663</v>
      </c>
      <c r="H2108" s="105" t="n">
        <f aca="false">'[2]$ лето'!j2108-'[2]$ лето'!au2108-'[2]$ лето'!at2108-'[2]$ лето'!as2108-'[2]$ лето'!ar2108-'[2]$ лето'!aq2108-'[2]$ лето'!ap2108-'[2]$ лето'!an2108-'[2]$ лето'!am2108-'[2]$ лето'!al2108-'[2]$ лето'!ak2108-'[2]$ лето'!aj2108-'[2]$ лето'!ah2108-'[2]$ лето'!ag2108-'[2]$ лето'!af2108-'[2]$ лето'!ae2108-'[2]$ лето'!ad2108-'[2]$ лето'!ab2108-'[2]$ лето'!aa2108-'[2]$ лето'!z2108-'[2]$ лето'!y2108-'[2]$ лето'!x2108-'[2]$ лето'!v2108-'[2]$ лето'!u2108-'[2]$ лето'!t2108-'[2]$ лето'!s2108-'[2]$ лето'!r2108-'[2]$ лето'!p2108-'[2]$ лето'!o2108-'[2]$ лето'!n2108-'[2]$ лето'!m2108-'[2]$ лето'!l2108+'[2]$ лето'!k2108+'[2]$ лето'!q2108+'[2]$ лето'!w2108+'[2]$ лето'!ac2108+'[2]$ лето'!ai2108+'[2]$ лето'!ao2108</f>
        <v>4</v>
      </c>
      <c r="I2108" s="109" t="n">
        <f aca="false">'[2]$ лето'!ay2108*1.1</f>
        <v>3280.2</v>
      </c>
    </row>
    <row r="2109" customFormat="false" ht="15" hidden="true" customHeight="false" outlineLevel="0" collapsed="false">
      <c r="A2109" s="115" t="s">
        <v>341</v>
      </c>
      <c r="B2109" s="115" t="s">
        <v>574</v>
      </c>
      <c r="C2109" s="107" t="s">
        <v>2676</v>
      </c>
      <c r="D2109" s="107"/>
      <c r="E2109" s="107"/>
      <c r="F2109" s="107"/>
      <c r="G2109" s="108" t="s">
        <v>576</v>
      </c>
      <c r="H2109" s="105" t="n">
        <f aca="false">'[2]$ лето'!j2109-'[2]$ лето'!au2109-'[2]$ лето'!at2109-'[2]$ лето'!as2109-'[2]$ лето'!ar2109-'[2]$ лето'!aq2109-'[2]$ лето'!ap2109-'[2]$ лето'!an2109-'[2]$ лето'!am2109-'[2]$ лето'!al2109-'[2]$ лето'!ak2109-'[2]$ лето'!aj2109-'[2]$ лето'!ah2109-'[2]$ лето'!ag2109-'[2]$ лето'!af2109-'[2]$ лето'!ae2109-'[2]$ лето'!ad2109-'[2]$ лето'!ab2109-'[2]$ лето'!aa2109-'[2]$ лето'!z2109-'[2]$ лето'!y2109-'[2]$ лето'!x2109-'[2]$ лето'!v2109-'[2]$ лето'!u2109-'[2]$ лето'!t2109-'[2]$ лето'!s2109-'[2]$ лето'!r2109-'[2]$ лето'!p2109-'[2]$ лето'!o2109-'[2]$ лето'!n2109-'[2]$ лето'!m2109-'[2]$ лето'!l2109+'[2]$ лето'!k2109+'[2]$ лето'!q2109+'[2]$ лето'!w2109+'[2]$ лето'!ac2109+'[2]$ лето'!ai2109+'[2]$ лето'!ao2109</f>
        <v>0</v>
      </c>
      <c r="I2109" s="109" t="n">
        <f aca="false">'[2]$ лето'!ay2109*1.1</f>
        <v>2717.88</v>
      </c>
    </row>
    <row r="2110" customFormat="false" ht="15" hidden="false" customHeight="false" outlineLevel="0" collapsed="false">
      <c r="A2110" s="115" t="s">
        <v>341</v>
      </c>
      <c r="B2110" s="115" t="s">
        <v>574</v>
      </c>
      <c r="C2110" s="107" t="s">
        <v>2677</v>
      </c>
      <c r="D2110" s="107"/>
      <c r="E2110" s="116"/>
      <c r="F2110" s="116"/>
      <c r="G2110" s="108" t="s">
        <v>576</v>
      </c>
      <c r="H2110" s="105" t="n">
        <f aca="false">'[2]$ лето'!j2110-'[2]$ лето'!au2110-'[2]$ лето'!at2110-'[2]$ лето'!as2110-'[2]$ лето'!ar2110-'[2]$ лето'!aq2110-'[2]$ лето'!ap2110-'[2]$ лето'!an2110-'[2]$ лето'!am2110-'[2]$ лето'!al2110-'[2]$ лето'!ak2110-'[2]$ лето'!aj2110-'[2]$ лето'!ah2110-'[2]$ лето'!ag2110-'[2]$ лето'!af2110-'[2]$ лето'!ae2110-'[2]$ лето'!ad2110-'[2]$ лето'!ab2110-'[2]$ лето'!aa2110-'[2]$ лето'!z2110-'[2]$ лето'!y2110-'[2]$ лето'!x2110-'[2]$ лето'!v2110-'[2]$ лето'!u2110-'[2]$ лето'!t2110-'[2]$ лето'!s2110-'[2]$ лето'!r2110-'[2]$ лето'!p2110-'[2]$ лето'!o2110-'[2]$ лето'!n2110-'[2]$ лето'!m2110-'[2]$ лето'!l2110+'[2]$ лето'!k2110+'[2]$ лето'!q2110+'[2]$ лето'!w2110+'[2]$ лето'!ac2110+'[2]$ лето'!ai2110+'[2]$ лето'!ao2110</f>
        <v>7</v>
      </c>
      <c r="I2110" s="109" t="n">
        <f aca="false">'[2]$ лето'!ay2110*1.1</f>
        <v>2717.88</v>
      </c>
    </row>
    <row r="2111" customFormat="false" ht="15" hidden="true" customHeight="false" outlineLevel="0" collapsed="false">
      <c r="A2111" s="115" t="s">
        <v>341</v>
      </c>
      <c r="B2111" s="115" t="s">
        <v>574</v>
      </c>
      <c r="C2111" s="107" t="s">
        <v>2678</v>
      </c>
      <c r="D2111" s="107"/>
      <c r="E2111" s="107"/>
      <c r="F2111" s="107"/>
      <c r="G2111" s="108" t="s">
        <v>576</v>
      </c>
      <c r="H2111" s="105" t="n">
        <f aca="false">'[2]$ лето'!j2111-'[2]$ лето'!au2111-'[2]$ лето'!at2111-'[2]$ лето'!as2111-'[2]$ лето'!ar2111-'[2]$ лето'!aq2111-'[2]$ лето'!ap2111-'[2]$ лето'!an2111-'[2]$ лето'!am2111-'[2]$ лето'!al2111-'[2]$ лето'!ak2111-'[2]$ лето'!aj2111-'[2]$ лето'!ah2111-'[2]$ лето'!ag2111-'[2]$ лето'!af2111-'[2]$ лето'!ae2111-'[2]$ лето'!ad2111-'[2]$ лето'!ab2111-'[2]$ лето'!aa2111-'[2]$ лето'!z2111-'[2]$ лето'!y2111-'[2]$ лето'!x2111-'[2]$ лето'!v2111-'[2]$ лето'!u2111-'[2]$ лето'!t2111-'[2]$ лето'!s2111-'[2]$ лето'!r2111-'[2]$ лето'!p2111-'[2]$ лето'!o2111-'[2]$ лето'!n2111-'[2]$ лето'!m2111-'[2]$ лето'!l2111+'[2]$ лето'!k2111+'[2]$ лето'!q2111+'[2]$ лето'!w2111+'[2]$ лето'!ac2111+'[2]$ лето'!ai2111+'[2]$ лето'!ao2111</f>
        <v>0</v>
      </c>
      <c r="I2111" s="109" t="n">
        <f aca="false">'[2]$ лето'!ay2111*1.1</f>
        <v>2936.56</v>
      </c>
    </row>
    <row r="2112" customFormat="false" ht="15" hidden="true" customHeight="false" outlineLevel="0" collapsed="false">
      <c r="A2112" s="115" t="s">
        <v>341</v>
      </c>
      <c r="B2112" s="115" t="s">
        <v>583</v>
      </c>
      <c r="C2112" s="107" t="s">
        <v>2606</v>
      </c>
      <c r="D2112" s="107"/>
      <c r="E2112" s="107"/>
      <c r="F2112" s="107"/>
      <c r="G2112" s="108"/>
      <c r="H2112" s="105" t="n">
        <f aca="false">'[2]$ лето'!j2112-'[2]$ лето'!au2112-'[2]$ лето'!at2112-'[2]$ лето'!as2112-'[2]$ лето'!ar2112-'[2]$ лето'!aq2112-'[2]$ лето'!ap2112-'[2]$ лето'!an2112-'[2]$ лето'!am2112-'[2]$ лето'!al2112-'[2]$ лето'!ak2112-'[2]$ лето'!aj2112-'[2]$ лето'!ah2112-'[2]$ лето'!ag2112-'[2]$ лето'!af2112-'[2]$ лето'!ae2112-'[2]$ лето'!ad2112-'[2]$ лето'!ab2112-'[2]$ лето'!aa2112-'[2]$ лето'!z2112-'[2]$ лето'!y2112-'[2]$ лето'!x2112-'[2]$ лето'!v2112-'[2]$ лето'!u2112-'[2]$ лето'!t2112-'[2]$ лето'!s2112-'[2]$ лето'!r2112-'[2]$ лето'!p2112-'[2]$ лето'!o2112-'[2]$ лето'!n2112-'[2]$ лето'!m2112-'[2]$ лето'!l2112+'[2]$ лето'!k2112+'[2]$ лето'!q2112+'[2]$ лето'!w2112+'[2]$ лето'!ac2112+'[2]$ лето'!ai2112+'[2]$ лето'!ao2112</f>
        <v>0</v>
      </c>
      <c r="I2112" s="109" t="n">
        <f aca="false">'[2]$ лето'!ay2112*1.1</f>
        <v>3655.08</v>
      </c>
    </row>
    <row r="2113" customFormat="false" ht="15" hidden="false" customHeight="false" outlineLevel="0" collapsed="false">
      <c r="A2113" s="115" t="s">
        <v>341</v>
      </c>
      <c r="B2113" s="115" t="s">
        <v>583</v>
      </c>
      <c r="C2113" s="116" t="s">
        <v>2679</v>
      </c>
      <c r="D2113" s="116"/>
      <c r="E2113" s="116"/>
      <c r="F2113" s="116"/>
      <c r="G2113" s="108"/>
      <c r="H2113" s="105" t="n">
        <f aca="false">'[2]$ лето'!j2113-'[2]$ лето'!au2113-'[2]$ лето'!at2113-'[2]$ лето'!as2113-'[2]$ лето'!ar2113-'[2]$ лето'!aq2113-'[2]$ лето'!ap2113-'[2]$ лето'!an2113-'[2]$ лето'!am2113-'[2]$ лето'!al2113-'[2]$ лето'!ak2113-'[2]$ лето'!aj2113-'[2]$ лето'!ah2113-'[2]$ лето'!ag2113-'[2]$ лето'!af2113-'[2]$ лето'!ae2113-'[2]$ лето'!ad2113-'[2]$ лето'!ab2113-'[2]$ лето'!aa2113-'[2]$ лето'!z2113-'[2]$ лето'!y2113-'[2]$ лето'!x2113-'[2]$ лето'!v2113-'[2]$ лето'!u2113-'[2]$ лето'!t2113-'[2]$ лето'!s2113-'[2]$ лето'!r2113-'[2]$ лето'!p2113-'[2]$ лето'!o2113-'[2]$ лето'!n2113-'[2]$ лето'!m2113-'[2]$ лето'!l2113+'[2]$ лето'!k2113+'[2]$ лето'!q2113+'[2]$ лето'!w2113+'[2]$ лето'!ac2113+'[2]$ лето'!ai2113+'[2]$ лето'!ao2113</f>
        <v>4</v>
      </c>
      <c r="I2113" s="109" t="n">
        <f aca="false">'[2]$ лето'!ay2113*1.1</f>
        <v>2499.2</v>
      </c>
    </row>
    <row r="2114" customFormat="false" ht="15" hidden="false" customHeight="false" outlineLevel="0" collapsed="false">
      <c r="A2114" s="115" t="s">
        <v>341</v>
      </c>
      <c r="B2114" s="115" t="s">
        <v>593</v>
      </c>
      <c r="C2114" s="116" t="s">
        <v>2680</v>
      </c>
      <c r="D2114" s="116"/>
      <c r="E2114" s="116"/>
      <c r="F2114" s="116"/>
      <c r="G2114" s="108" t="s">
        <v>663</v>
      </c>
      <c r="H2114" s="105" t="n">
        <f aca="false">'[2]$ лето'!j2114-'[2]$ лето'!au2114-'[2]$ лето'!at2114-'[2]$ лето'!as2114-'[2]$ лето'!ar2114-'[2]$ лето'!aq2114-'[2]$ лето'!ap2114-'[2]$ лето'!an2114-'[2]$ лето'!am2114-'[2]$ лето'!al2114-'[2]$ лето'!ak2114-'[2]$ лето'!aj2114-'[2]$ лето'!ah2114-'[2]$ лето'!ag2114-'[2]$ лето'!af2114-'[2]$ лето'!ae2114-'[2]$ лето'!ad2114-'[2]$ лето'!ab2114-'[2]$ лето'!aa2114-'[2]$ лето'!z2114-'[2]$ лето'!y2114-'[2]$ лето'!x2114-'[2]$ лето'!v2114-'[2]$ лето'!u2114-'[2]$ лето'!t2114-'[2]$ лето'!s2114-'[2]$ лето'!r2114-'[2]$ лето'!p2114-'[2]$ лето'!o2114-'[2]$ лето'!n2114-'[2]$ лето'!m2114-'[2]$ лето'!l2114+'[2]$ лето'!k2114+'[2]$ лето'!q2114+'[2]$ лето'!w2114+'[2]$ лето'!ac2114+'[2]$ лето'!ai2114+'[2]$ лето'!ao2114</f>
        <v>8</v>
      </c>
      <c r="I2114" s="109" t="n">
        <f aca="false">'[2]$ лето'!ay2114*1.1</f>
        <v>4529.8</v>
      </c>
      <c r="J2114" s="85" t="n">
        <v>2018</v>
      </c>
    </row>
    <row r="2115" customFormat="false" ht="15" hidden="false" customHeight="false" outlineLevel="0" collapsed="false">
      <c r="A2115" s="115" t="s">
        <v>341</v>
      </c>
      <c r="B2115" s="115" t="s">
        <v>593</v>
      </c>
      <c r="C2115" s="116" t="s">
        <v>2681</v>
      </c>
      <c r="D2115" s="116"/>
      <c r="E2115" s="116"/>
      <c r="F2115" s="116"/>
      <c r="G2115" s="108" t="s">
        <v>663</v>
      </c>
      <c r="H2115" s="105" t="n">
        <f aca="false">'[2]$ лето'!j2115-'[2]$ лето'!au2115-'[2]$ лето'!at2115-'[2]$ лето'!as2115-'[2]$ лето'!ar2115-'[2]$ лето'!aq2115-'[2]$ лето'!ap2115-'[2]$ лето'!an2115-'[2]$ лето'!am2115-'[2]$ лето'!al2115-'[2]$ лето'!ak2115-'[2]$ лето'!aj2115-'[2]$ лето'!ah2115-'[2]$ лето'!ag2115-'[2]$ лето'!af2115-'[2]$ лето'!ae2115-'[2]$ лето'!ad2115-'[2]$ лето'!ab2115-'[2]$ лето'!aa2115-'[2]$ лето'!z2115-'[2]$ лето'!y2115-'[2]$ лето'!x2115-'[2]$ лето'!v2115-'[2]$ лето'!u2115-'[2]$ лето'!t2115-'[2]$ лето'!s2115-'[2]$ лето'!r2115-'[2]$ лето'!p2115-'[2]$ лето'!o2115-'[2]$ лето'!n2115-'[2]$ лето'!m2115-'[2]$ лето'!l2115+'[2]$ лето'!k2115+'[2]$ лето'!q2115+'[2]$ лето'!w2115+'[2]$ лето'!ac2115+'[2]$ лето'!ai2115+'[2]$ лето'!ao2115</f>
        <v>6</v>
      </c>
      <c r="I2115" s="109" t="n">
        <f aca="false">'[2]$ лето'!ay2115*1.1</f>
        <v>4373.6</v>
      </c>
      <c r="J2115" s="85" t="n">
        <v>2017</v>
      </c>
    </row>
    <row r="2116" customFormat="false" ht="15" hidden="false" customHeight="false" outlineLevel="0" collapsed="false">
      <c r="A2116" s="115" t="s">
        <v>341</v>
      </c>
      <c r="B2116" s="115" t="s">
        <v>586</v>
      </c>
      <c r="C2116" s="116" t="s">
        <v>2682</v>
      </c>
      <c r="D2116" s="116"/>
      <c r="E2116" s="116"/>
      <c r="F2116" s="116"/>
      <c r="G2116" s="108" t="s">
        <v>520</v>
      </c>
      <c r="H2116" s="105" t="n">
        <f aca="false">'[2]$ лето'!j2116-'[2]$ лето'!au2116-'[2]$ лето'!at2116-'[2]$ лето'!as2116-'[2]$ лето'!ar2116-'[2]$ лето'!aq2116-'[2]$ лето'!ap2116-'[2]$ лето'!an2116-'[2]$ лето'!am2116-'[2]$ лето'!al2116-'[2]$ лето'!ak2116-'[2]$ лето'!aj2116-'[2]$ лето'!ah2116-'[2]$ лето'!ag2116-'[2]$ лето'!af2116-'[2]$ лето'!ae2116-'[2]$ лето'!ad2116-'[2]$ лето'!ab2116-'[2]$ лето'!aa2116-'[2]$ лето'!z2116-'[2]$ лето'!y2116-'[2]$ лето'!x2116-'[2]$ лето'!v2116-'[2]$ лето'!u2116-'[2]$ лето'!t2116-'[2]$ лето'!s2116-'[2]$ лето'!r2116-'[2]$ лето'!p2116-'[2]$ лето'!o2116-'[2]$ лето'!n2116-'[2]$ лето'!m2116-'[2]$ лето'!l2116+'[2]$ лето'!k2116+'[2]$ лето'!q2116+'[2]$ лето'!w2116+'[2]$ лето'!ac2116+'[2]$ лето'!ai2116+'[2]$ лето'!ao2116</f>
        <v>2</v>
      </c>
      <c r="I2116" s="109" t="n">
        <f aca="false">'[2]$ лето'!ay2116*1.1</f>
        <v>1718.2</v>
      </c>
    </row>
    <row r="2117" customFormat="false" ht="15" hidden="true" customHeight="false" outlineLevel="0" collapsed="false">
      <c r="A2117" s="115" t="s">
        <v>341</v>
      </c>
      <c r="B2117" s="115" t="s">
        <v>617</v>
      </c>
      <c r="C2117" s="116" t="s">
        <v>2683</v>
      </c>
      <c r="D2117" s="116"/>
      <c r="E2117" s="116"/>
      <c r="F2117" s="116"/>
      <c r="G2117" s="108"/>
      <c r="H2117" s="105" t="n">
        <f aca="false">'[2]$ лето'!j2117-'[2]$ лето'!au2117-'[2]$ лето'!at2117-'[2]$ лето'!as2117-'[2]$ лето'!ar2117-'[2]$ лето'!aq2117-'[2]$ лето'!ap2117-'[2]$ лето'!an2117-'[2]$ лето'!am2117-'[2]$ лето'!al2117-'[2]$ лето'!ak2117-'[2]$ лето'!aj2117-'[2]$ лето'!ah2117-'[2]$ лето'!ag2117-'[2]$ лето'!af2117-'[2]$ лето'!ae2117-'[2]$ лето'!ad2117-'[2]$ лето'!ab2117-'[2]$ лето'!aa2117-'[2]$ лето'!z2117-'[2]$ лето'!y2117-'[2]$ лето'!x2117-'[2]$ лето'!v2117-'[2]$ лето'!u2117-'[2]$ лето'!t2117-'[2]$ лето'!s2117-'[2]$ лето'!r2117-'[2]$ лето'!p2117-'[2]$ лето'!o2117-'[2]$ лето'!n2117-'[2]$ лето'!m2117-'[2]$ лето'!l2117+'[2]$ лето'!k2117+'[2]$ лето'!q2117+'[2]$ лето'!w2117+'[2]$ лето'!ac2117+'[2]$ лето'!ai2117+'[2]$ лето'!ao2117</f>
        <v>0</v>
      </c>
      <c r="I2117" s="109" t="n">
        <f aca="false">'[2]$ лето'!ay2117*1.1</f>
        <v>2093.08</v>
      </c>
      <c r="J2117" s="85" t="n">
        <v>2017</v>
      </c>
    </row>
    <row r="2118" customFormat="false" ht="15" hidden="true" customHeight="false" outlineLevel="0" collapsed="false">
      <c r="A2118" s="115" t="s">
        <v>341</v>
      </c>
      <c r="B2118" s="115" t="s">
        <v>623</v>
      </c>
      <c r="C2118" s="116" t="s">
        <v>2684</v>
      </c>
      <c r="D2118" s="116"/>
      <c r="E2118" s="116"/>
      <c r="F2118" s="116"/>
      <c r="G2118" s="108" t="s">
        <v>837</v>
      </c>
      <c r="H2118" s="105" t="n">
        <f aca="false">'[2]$ лето'!j2118-'[2]$ лето'!au2118-'[2]$ лето'!at2118-'[2]$ лето'!as2118-'[2]$ лето'!ar2118-'[2]$ лето'!aq2118-'[2]$ лето'!ap2118-'[2]$ лето'!an2118-'[2]$ лето'!am2118-'[2]$ лето'!al2118-'[2]$ лето'!ak2118-'[2]$ лето'!aj2118-'[2]$ лето'!ah2118-'[2]$ лето'!ag2118-'[2]$ лето'!af2118-'[2]$ лето'!ae2118-'[2]$ лето'!ad2118-'[2]$ лето'!ab2118-'[2]$ лето'!aa2118-'[2]$ лето'!z2118-'[2]$ лето'!y2118-'[2]$ лето'!x2118-'[2]$ лето'!v2118-'[2]$ лето'!u2118-'[2]$ лето'!t2118-'[2]$ лето'!s2118-'[2]$ лето'!r2118-'[2]$ лето'!p2118-'[2]$ лето'!o2118-'[2]$ лето'!n2118-'[2]$ лето'!m2118-'[2]$ лето'!l2118+'[2]$ лето'!k2118+'[2]$ лето'!q2118+'[2]$ лето'!w2118+'[2]$ лето'!ac2118+'[2]$ лето'!ai2118+'[2]$ лето'!ao2118</f>
        <v>0</v>
      </c>
      <c r="I2118" s="109" t="n">
        <f aca="false">'[2]$ лето'!ay2118*1.1</f>
        <v>2061.84</v>
      </c>
      <c r="J2118" s="85" t="n">
        <v>2017</v>
      </c>
    </row>
    <row r="2119" customFormat="false" ht="15" hidden="true" customHeight="false" outlineLevel="0" collapsed="false">
      <c r="A2119" s="115" t="s">
        <v>341</v>
      </c>
      <c r="B2119" s="115" t="s">
        <v>677</v>
      </c>
      <c r="C2119" s="116" t="s">
        <v>2685</v>
      </c>
      <c r="D2119" s="116"/>
      <c r="E2119" s="116"/>
      <c r="F2119" s="116"/>
      <c r="G2119" s="108"/>
      <c r="H2119" s="105" t="n">
        <f aca="false">'[2]$ лето'!j2119-'[2]$ лето'!au2119-'[2]$ лето'!at2119-'[2]$ лето'!as2119-'[2]$ лето'!ar2119-'[2]$ лето'!aq2119-'[2]$ лето'!ap2119-'[2]$ лето'!an2119-'[2]$ лето'!am2119-'[2]$ лето'!al2119-'[2]$ лето'!ak2119-'[2]$ лето'!aj2119-'[2]$ лето'!ah2119-'[2]$ лето'!ag2119-'[2]$ лето'!af2119-'[2]$ лето'!ae2119-'[2]$ лето'!ad2119-'[2]$ лето'!ab2119-'[2]$ лето'!aa2119-'[2]$ лето'!z2119-'[2]$ лето'!y2119-'[2]$ лето'!x2119-'[2]$ лето'!v2119-'[2]$ лето'!u2119-'[2]$ лето'!t2119-'[2]$ лето'!s2119-'[2]$ лето'!r2119-'[2]$ лето'!p2119-'[2]$ лето'!o2119-'[2]$ лето'!n2119-'[2]$ лето'!m2119-'[2]$ лето'!l2119+'[2]$ лето'!k2119+'[2]$ лето'!q2119+'[2]$ лето'!w2119+'[2]$ лето'!ac2119+'[2]$ лето'!ai2119+'[2]$ лето'!ao2119</f>
        <v>0</v>
      </c>
      <c r="I2119" s="109" t="n">
        <f aca="false">'[2]$ лето'!ay2119*1.1</f>
        <v>2093.08</v>
      </c>
    </row>
    <row r="2120" customFormat="false" ht="15" hidden="false" customHeight="false" outlineLevel="0" collapsed="false">
      <c r="A2120" s="115" t="s">
        <v>341</v>
      </c>
      <c r="B2120" s="115" t="s">
        <v>1028</v>
      </c>
      <c r="C2120" s="116" t="s">
        <v>2686</v>
      </c>
      <c r="D2120" s="116"/>
      <c r="E2120" s="116"/>
      <c r="F2120" s="116"/>
      <c r="G2120" s="108"/>
      <c r="H2120" s="105" t="n">
        <f aca="false">'[2]$ лето'!j2120-'[2]$ лето'!au2120-'[2]$ лето'!at2120-'[2]$ лето'!as2120-'[2]$ лето'!ar2120-'[2]$ лето'!aq2120-'[2]$ лето'!ap2120-'[2]$ лето'!an2120-'[2]$ лето'!am2120-'[2]$ лето'!al2120-'[2]$ лето'!ak2120-'[2]$ лето'!aj2120-'[2]$ лето'!ah2120-'[2]$ лето'!ag2120-'[2]$ лето'!af2120-'[2]$ лето'!ae2120-'[2]$ лето'!ad2120-'[2]$ лето'!ab2120-'[2]$ лето'!aa2120-'[2]$ лето'!z2120-'[2]$ лето'!y2120-'[2]$ лето'!x2120-'[2]$ лето'!v2120-'[2]$ лето'!u2120-'[2]$ лето'!t2120-'[2]$ лето'!s2120-'[2]$ лето'!r2120-'[2]$ лето'!p2120-'[2]$ лето'!o2120-'[2]$ лето'!n2120-'[2]$ лето'!m2120-'[2]$ лето'!l2120+'[2]$ лето'!k2120+'[2]$ лето'!q2120+'[2]$ лето'!w2120+'[2]$ лето'!ac2120+'[2]$ лето'!ai2120+'[2]$ лето'!ao2120</f>
        <v>4</v>
      </c>
      <c r="I2120" s="109" t="n">
        <f aca="false">'[2]$ лето'!ay2120*1.1</f>
        <v>3748.8</v>
      </c>
    </row>
    <row r="2121" customFormat="false" ht="15" hidden="false" customHeight="false" outlineLevel="0" collapsed="false">
      <c r="A2121" s="120" t="s">
        <v>342</v>
      </c>
      <c r="B2121" s="121"/>
      <c r="C2121" s="122"/>
      <c r="D2121" s="122"/>
      <c r="E2121" s="122"/>
      <c r="F2121" s="122"/>
      <c r="G2121" s="104"/>
      <c r="H2121" s="105"/>
      <c r="I2121" s="105"/>
    </row>
    <row r="2122" customFormat="false" ht="15" hidden="true" customHeight="false" outlineLevel="0" collapsed="false">
      <c r="A2122" s="123" t="s">
        <v>2687</v>
      </c>
      <c r="B2122" s="123" t="s">
        <v>2688</v>
      </c>
      <c r="C2122" s="107" t="s">
        <v>2689</v>
      </c>
      <c r="D2122" s="107"/>
      <c r="E2122" s="107"/>
      <c r="F2122" s="107"/>
      <c r="G2122" s="145"/>
      <c r="H2122" s="105" t="n">
        <f aca="false">'[2]$ лето'!j2122-'[2]$ лето'!au2122-'[2]$ лето'!at2122-'[2]$ лето'!as2122-'[2]$ лето'!ar2122-'[2]$ лето'!aq2122-'[2]$ лето'!ap2122-'[2]$ лето'!an2122-'[2]$ лето'!am2122-'[2]$ лето'!al2122-'[2]$ лето'!ak2122-'[2]$ лето'!aj2122-'[2]$ лето'!ah2122-'[2]$ лето'!ag2122-'[2]$ лето'!af2122-'[2]$ лето'!ae2122-'[2]$ лето'!ad2122-'[2]$ лето'!ab2122-'[2]$ лето'!aa2122-'[2]$ лето'!z2122-'[2]$ лето'!y2122-'[2]$ лето'!x2122-'[2]$ лето'!v2122-'[2]$ лето'!u2122-'[2]$ лето'!t2122-'[2]$ лето'!s2122-'[2]$ лето'!r2122-'[2]$ лето'!p2122-'[2]$ лето'!o2122-'[2]$ лето'!n2122-'[2]$ лето'!m2122-'[2]$ лето'!l2122+'[2]$ лето'!k2122+'[2]$ лето'!q2122+'[2]$ лето'!w2122+'[2]$ лето'!ac2122+'[2]$ лето'!ai2122+'[2]$ лето'!ao2122</f>
        <v>0</v>
      </c>
      <c r="I2122" s="109" t="n">
        <f aca="false">'[2]$ лето'!ay2122*1.05</f>
        <v>2534.7</v>
      </c>
      <c r="J2122" s="146"/>
    </row>
    <row r="2123" customFormat="false" ht="15" hidden="true" customHeight="false" outlineLevel="0" collapsed="false">
      <c r="A2123" s="123" t="s">
        <v>2687</v>
      </c>
      <c r="B2123" s="123" t="s">
        <v>658</v>
      </c>
      <c r="C2123" s="107" t="s">
        <v>2690</v>
      </c>
      <c r="D2123" s="107"/>
      <c r="E2123" s="107"/>
      <c r="F2123" s="107"/>
      <c r="G2123" s="108"/>
      <c r="H2123" s="105" t="n">
        <f aca="false">'[2]$ лето'!j2123-'[2]$ лето'!au2123-'[2]$ лето'!at2123-'[2]$ лето'!as2123-'[2]$ лето'!ar2123-'[2]$ лето'!aq2123-'[2]$ лето'!ap2123-'[2]$ лето'!an2123-'[2]$ лето'!am2123-'[2]$ лето'!al2123-'[2]$ лето'!ak2123-'[2]$ лето'!aj2123-'[2]$ лето'!ah2123-'[2]$ лето'!ag2123-'[2]$ лето'!af2123-'[2]$ лето'!ae2123-'[2]$ лето'!ad2123-'[2]$ лето'!ab2123-'[2]$ лето'!aa2123-'[2]$ лето'!z2123-'[2]$ лето'!y2123-'[2]$ лето'!x2123-'[2]$ лето'!v2123-'[2]$ лето'!u2123-'[2]$ лето'!t2123-'[2]$ лето'!s2123-'[2]$ лето'!r2123-'[2]$ лето'!p2123-'[2]$ лето'!o2123-'[2]$ лето'!n2123-'[2]$ лето'!m2123-'[2]$ лето'!l2123+'[2]$ лето'!k2123+'[2]$ лето'!q2123+'[2]$ лето'!w2123+'[2]$ лето'!ac2123+'[2]$ лето'!ai2123+'[2]$ лето'!ao2123</f>
        <v>0</v>
      </c>
      <c r="I2123" s="109" t="n">
        <f aca="false">'[2]$ лето'!ay2123*1.05</f>
        <v>6858.6</v>
      </c>
    </row>
    <row r="2124" customFormat="false" ht="15" hidden="true" customHeight="false" outlineLevel="0" collapsed="false">
      <c r="A2124" s="123" t="s">
        <v>2687</v>
      </c>
      <c r="B2124" s="123" t="s">
        <v>707</v>
      </c>
      <c r="C2124" s="107" t="s">
        <v>2691</v>
      </c>
      <c r="D2124" s="107"/>
      <c r="E2124" s="107"/>
      <c r="F2124" s="107"/>
      <c r="G2124" s="108"/>
      <c r="H2124" s="105" t="n">
        <f aca="false">'[2]$ лето'!j2124-'[2]$ лето'!au2124-'[2]$ лето'!at2124-'[2]$ лето'!as2124-'[2]$ лето'!ar2124-'[2]$ лето'!aq2124-'[2]$ лето'!ap2124-'[2]$ лето'!an2124-'[2]$ лето'!am2124-'[2]$ лето'!al2124-'[2]$ лето'!ak2124-'[2]$ лето'!aj2124-'[2]$ лето'!ah2124-'[2]$ лето'!ag2124-'[2]$ лето'!af2124-'[2]$ лето'!ae2124-'[2]$ лето'!ad2124-'[2]$ лето'!ab2124-'[2]$ лето'!aa2124-'[2]$ лето'!z2124-'[2]$ лето'!y2124-'[2]$ лето'!x2124-'[2]$ лето'!v2124-'[2]$ лето'!u2124-'[2]$ лето'!t2124-'[2]$ лето'!s2124-'[2]$ лето'!r2124-'[2]$ лето'!p2124-'[2]$ лето'!o2124-'[2]$ лето'!n2124-'[2]$ лето'!m2124-'[2]$ лето'!l2124+'[2]$ лето'!k2124+'[2]$ лето'!q2124+'[2]$ лето'!w2124+'[2]$ лето'!ac2124+'[2]$ лето'!ai2124+'[2]$ лето'!ao2124</f>
        <v>0</v>
      </c>
      <c r="I2124" s="109" t="n">
        <f aca="false">'[2]$ лето'!ay2124*1.05</f>
        <v>5814.9</v>
      </c>
    </row>
    <row r="2125" customFormat="false" ht="15" hidden="true" customHeight="false" outlineLevel="0" collapsed="false">
      <c r="A2125" s="123" t="s">
        <v>2687</v>
      </c>
      <c r="B2125" s="123" t="s">
        <v>707</v>
      </c>
      <c r="C2125" s="107" t="s">
        <v>2692</v>
      </c>
      <c r="D2125" s="107"/>
      <c r="E2125" s="107"/>
      <c r="F2125" s="107"/>
      <c r="G2125" s="108"/>
      <c r="H2125" s="105" t="n">
        <f aca="false">'[2]$ лето'!j2125-'[2]$ лето'!au2125-'[2]$ лето'!at2125-'[2]$ лето'!as2125-'[2]$ лето'!ar2125-'[2]$ лето'!aq2125-'[2]$ лето'!ap2125-'[2]$ лето'!an2125-'[2]$ лето'!am2125-'[2]$ лето'!al2125-'[2]$ лето'!ak2125-'[2]$ лето'!aj2125-'[2]$ лето'!ah2125-'[2]$ лето'!ag2125-'[2]$ лето'!af2125-'[2]$ лето'!ae2125-'[2]$ лето'!ad2125-'[2]$ лето'!ab2125-'[2]$ лето'!aa2125-'[2]$ лето'!z2125-'[2]$ лето'!y2125-'[2]$ лето'!x2125-'[2]$ лето'!v2125-'[2]$ лето'!u2125-'[2]$ лето'!t2125-'[2]$ лето'!s2125-'[2]$ лето'!r2125-'[2]$ лето'!p2125-'[2]$ лето'!o2125-'[2]$ лето'!n2125-'[2]$ лето'!m2125-'[2]$ лето'!l2125+'[2]$ лето'!k2125+'[2]$ лето'!q2125+'[2]$ лето'!w2125+'[2]$ лето'!ac2125+'[2]$ лето'!ai2125+'[2]$ лето'!ao2125</f>
        <v>0</v>
      </c>
      <c r="I2125" s="109" t="n">
        <f aca="false">'[2]$ лето'!ay2125*1.05</f>
        <v>3727.5</v>
      </c>
    </row>
    <row r="2126" customFormat="false" ht="15" hidden="true" customHeight="false" outlineLevel="0" collapsed="false">
      <c r="A2126" s="123" t="s">
        <v>2687</v>
      </c>
      <c r="B2126" s="123" t="s">
        <v>574</v>
      </c>
      <c r="C2126" s="107" t="str">
        <f aca="false">$C$2154</f>
        <v>LS/T 5500 126/124 зад</v>
      </c>
      <c r="D2126" s="107"/>
      <c r="E2126" s="107"/>
      <c r="F2126" s="107"/>
      <c r="G2126" s="108" t="s">
        <v>576</v>
      </c>
      <c r="H2126" s="105" t="n">
        <f aca="false">'[2]$ лето'!j2126-'[2]$ лето'!au2126-'[2]$ лето'!at2126-'[2]$ лето'!as2126-'[2]$ лето'!ar2126-'[2]$ лето'!aq2126-'[2]$ лето'!ap2126-'[2]$ лето'!an2126-'[2]$ лето'!am2126-'[2]$ лето'!al2126-'[2]$ лето'!ak2126-'[2]$ лето'!aj2126-'[2]$ лето'!ah2126-'[2]$ лето'!ag2126-'[2]$ лето'!af2126-'[2]$ лето'!ae2126-'[2]$ лето'!ad2126-'[2]$ лето'!ab2126-'[2]$ лето'!aa2126-'[2]$ лето'!z2126-'[2]$ лето'!y2126-'[2]$ лето'!x2126-'[2]$ лето'!v2126-'[2]$ лето'!u2126-'[2]$ лето'!t2126-'[2]$ лето'!s2126-'[2]$ лето'!r2126-'[2]$ лето'!p2126-'[2]$ лето'!o2126-'[2]$ лето'!n2126-'[2]$ лето'!m2126-'[2]$ лето'!l2126+'[2]$ лето'!k2126+'[2]$ лето'!q2126+'[2]$ лето'!w2126+'[2]$ лето'!ac2126+'[2]$ лето'!ai2126+'[2]$ лето'!ao2126</f>
        <v>0</v>
      </c>
      <c r="I2126" s="109" t="n">
        <f aca="false">'[2]$ лето'!ay2126*1.05</f>
        <v>0</v>
      </c>
    </row>
    <row r="2127" customFormat="false" ht="15" hidden="true" customHeight="false" outlineLevel="0" collapsed="false">
      <c r="A2127" s="115" t="s">
        <v>2687</v>
      </c>
      <c r="B2127" s="115" t="s">
        <v>583</v>
      </c>
      <c r="C2127" s="116" t="s">
        <v>2693</v>
      </c>
      <c r="D2127" s="116"/>
      <c r="E2127" s="116"/>
      <c r="F2127" s="116"/>
      <c r="G2127" s="108"/>
      <c r="H2127" s="105" t="n">
        <f aca="false">'[2]$ лето'!j2127-'[2]$ лето'!au2127-'[2]$ лето'!at2127-'[2]$ лето'!as2127-'[2]$ лето'!ar2127-'[2]$ лето'!aq2127-'[2]$ лето'!ap2127-'[2]$ лето'!an2127-'[2]$ лето'!am2127-'[2]$ лето'!al2127-'[2]$ лето'!ak2127-'[2]$ лето'!aj2127-'[2]$ лето'!ah2127-'[2]$ лето'!ag2127-'[2]$ лето'!af2127-'[2]$ лето'!ae2127-'[2]$ лето'!ad2127-'[2]$ лето'!ab2127-'[2]$ лето'!aa2127-'[2]$ лето'!z2127-'[2]$ лето'!y2127-'[2]$ лето'!x2127-'[2]$ лето'!v2127-'[2]$ лето'!u2127-'[2]$ лето'!t2127-'[2]$ лето'!s2127-'[2]$ лето'!r2127-'[2]$ лето'!p2127-'[2]$ лето'!o2127-'[2]$ лето'!n2127-'[2]$ лето'!m2127-'[2]$ лето'!l2127+'[2]$ лето'!k2127+'[2]$ лето'!q2127+'[2]$ лето'!w2127+'[2]$ лето'!ac2127+'[2]$ лето'!ai2127+'[2]$ лето'!ao2127</f>
        <v>0</v>
      </c>
      <c r="I2127" s="109" t="n">
        <f aca="false">'[2]$ лето'!ay2127*1.05</f>
        <v>5307.96</v>
      </c>
    </row>
    <row r="2128" customFormat="false" ht="15" hidden="true" customHeight="false" outlineLevel="0" collapsed="false">
      <c r="A2128" s="115" t="s">
        <v>2687</v>
      </c>
      <c r="B2128" s="115" t="s">
        <v>583</v>
      </c>
      <c r="C2128" s="116" t="s">
        <v>2694</v>
      </c>
      <c r="D2128" s="116"/>
      <c r="E2128" s="116"/>
      <c r="F2128" s="116"/>
      <c r="G2128" s="108"/>
      <c r="H2128" s="105" t="n">
        <f aca="false">'[2]$ лето'!j2128-'[2]$ лето'!au2128-'[2]$ лето'!at2128-'[2]$ лето'!as2128-'[2]$ лето'!ar2128-'[2]$ лето'!aq2128-'[2]$ лето'!ap2128-'[2]$ лето'!an2128-'[2]$ лето'!am2128-'[2]$ лето'!al2128-'[2]$ лето'!ak2128-'[2]$ лето'!aj2128-'[2]$ лето'!ah2128-'[2]$ лето'!ag2128-'[2]$ лето'!af2128-'[2]$ лето'!ae2128-'[2]$ лето'!ad2128-'[2]$ лето'!ab2128-'[2]$ лето'!aa2128-'[2]$ лето'!z2128-'[2]$ лето'!y2128-'[2]$ лето'!x2128-'[2]$ лето'!v2128-'[2]$ лето'!u2128-'[2]$ лето'!t2128-'[2]$ лето'!s2128-'[2]$ лето'!r2128-'[2]$ лето'!p2128-'[2]$ лето'!o2128-'[2]$ лето'!n2128-'[2]$ лето'!m2128-'[2]$ лето'!l2128+'[2]$ лето'!k2128+'[2]$ лето'!q2128+'[2]$ лето'!w2128+'[2]$ лето'!ac2128+'[2]$ лето'!ai2128+'[2]$ лето'!ao2128</f>
        <v>0</v>
      </c>
      <c r="I2128" s="109" t="n">
        <f aca="false">'[2]$ лето'!ay2128*1.05</f>
        <v>3667.86</v>
      </c>
    </row>
    <row r="2129" customFormat="false" ht="15" hidden="true" customHeight="false" outlineLevel="0" collapsed="false">
      <c r="A2129" s="115" t="s">
        <v>2687</v>
      </c>
      <c r="B2129" s="115" t="s">
        <v>2695</v>
      </c>
      <c r="C2129" s="107" t="s">
        <v>2696</v>
      </c>
      <c r="D2129" s="107"/>
      <c r="E2129" s="107"/>
      <c r="F2129" s="107"/>
      <c r="G2129" s="108"/>
      <c r="H2129" s="105" t="n">
        <f aca="false">'[2]$ лето'!j2129-'[2]$ лето'!au2129-'[2]$ лето'!at2129-'[2]$ лето'!as2129-'[2]$ лето'!ar2129-'[2]$ лето'!aq2129-'[2]$ лето'!ap2129-'[2]$ лето'!an2129-'[2]$ лето'!am2129-'[2]$ лето'!al2129-'[2]$ лето'!ak2129-'[2]$ лето'!aj2129-'[2]$ лето'!ah2129-'[2]$ лето'!ag2129-'[2]$ лето'!af2129-'[2]$ лето'!ae2129-'[2]$ лето'!ad2129-'[2]$ лето'!ab2129-'[2]$ лето'!aa2129-'[2]$ лето'!z2129-'[2]$ лето'!y2129-'[2]$ лето'!x2129-'[2]$ лето'!v2129-'[2]$ лето'!u2129-'[2]$ лето'!t2129-'[2]$ лето'!s2129-'[2]$ лето'!r2129-'[2]$ лето'!p2129-'[2]$ лето'!o2129-'[2]$ лето'!n2129-'[2]$ лето'!m2129-'[2]$ лето'!l2129+'[2]$ лето'!k2129+'[2]$ лето'!q2129+'[2]$ лето'!w2129+'[2]$ лето'!ac2129+'[2]$ лето'!ai2129+'[2]$ лето'!ao2129</f>
        <v>0</v>
      </c>
      <c r="I2129" s="109" t="n">
        <f aca="false">'[2]$ лето'!ay2129*1.05</f>
        <v>4174.8</v>
      </c>
    </row>
    <row r="2130" customFormat="false" ht="15" hidden="true" customHeight="false" outlineLevel="0" collapsed="false">
      <c r="A2130" s="115" t="s">
        <v>2687</v>
      </c>
      <c r="B2130" s="115" t="s">
        <v>2695</v>
      </c>
      <c r="C2130" s="107" t="s">
        <v>2697</v>
      </c>
      <c r="D2130" s="107"/>
      <c r="E2130" s="107"/>
      <c r="F2130" s="107"/>
      <c r="G2130" s="108"/>
      <c r="H2130" s="105" t="n">
        <f aca="false">'[2]$ лето'!j2130-'[2]$ лето'!au2130-'[2]$ лето'!at2130-'[2]$ лето'!as2130-'[2]$ лето'!ar2130-'[2]$ лето'!aq2130-'[2]$ лето'!ap2130-'[2]$ лето'!an2130-'[2]$ лето'!am2130-'[2]$ лето'!al2130-'[2]$ лето'!ak2130-'[2]$ лето'!aj2130-'[2]$ лето'!ah2130-'[2]$ лето'!ag2130-'[2]$ лето'!af2130-'[2]$ лето'!ae2130-'[2]$ лето'!ad2130-'[2]$ лето'!ab2130-'[2]$ лето'!aa2130-'[2]$ лето'!z2130-'[2]$ лето'!y2130-'[2]$ лето'!x2130-'[2]$ лето'!v2130-'[2]$ лето'!u2130-'[2]$ лето'!t2130-'[2]$ лето'!s2130-'[2]$ лето'!r2130-'[2]$ лето'!p2130-'[2]$ лето'!o2130-'[2]$ лето'!n2130-'[2]$ лето'!m2130-'[2]$ лето'!l2130+'[2]$ лето'!k2130+'[2]$ лето'!q2130+'[2]$ лето'!w2130+'[2]$ лето'!ac2130+'[2]$ лето'!ai2130+'[2]$ лето'!ao2130</f>
        <v>0</v>
      </c>
      <c r="I2130" s="109" t="n">
        <f aca="false">'[2]$ лето'!ay2130*1.05</f>
        <v>3727.5</v>
      </c>
    </row>
    <row r="2131" customFormat="false" ht="15" hidden="false" customHeight="false" outlineLevel="0" collapsed="false">
      <c r="A2131" s="115" t="s">
        <v>2687</v>
      </c>
      <c r="B2131" s="115" t="s">
        <v>564</v>
      </c>
      <c r="C2131" s="107" t="s">
        <v>2698</v>
      </c>
      <c r="D2131" s="107"/>
      <c r="E2131" s="116"/>
      <c r="F2131" s="116"/>
      <c r="G2131" s="108" t="s">
        <v>520</v>
      </c>
      <c r="H2131" s="105" t="n">
        <f aca="false">'[2]$ лето'!j2131-'[2]$ лето'!au2131-'[2]$ лето'!at2131-'[2]$ лето'!as2131-'[2]$ лето'!ar2131-'[2]$ лето'!aq2131-'[2]$ лето'!ap2131-'[2]$ лето'!an2131-'[2]$ лето'!am2131-'[2]$ лето'!al2131-'[2]$ лето'!ak2131-'[2]$ лето'!aj2131-'[2]$ лето'!ah2131-'[2]$ лето'!ag2131-'[2]$ лето'!af2131-'[2]$ лето'!ae2131-'[2]$ лето'!ad2131-'[2]$ лето'!ab2131-'[2]$ лето'!aa2131-'[2]$ лето'!z2131-'[2]$ лето'!y2131-'[2]$ лето'!x2131-'[2]$ лето'!v2131-'[2]$ лето'!u2131-'[2]$ лето'!t2131-'[2]$ лето'!s2131-'[2]$ лето'!r2131-'[2]$ лето'!p2131-'[2]$ лето'!o2131-'[2]$ лето'!n2131-'[2]$ лето'!m2131-'[2]$ лето'!l2131+'[2]$ лето'!k2131+'[2]$ лето'!q2131+'[2]$ лето'!w2131+'[2]$ лето'!ac2131+'[2]$ лето'!ai2131+'[2]$ лето'!ao2131</f>
        <v>8</v>
      </c>
      <c r="I2131" s="109" t="n">
        <f aca="false">'[2]$ лето'!ay2131*1.05</f>
        <v>2773.26</v>
      </c>
    </row>
    <row r="2132" customFormat="false" ht="15" hidden="true" customHeight="false" outlineLevel="0" collapsed="false">
      <c r="A2132" s="115" t="s">
        <v>343</v>
      </c>
      <c r="B2132" s="115" t="s">
        <v>2699</v>
      </c>
      <c r="C2132" s="107" t="s">
        <v>2700</v>
      </c>
      <c r="D2132" s="107"/>
      <c r="E2132" s="107"/>
      <c r="F2132" s="107"/>
      <c r="G2132" s="108"/>
      <c r="H2132" s="105" t="n">
        <f aca="false">'[2]$ лето'!j2132-'[2]$ лето'!au2132-'[2]$ лето'!at2132-'[2]$ лето'!as2132-'[2]$ лето'!ar2132-'[2]$ лето'!aq2132-'[2]$ лето'!ap2132-'[2]$ лето'!an2132-'[2]$ лето'!am2132-'[2]$ лето'!al2132-'[2]$ лето'!ak2132-'[2]$ лето'!aj2132-'[2]$ лето'!ah2132-'[2]$ лето'!ag2132-'[2]$ лето'!af2132-'[2]$ лето'!ae2132-'[2]$ лето'!ad2132-'[2]$ лето'!ab2132-'[2]$ лето'!aa2132-'[2]$ лето'!z2132-'[2]$ лето'!y2132-'[2]$ лето'!x2132-'[2]$ лето'!v2132-'[2]$ лето'!u2132-'[2]$ лето'!t2132-'[2]$ лето'!s2132-'[2]$ лето'!r2132-'[2]$ лето'!p2132-'[2]$ лето'!o2132-'[2]$ лето'!n2132-'[2]$ лето'!m2132-'[2]$ лето'!l2132+'[2]$ лето'!k2132+'[2]$ лето'!q2132+'[2]$ лето'!w2132+'[2]$ лето'!ac2132+'[2]$ лето'!ai2132+'[2]$ лето'!ao2132</f>
        <v>0</v>
      </c>
      <c r="I2132" s="109" t="n">
        <f aca="false">'[2]$ лето'!ay2132*1.05</f>
        <v>2835</v>
      </c>
    </row>
    <row r="2133" customFormat="false" ht="15" hidden="true" customHeight="false" outlineLevel="0" collapsed="false">
      <c r="A2133" s="115" t="s">
        <v>343</v>
      </c>
      <c r="B2133" s="115" t="s">
        <v>2699</v>
      </c>
      <c r="C2133" s="107" t="s">
        <v>2701</v>
      </c>
      <c r="D2133" s="107"/>
      <c r="E2133" s="107"/>
      <c r="F2133" s="107"/>
      <c r="G2133" s="108"/>
      <c r="H2133" s="105" t="n">
        <f aca="false">'[2]$ лето'!j2133-'[2]$ лето'!au2133-'[2]$ лето'!at2133-'[2]$ лето'!as2133-'[2]$ лето'!ar2133-'[2]$ лето'!aq2133-'[2]$ лето'!ap2133-'[2]$ лето'!an2133-'[2]$ лето'!am2133-'[2]$ лето'!al2133-'[2]$ лето'!ak2133-'[2]$ лето'!aj2133-'[2]$ лето'!ah2133-'[2]$ лето'!ag2133-'[2]$ лето'!af2133-'[2]$ лето'!ae2133-'[2]$ лето'!ad2133-'[2]$ лето'!ab2133-'[2]$ лето'!aa2133-'[2]$ лето'!z2133-'[2]$ лето'!y2133-'[2]$ лето'!x2133-'[2]$ лето'!v2133-'[2]$ лето'!u2133-'[2]$ лето'!t2133-'[2]$ лето'!s2133-'[2]$ лето'!r2133-'[2]$ лето'!p2133-'[2]$ лето'!o2133-'[2]$ лето'!n2133-'[2]$ лето'!m2133-'[2]$ лето'!l2133+'[2]$ лето'!k2133+'[2]$ лето'!q2133+'[2]$ лето'!w2133+'[2]$ лето'!ac2133+'[2]$ лето'!ai2133+'[2]$ лето'!ao2133</f>
        <v>0</v>
      </c>
      <c r="I2133" s="109" t="n">
        <f aca="false">'[2]$ лето'!ay2133*1.05</f>
        <v>2887.5</v>
      </c>
    </row>
    <row r="2134" customFormat="false" ht="15" hidden="false" customHeight="false" outlineLevel="0" collapsed="false">
      <c r="A2134" s="115" t="s">
        <v>343</v>
      </c>
      <c r="B2134" s="115" t="s">
        <v>991</v>
      </c>
      <c r="C2134" s="107" t="s">
        <v>2702</v>
      </c>
      <c r="D2134" s="107"/>
      <c r="E2134" s="116"/>
      <c r="F2134" s="116"/>
      <c r="G2134" s="108" t="s">
        <v>520</v>
      </c>
      <c r="H2134" s="105" t="n">
        <f aca="false">'[2]$ лето'!j2134-'[2]$ лето'!au2134-'[2]$ лето'!at2134-'[2]$ лето'!as2134-'[2]$ лето'!ar2134-'[2]$ лето'!aq2134-'[2]$ лето'!ap2134-'[2]$ лето'!an2134-'[2]$ лето'!am2134-'[2]$ лето'!al2134-'[2]$ лето'!ak2134-'[2]$ лето'!aj2134-'[2]$ лето'!ah2134-'[2]$ лето'!ag2134-'[2]$ лето'!af2134-'[2]$ лето'!ae2134-'[2]$ лето'!ad2134-'[2]$ лето'!ab2134-'[2]$ лето'!aa2134-'[2]$ лето'!z2134-'[2]$ лето'!y2134-'[2]$ лето'!x2134-'[2]$ лето'!v2134-'[2]$ лето'!u2134-'[2]$ лето'!t2134-'[2]$ лето'!s2134-'[2]$ лето'!r2134-'[2]$ лето'!p2134-'[2]$ лето'!o2134-'[2]$ лето'!n2134-'[2]$ лето'!m2134-'[2]$ лето'!l2134+'[2]$ лето'!k2134+'[2]$ лето'!q2134+'[2]$ лето'!w2134+'[2]$ лето'!ac2134+'[2]$ лето'!ai2134+'[2]$ лето'!ao2134</f>
        <v>2</v>
      </c>
      <c r="I2134" s="109" t="n">
        <f aca="false">'[2]$ лето'!ay2134*1.05</f>
        <v>3360</v>
      </c>
    </row>
    <row r="2135" customFormat="false" ht="15" hidden="false" customHeight="false" outlineLevel="0" collapsed="false">
      <c r="A2135" s="115" t="s">
        <v>343</v>
      </c>
      <c r="B2135" s="115" t="s">
        <v>991</v>
      </c>
      <c r="C2135" s="107" t="s">
        <v>2703</v>
      </c>
      <c r="D2135" s="107"/>
      <c r="E2135" s="116"/>
      <c r="F2135" s="116"/>
      <c r="G2135" s="108" t="s">
        <v>520</v>
      </c>
      <c r="H2135" s="105" t="n">
        <f aca="false">'[2]$ лето'!j2135-'[2]$ лето'!au2135-'[2]$ лето'!at2135-'[2]$ лето'!as2135-'[2]$ лето'!ar2135-'[2]$ лето'!aq2135-'[2]$ лето'!ap2135-'[2]$ лето'!an2135-'[2]$ лето'!am2135-'[2]$ лето'!al2135-'[2]$ лето'!ak2135-'[2]$ лето'!aj2135-'[2]$ лето'!ah2135-'[2]$ лето'!ag2135-'[2]$ лето'!af2135-'[2]$ лето'!ae2135-'[2]$ лето'!ad2135-'[2]$ лето'!ab2135-'[2]$ лето'!aa2135-'[2]$ лето'!z2135-'[2]$ лето'!y2135-'[2]$ лето'!x2135-'[2]$ лето'!v2135-'[2]$ лето'!u2135-'[2]$ лето'!t2135-'[2]$ лето'!s2135-'[2]$ лето'!r2135-'[2]$ лето'!p2135-'[2]$ лето'!o2135-'[2]$ лето'!n2135-'[2]$ лето'!m2135-'[2]$ лето'!l2135+'[2]$ лето'!k2135+'[2]$ лето'!q2135+'[2]$ лето'!w2135+'[2]$ лето'!ac2135+'[2]$ лето'!ai2135+'[2]$ лето'!ao2135</f>
        <v>6</v>
      </c>
      <c r="I2135" s="109" t="n">
        <f aca="false">'[2]$ лето'!ay2135*1.05</f>
        <v>3412.5</v>
      </c>
    </row>
    <row r="2136" customFormat="false" ht="15" hidden="true" customHeight="false" outlineLevel="0" collapsed="false">
      <c r="A2136" s="115" t="s">
        <v>343</v>
      </c>
      <c r="B2136" s="115" t="s">
        <v>2688</v>
      </c>
      <c r="C2136" s="116" t="s">
        <v>2704</v>
      </c>
      <c r="D2136" s="116"/>
      <c r="E2136" s="116"/>
      <c r="F2136" s="116"/>
      <c r="G2136" s="108"/>
      <c r="H2136" s="105" t="n">
        <f aca="false">'[2]$ лето'!j2136-'[2]$ лето'!au2136-'[2]$ лето'!at2136-'[2]$ лето'!as2136-'[2]$ лето'!ar2136-'[2]$ лето'!aq2136-'[2]$ лето'!ap2136-'[2]$ лето'!an2136-'[2]$ лето'!am2136-'[2]$ лето'!al2136-'[2]$ лето'!ak2136-'[2]$ лето'!aj2136-'[2]$ лето'!ah2136-'[2]$ лето'!ag2136-'[2]$ лето'!af2136-'[2]$ лето'!ae2136-'[2]$ лето'!ad2136-'[2]$ лето'!ab2136-'[2]$ лето'!aa2136-'[2]$ лето'!z2136-'[2]$ лето'!y2136-'[2]$ лето'!x2136-'[2]$ лето'!v2136-'[2]$ лето'!u2136-'[2]$ лето'!t2136-'[2]$ лето'!s2136-'[2]$ лето'!r2136-'[2]$ лето'!p2136-'[2]$ лето'!o2136-'[2]$ лето'!n2136-'[2]$ лето'!m2136-'[2]$ лето'!l2136+'[2]$ лето'!k2136+'[2]$ лето'!q2136+'[2]$ лето'!w2136+'[2]$ лето'!ac2136+'[2]$ лето'!ai2136+'[2]$ лето'!ao2136</f>
        <v>0</v>
      </c>
      <c r="I2136" s="109" t="n">
        <f aca="false">'[2]$ лето'!ay2136*1.05</f>
        <v>2362.5</v>
      </c>
    </row>
    <row r="2137" customFormat="false" ht="15" hidden="false" customHeight="false" outlineLevel="0" collapsed="false">
      <c r="A2137" s="115" t="s">
        <v>343</v>
      </c>
      <c r="B2137" s="115" t="s">
        <v>2705</v>
      </c>
      <c r="C2137" s="116" t="s">
        <v>2706</v>
      </c>
      <c r="D2137" s="116"/>
      <c r="E2137" s="116"/>
      <c r="F2137" s="116"/>
      <c r="G2137" s="108"/>
      <c r="H2137" s="105" t="n">
        <f aca="false">'[2]$ лето'!j2137-'[2]$ лето'!au2137-'[2]$ лето'!at2137-'[2]$ лето'!as2137-'[2]$ лето'!ar2137-'[2]$ лето'!aq2137-'[2]$ лето'!ap2137-'[2]$ лето'!an2137-'[2]$ лето'!am2137-'[2]$ лето'!al2137-'[2]$ лето'!ak2137-'[2]$ лето'!aj2137-'[2]$ лето'!ah2137-'[2]$ лето'!ag2137-'[2]$ лето'!af2137-'[2]$ лето'!ae2137-'[2]$ лето'!ad2137-'[2]$ лето'!ab2137-'[2]$ лето'!aa2137-'[2]$ лето'!z2137-'[2]$ лето'!y2137-'[2]$ лето'!x2137-'[2]$ лето'!v2137-'[2]$ лето'!u2137-'[2]$ лето'!t2137-'[2]$ лето'!s2137-'[2]$ лето'!r2137-'[2]$ лето'!p2137-'[2]$ лето'!o2137-'[2]$ лето'!n2137-'[2]$ лето'!m2137-'[2]$ лето'!l2137+'[2]$ лето'!k2137+'[2]$ лето'!q2137+'[2]$ лето'!w2137+'[2]$ лето'!ac2137+'[2]$ лето'!ai2137+'[2]$ лето'!ao2137</f>
        <v>15</v>
      </c>
      <c r="I2137" s="109" t="n">
        <f aca="false">'[2]$ лето'!ay2137*1.05</f>
        <v>2887.5</v>
      </c>
    </row>
    <row r="2138" customFormat="false" ht="15" hidden="false" customHeight="false" outlineLevel="0" collapsed="false">
      <c r="A2138" s="115" t="s">
        <v>343</v>
      </c>
      <c r="B2138" s="115" t="s">
        <v>601</v>
      </c>
      <c r="C2138" s="116" t="s">
        <v>2707</v>
      </c>
      <c r="D2138" s="116"/>
      <c r="E2138" s="116"/>
      <c r="F2138" s="116"/>
      <c r="G2138" s="108" t="s">
        <v>626</v>
      </c>
      <c r="H2138" s="105" t="n">
        <f aca="false">'[2]$ лето'!j2138-'[2]$ лето'!au2138-'[2]$ лето'!at2138-'[2]$ лето'!as2138-'[2]$ лето'!ar2138-'[2]$ лето'!aq2138-'[2]$ лето'!ap2138-'[2]$ лето'!an2138-'[2]$ лето'!am2138-'[2]$ лето'!al2138-'[2]$ лето'!ak2138-'[2]$ лето'!aj2138-'[2]$ лето'!ah2138-'[2]$ лето'!ag2138-'[2]$ лето'!af2138-'[2]$ лето'!ae2138-'[2]$ лето'!ad2138-'[2]$ лето'!ab2138-'[2]$ лето'!aa2138-'[2]$ лето'!z2138-'[2]$ лето'!y2138-'[2]$ лето'!x2138-'[2]$ лето'!v2138-'[2]$ лето'!u2138-'[2]$ лето'!t2138-'[2]$ лето'!s2138-'[2]$ лето'!r2138-'[2]$ лето'!p2138-'[2]$ лето'!o2138-'[2]$ лето'!n2138-'[2]$ лето'!m2138-'[2]$ лето'!l2138+'[2]$ лето'!k2138+'[2]$ лето'!q2138+'[2]$ лето'!w2138+'[2]$ лето'!ac2138+'[2]$ лето'!ai2138+'[2]$ лето'!ao2138</f>
        <v>8</v>
      </c>
      <c r="I2138" s="109" t="n">
        <f aca="false">'[2]$ лето'!ay2138*1.05</f>
        <v>4410</v>
      </c>
      <c r="J2138" s="85" t="n">
        <v>2017</v>
      </c>
    </row>
    <row r="2139" customFormat="false" ht="15" hidden="true" customHeight="false" outlineLevel="0" collapsed="false">
      <c r="A2139" s="115" t="s">
        <v>343</v>
      </c>
      <c r="B2139" s="115" t="s">
        <v>2708</v>
      </c>
      <c r="C2139" s="116" t="s">
        <v>2709</v>
      </c>
      <c r="D2139" s="116"/>
      <c r="E2139" s="116"/>
      <c r="F2139" s="116"/>
      <c r="G2139" s="108"/>
      <c r="H2139" s="105" t="n">
        <f aca="false">'[2]$ лето'!j2139-'[2]$ лето'!au2139-'[2]$ лето'!at2139-'[2]$ лето'!as2139-'[2]$ лето'!ar2139-'[2]$ лето'!aq2139-'[2]$ лето'!ap2139-'[2]$ лето'!an2139-'[2]$ лето'!am2139-'[2]$ лето'!al2139-'[2]$ лето'!ak2139-'[2]$ лето'!aj2139-'[2]$ лето'!ah2139-'[2]$ лето'!ag2139-'[2]$ лето'!af2139-'[2]$ лето'!ae2139-'[2]$ лето'!ad2139-'[2]$ лето'!ab2139-'[2]$ лето'!aa2139-'[2]$ лето'!z2139-'[2]$ лето'!y2139-'[2]$ лето'!x2139-'[2]$ лето'!v2139-'[2]$ лето'!u2139-'[2]$ лето'!t2139-'[2]$ лето'!s2139-'[2]$ лето'!r2139-'[2]$ лето'!p2139-'[2]$ лето'!o2139-'[2]$ лето'!n2139-'[2]$ лето'!m2139-'[2]$ лето'!l2139+'[2]$ лето'!k2139+'[2]$ лето'!q2139+'[2]$ лето'!w2139+'[2]$ лето'!ac2139+'[2]$ лето'!ai2139+'[2]$ лето'!ao2139</f>
        <v>0</v>
      </c>
      <c r="I2139" s="109" t="n">
        <f aca="false">'[2]$ лето'!ay2139*1.05</f>
        <v>2782.5</v>
      </c>
    </row>
    <row r="2140" customFormat="false" ht="15" hidden="true" customHeight="false" outlineLevel="0" collapsed="false">
      <c r="A2140" s="115" t="s">
        <v>343</v>
      </c>
      <c r="B2140" s="115" t="s">
        <v>658</v>
      </c>
      <c r="C2140" s="107" t="s">
        <v>2690</v>
      </c>
      <c r="D2140" s="107"/>
      <c r="E2140" s="107"/>
      <c r="F2140" s="107"/>
      <c r="G2140" s="108"/>
      <c r="H2140" s="105" t="n">
        <f aca="false">'[2]$ лето'!j2140-'[2]$ лето'!au2140-'[2]$ лето'!at2140-'[2]$ лето'!as2140-'[2]$ лето'!ar2140-'[2]$ лето'!aq2140-'[2]$ лето'!ap2140-'[2]$ лето'!an2140-'[2]$ лето'!am2140-'[2]$ лето'!al2140-'[2]$ лето'!ak2140-'[2]$ лето'!aj2140-'[2]$ лето'!ah2140-'[2]$ лето'!ag2140-'[2]$ лето'!af2140-'[2]$ лето'!ae2140-'[2]$ лето'!ad2140-'[2]$ лето'!ab2140-'[2]$ лето'!aa2140-'[2]$ лето'!z2140-'[2]$ лето'!y2140-'[2]$ лето'!x2140-'[2]$ лето'!v2140-'[2]$ лето'!u2140-'[2]$ лето'!t2140-'[2]$ лето'!s2140-'[2]$ лето'!r2140-'[2]$ лето'!p2140-'[2]$ лето'!o2140-'[2]$ лето'!n2140-'[2]$ лето'!m2140-'[2]$ лето'!l2140+'[2]$ лето'!k2140+'[2]$ лето'!q2140+'[2]$ лето'!w2140+'[2]$ лето'!ac2140+'[2]$ лето'!ai2140+'[2]$ лето'!ao2140</f>
        <v>0</v>
      </c>
      <c r="I2140" s="109" t="n">
        <f aca="false">'[2]$ лето'!ay2140*1.05</f>
        <v>4920.3</v>
      </c>
    </row>
    <row r="2141" customFormat="false" ht="15" hidden="false" customHeight="false" outlineLevel="0" collapsed="false">
      <c r="A2141" s="115" t="s">
        <v>343</v>
      </c>
      <c r="B2141" s="115" t="s">
        <v>2710</v>
      </c>
      <c r="C2141" s="134" t="s">
        <v>2711</v>
      </c>
      <c r="D2141" s="134"/>
      <c r="E2141" s="134"/>
      <c r="F2141" s="134"/>
      <c r="G2141" s="108"/>
      <c r="H2141" s="105" t="n">
        <f aca="false">'[2]$ лето'!j2141-'[2]$ лето'!au2141-'[2]$ лето'!at2141-'[2]$ лето'!as2141-'[2]$ лето'!ar2141-'[2]$ лето'!aq2141-'[2]$ лето'!ap2141-'[2]$ лето'!an2141-'[2]$ лето'!am2141-'[2]$ лето'!al2141-'[2]$ лето'!ak2141-'[2]$ лето'!aj2141-'[2]$ лето'!ah2141-'[2]$ лето'!ag2141-'[2]$ лето'!af2141-'[2]$ лето'!ae2141-'[2]$ лето'!ad2141-'[2]$ лето'!ab2141-'[2]$ лето'!aa2141-'[2]$ лето'!z2141-'[2]$ лето'!y2141-'[2]$ лето'!x2141-'[2]$ лето'!v2141-'[2]$ лето'!u2141-'[2]$ лето'!t2141-'[2]$ лето'!s2141-'[2]$ лето'!r2141-'[2]$ лето'!p2141-'[2]$ лето'!o2141-'[2]$ лето'!n2141-'[2]$ лето'!m2141-'[2]$ лето'!l2141+'[2]$ лето'!k2141+'[2]$ лето'!q2141+'[2]$ лето'!w2141+'[2]$ лето'!ac2141+'[2]$ лето'!ai2141+'[2]$ лето'!ao2141</f>
        <v>8</v>
      </c>
      <c r="I2141" s="109" t="n">
        <f aca="false">'[2]$ лето'!ay2141*1.05</f>
        <v>3150</v>
      </c>
    </row>
    <row r="2142" customFormat="false" ht="15" hidden="false" customHeight="false" outlineLevel="0" collapsed="false">
      <c r="A2142" s="115" t="s">
        <v>343</v>
      </c>
      <c r="B2142" s="115" t="s">
        <v>2710</v>
      </c>
      <c r="C2142" s="134" t="s">
        <v>2712</v>
      </c>
      <c r="D2142" s="134"/>
      <c r="E2142" s="134"/>
      <c r="F2142" s="134"/>
      <c r="G2142" s="108"/>
      <c r="H2142" s="105" t="n">
        <f aca="false">'[2]$ лето'!j2142-'[2]$ лето'!au2142-'[2]$ лето'!at2142-'[2]$ лето'!as2142-'[2]$ лето'!ar2142-'[2]$ лето'!aq2142-'[2]$ лето'!ap2142-'[2]$ лето'!an2142-'[2]$ лето'!am2142-'[2]$ лето'!al2142-'[2]$ лето'!ak2142-'[2]$ лето'!aj2142-'[2]$ лето'!ah2142-'[2]$ лето'!ag2142-'[2]$ лето'!af2142-'[2]$ лето'!ae2142-'[2]$ лето'!ad2142-'[2]$ лето'!ab2142-'[2]$ лето'!aa2142-'[2]$ лето'!z2142-'[2]$ лето'!y2142-'[2]$ лето'!x2142-'[2]$ лето'!v2142-'[2]$ лето'!u2142-'[2]$ лето'!t2142-'[2]$ лето'!s2142-'[2]$ лето'!r2142-'[2]$ лето'!p2142-'[2]$ лето'!o2142-'[2]$ лето'!n2142-'[2]$ лето'!m2142-'[2]$ лето'!l2142+'[2]$ лето'!k2142+'[2]$ лето'!q2142+'[2]$ лето'!w2142+'[2]$ лето'!ac2142+'[2]$ лето'!ai2142+'[2]$ лето'!ao2142</f>
        <v>4</v>
      </c>
      <c r="I2142" s="109" t="n">
        <f aca="false">'[2]$ лето'!ay2142*1.05</f>
        <v>3176.25</v>
      </c>
    </row>
    <row r="2143" customFormat="false" ht="15" hidden="false" customHeight="false" outlineLevel="0" collapsed="false">
      <c r="A2143" s="115" t="s">
        <v>343</v>
      </c>
      <c r="B2143" s="115" t="s">
        <v>2713</v>
      </c>
      <c r="C2143" s="134" t="s">
        <v>2714</v>
      </c>
      <c r="D2143" s="134"/>
      <c r="E2143" s="134"/>
      <c r="F2143" s="134"/>
      <c r="G2143" s="108"/>
      <c r="H2143" s="105" t="n">
        <f aca="false">'[2]$ лето'!j2143-'[2]$ лето'!au2143-'[2]$ лето'!at2143-'[2]$ лето'!as2143-'[2]$ лето'!ar2143-'[2]$ лето'!aq2143-'[2]$ лето'!ap2143-'[2]$ лето'!an2143-'[2]$ лето'!am2143-'[2]$ лето'!al2143-'[2]$ лето'!ak2143-'[2]$ лето'!aj2143-'[2]$ лето'!ah2143-'[2]$ лето'!ag2143-'[2]$ лето'!af2143-'[2]$ лето'!ae2143-'[2]$ лето'!ad2143-'[2]$ лето'!ab2143-'[2]$ лето'!aa2143-'[2]$ лето'!z2143-'[2]$ лето'!y2143-'[2]$ лето'!x2143-'[2]$ лето'!v2143-'[2]$ лето'!u2143-'[2]$ лето'!t2143-'[2]$ лето'!s2143-'[2]$ лето'!r2143-'[2]$ лето'!p2143-'[2]$ лето'!o2143-'[2]$ лето'!n2143-'[2]$ лето'!m2143-'[2]$ лето'!l2143+'[2]$ лето'!k2143+'[2]$ лето'!q2143+'[2]$ лето'!w2143+'[2]$ лето'!ac2143+'[2]$ лето'!ai2143+'[2]$ лето'!ao2143</f>
        <v>10</v>
      </c>
      <c r="I2143" s="109" t="n">
        <f aca="false">'[2]$ лето'!ay2143*1.05</f>
        <v>2887.5</v>
      </c>
    </row>
    <row r="2144" customFormat="false" ht="15" hidden="true" customHeight="false" outlineLevel="0" collapsed="false">
      <c r="A2144" s="115" t="s">
        <v>343</v>
      </c>
      <c r="B2144" s="115" t="s">
        <v>2713</v>
      </c>
      <c r="C2144" s="134" t="s">
        <v>2715</v>
      </c>
      <c r="D2144" s="134"/>
      <c r="E2144" s="134"/>
      <c r="F2144" s="134"/>
      <c r="G2144" s="108"/>
      <c r="H2144" s="105" t="n">
        <f aca="false">'[2]$ лето'!j2144-'[2]$ лето'!au2144-'[2]$ лето'!at2144-'[2]$ лето'!as2144-'[2]$ лето'!ar2144-'[2]$ лето'!aq2144-'[2]$ лето'!ap2144-'[2]$ лето'!an2144-'[2]$ лето'!am2144-'[2]$ лето'!al2144-'[2]$ лето'!ak2144-'[2]$ лето'!aj2144-'[2]$ лето'!ah2144-'[2]$ лето'!ag2144-'[2]$ лето'!af2144-'[2]$ лето'!ae2144-'[2]$ лето'!ad2144-'[2]$ лето'!ab2144-'[2]$ лето'!aa2144-'[2]$ лето'!z2144-'[2]$ лето'!y2144-'[2]$ лето'!x2144-'[2]$ лето'!v2144-'[2]$ лето'!u2144-'[2]$ лето'!t2144-'[2]$ лето'!s2144-'[2]$ лето'!r2144-'[2]$ лето'!p2144-'[2]$ лето'!o2144-'[2]$ лето'!n2144-'[2]$ лето'!m2144-'[2]$ лето'!l2144+'[2]$ лето'!k2144+'[2]$ лето'!q2144+'[2]$ лето'!w2144+'[2]$ лето'!ac2144+'[2]$ лето'!ai2144+'[2]$ лето'!ao2144</f>
        <v>0</v>
      </c>
      <c r="I2144" s="109" t="n">
        <f aca="false">'[2]$ лето'!ay2144*1.05</f>
        <v>2373</v>
      </c>
      <c r="J2144" s="85" t="s">
        <v>2716</v>
      </c>
    </row>
    <row r="2145" customFormat="false" ht="15" hidden="true" customHeight="false" outlineLevel="0" collapsed="false">
      <c r="A2145" s="115" t="s">
        <v>343</v>
      </c>
      <c r="B2145" s="115" t="s">
        <v>604</v>
      </c>
      <c r="C2145" s="134" t="s">
        <v>2717</v>
      </c>
      <c r="D2145" s="134"/>
      <c r="E2145" s="134"/>
      <c r="F2145" s="134"/>
      <c r="G2145" s="108"/>
      <c r="H2145" s="105" t="n">
        <f aca="false">'[2]$ лето'!j2145-'[2]$ лето'!au2145-'[2]$ лето'!at2145-'[2]$ лето'!as2145-'[2]$ лето'!ar2145-'[2]$ лето'!aq2145-'[2]$ лето'!ap2145-'[2]$ лето'!an2145-'[2]$ лето'!am2145-'[2]$ лето'!al2145-'[2]$ лето'!ak2145-'[2]$ лето'!aj2145-'[2]$ лето'!ah2145-'[2]$ лето'!ag2145-'[2]$ лето'!af2145-'[2]$ лето'!ae2145-'[2]$ лето'!ad2145-'[2]$ лето'!ab2145-'[2]$ лето'!aa2145-'[2]$ лето'!z2145-'[2]$ лето'!y2145-'[2]$ лето'!x2145-'[2]$ лето'!v2145-'[2]$ лето'!u2145-'[2]$ лето'!t2145-'[2]$ лето'!s2145-'[2]$ лето'!r2145-'[2]$ лето'!p2145-'[2]$ лето'!o2145-'[2]$ лето'!n2145-'[2]$ лето'!m2145-'[2]$ лето'!l2145+'[2]$ лето'!k2145+'[2]$ лето'!q2145+'[2]$ лето'!w2145+'[2]$ лето'!ac2145+'[2]$ лето'!ai2145+'[2]$ лето'!ao2145</f>
        <v>0</v>
      </c>
      <c r="I2145" s="109" t="n">
        <f aca="false">'[2]$ лето'!ay2145*1.05</f>
        <v>4025.7</v>
      </c>
    </row>
    <row r="2146" customFormat="false" ht="15" hidden="true" customHeight="false" outlineLevel="0" collapsed="false">
      <c r="A2146" s="115" t="s">
        <v>343</v>
      </c>
      <c r="B2146" s="115" t="s">
        <v>604</v>
      </c>
      <c r="C2146" s="134" t="s">
        <v>2718</v>
      </c>
      <c r="D2146" s="134"/>
      <c r="E2146" s="134"/>
      <c r="F2146" s="134"/>
      <c r="G2146" s="108"/>
      <c r="H2146" s="105" t="n">
        <f aca="false">'[2]$ лето'!j2146-'[2]$ лето'!au2146-'[2]$ лето'!at2146-'[2]$ лето'!as2146-'[2]$ лето'!ar2146-'[2]$ лето'!aq2146-'[2]$ лето'!ap2146-'[2]$ лето'!an2146-'[2]$ лето'!am2146-'[2]$ лето'!al2146-'[2]$ лето'!ak2146-'[2]$ лето'!aj2146-'[2]$ лето'!ah2146-'[2]$ лето'!ag2146-'[2]$ лето'!af2146-'[2]$ лето'!ae2146-'[2]$ лето'!ad2146-'[2]$ лето'!ab2146-'[2]$ лето'!aa2146-'[2]$ лето'!z2146-'[2]$ лето'!y2146-'[2]$ лето'!x2146-'[2]$ лето'!v2146-'[2]$ лето'!u2146-'[2]$ лето'!t2146-'[2]$ лето'!s2146-'[2]$ лето'!r2146-'[2]$ лето'!p2146-'[2]$ лето'!o2146-'[2]$ лето'!n2146-'[2]$ лето'!m2146-'[2]$ лето'!l2146+'[2]$ лето'!k2146+'[2]$ лето'!q2146+'[2]$ лето'!w2146+'[2]$ лето'!ac2146+'[2]$ лето'!ai2146+'[2]$ лето'!ao2146</f>
        <v>0</v>
      </c>
      <c r="I2146" s="109" t="n">
        <f aca="false">'[2]$ лето'!ay2146*1.05</f>
        <v>4025.7</v>
      </c>
    </row>
    <row r="2147" customFormat="false" ht="15" hidden="false" customHeight="false" outlineLevel="0" collapsed="false">
      <c r="A2147" s="115" t="s">
        <v>343</v>
      </c>
      <c r="B2147" s="115" t="s">
        <v>606</v>
      </c>
      <c r="C2147" s="116" t="s">
        <v>2719</v>
      </c>
      <c r="D2147" s="116"/>
      <c r="E2147" s="116"/>
      <c r="F2147" s="116"/>
      <c r="G2147" s="108" t="s">
        <v>609</v>
      </c>
      <c r="H2147" s="105" t="n">
        <f aca="false">'[2]$ лето'!j2147-'[2]$ лето'!au2147-'[2]$ лето'!at2147-'[2]$ лето'!as2147-'[2]$ лето'!ar2147-'[2]$ лето'!aq2147-'[2]$ лето'!ap2147-'[2]$ лето'!an2147-'[2]$ лето'!am2147-'[2]$ лето'!al2147-'[2]$ лето'!ak2147-'[2]$ лето'!aj2147-'[2]$ лето'!ah2147-'[2]$ лето'!ag2147-'[2]$ лето'!af2147-'[2]$ лето'!ae2147-'[2]$ лето'!ad2147-'[2]$ лето'!ab2147-'[2]$ лето'!aa2147-'[2]$ лето'!z2147-'[2]$ лето'!y2147-'[2]$ лето'!x2147-'[2]$ лето'!v2147-'[2]$ лето'!u2147-'[2]$ лето'!t2147-'[2]$ лето'!s2147-'[2]$ лето'!r2147-'[2]$ лето'!p2147-'[2]$ лето'!o2147-'[2]$ лето'!n2147-'[2]$ лето'!m2147-'[2]$ лето'!l2147+'[2]$ лето'!k2147+'[2]$ лето'!q2147+'[2]$ лето'!w2147+'[2]$ лето'!ac2147+'[2]$ лето'!ai2147+'[2]$ лето'!ao2147</f>
        <v>8</v>
      </c>
      <c r="I2147" s="109" t="n">
        <f aca="false">'[2]$ лето'!ay2147*1.05</f>
        <v>4462.5</v>
      </c>
    </row>
    <row r="2148" customFormat="false" ht="15" hidden="false" customHeight="false" outlineLevel="0" collapsed="false">
      <c r="A2148" s="115" t="s">
        <v>343</v>
      </c>
      <c r="B2148" s="115" t="s">
        <v>606</v>
      </c>
      <c r="C2148" s="116" t="s">
        <v>2720</v>
      </c>
      <c r="D2148" s="116"/>
      <c r="E2148" s="116"/>
      <c r="F2148" s="116"/>
      <c r="G2148" s="108" t="s">
        <v>609</v>
      </c>
      <c r="H2148" s="105" t="n">
        <f aca="false">'[2]$ лето'!j2148-'[2]$ лето'!au2148-'[2]$ лето'!at2148-'[2]$ лето'!as2148-'[2]$ лето'!ar2148-'[2]$ лето'!aq2148-'[2]$ лето'!ap2148-'[2]$ лето'!an2148-'[2]$ лето'!am2148-'[2]$ лето'!al2148-'[2]$ лето'!ak2148-'[2]$ лето'!aj2148-'[2]$ лето'!ah2148-'[2]$ лето'!ag2148-'[2]$ лето'!af2148-'[2]$ лето'!ae2148-'[2]$ лето'!ad2148-'[2]$ лето'!ab2148-'[2]$ лето'!aa2148-'[2]$ лето'!z2148-'[2]$ лето'!y2148-'[2]$ лето'!x2148-'[2]$ лето'!v2148-'[2]$ лето'!u2148-'[2]$ лето'!t2148-'[2]$ лето'!s2148-'[2]$ лето'!r2148-'[2]$ лето'!p2148-'[2]$ лето'!o2148-'[2]$ лето'!n2148-'[2]$ лето'!m2148-'[2]$ лето'!l2148+'[2]$ лето'!k2148+'[2]$ лето'!q2148+'[2]$ лето'!w2148+'[2]$ лето'!ac2148+'[2]$ лето'!ai2148+'[2]$ лето'!ao2148</f>
        <v>12</v>
      </c>
      <c r="I2148" s="109" t="n">
        <f aca="false">'[2]$ лето'!ay2148*1.05</f>
        <v>4462.5</v>
      </c>
    </row>
    <row r="2149" customFormat="false" ht="15" hidden="true" customHeight="false" outlineLevel="0" collapsed="false">
      <c r="A2149" s="115" t="s">
        <v>343</v>
      </c>
      <c r="B2149" s="115" t="s">
        <v>572</v>
      </c>
      <c r="C2149" s="116" t="s">
        <v>2721</v>
      </c>
      <c r="D2149" s="116"/>
      <c r="E2149" s="116"/>
      <c r="F2149" s="116"/>
      <c r="G2149" s="108" t="s">
        <v>868</v>
      </c>
      <c r="H2149" s="105" t="n">
        <f aca="false">'[2]$ лето'!j2149-'[2]$ лето'!au2149-'[2]$ лето'!at2149-'[2]$ лето'!as2149-'[2]$ лето'!ar2149-'[2]$ лето'!aq2149-'[2]$ лето'!ap2149-'[2]$ лето'!an2149-'[2]$ лето'!am2149-'[2]$ лето'!al2149-'[2]$ лето'!ak2149-'[2]$ лето'!aj2149-'[2]$ лето'!ah2149-'[2]$ лето'!ag2149-'[2]$ лето'!af2149-'[2]$ лето'!ae2149-'[2]$ лето'!ad2149-'[2]$ лето'!ab2149-'[2]$ лето'!aa2149-'[2]$ лето'!z2149-'[2]$ лето'!y2149-'[2]$ лето'!x2149-'[2]$ лето'!v2149-'[2]$ лето'!u2149-'[2]$ лето'!t2149-'[2]$ лето'!s2149-'[2]$ лето'!r2149-'[2]$ лето'!p2149-'[2]$ лето'!o2149-'[2]$ лето'!n2149-'[2]$ лето'!m2149-'[2]$ лето'!l2149+'[2]$ лето'!k2149+'[2]$ лето'!q2149+'[2]$ лето'!w2149+'[2]$ лето'!ac2149+'[2]$ лето'!ai2149+'[2]$ лето'!ao2149</f>
        <v>0</v>
      </c>
      <c r="I2149" s="109" t="n">
        <f aca="false">'[2]$ лето'!ay2149*1.05</f>
        <v>4174.8</v>
      </c>
    </row>
    <row r="2150" customFormat="false" ht="15" hidden="true" customHeight="false" outlineLevel="0" collapsed="false">
      <c r="A2150" s="115" t="s">
        <v>343</v>
      </c>
      <c r="B2150" s="115" t="s">
        <v>572</v>
      </c>
      <c r="C2150" s="107" t="s">
        <v>2722</v>
      </c>
      <c r="D2150" s="107"/>
      <c r="E2150" s="107"/>
      <c r="F2150" s="107"/>
      <c r="G2150" s="108" t="s">
        <v>868</v>
      </c>
      <c r="H2150" s="105" t="n">
        <f aca="false">'[2]$ лето'!j2150-'[2]$ лето'!au2150-'[2]$ лето'!at2150-'[2]$ лето'!as2150-'[2]$ лето'!ar2150-'[2]$ лето'!aq2150-'[2]$ лето'!ap2150-'[2]$ лето'!an2150-'[2]$ лето'!am2150-'[2]$ лето'!al2150-'[2]$ лето'!ak2150-'[2]$ лето'!aj2150-'[2]$ лето'!ah2150-'[2]$ лето'!ag2150-'[2]$ лето'!af2150-'[2]$ лето'!ae2150-'[2]$ лето'!ad2150-'[2]$ лето'!ab2150-'[2]$ лето'!aa2150-'[2]$ лето'!z2150-'[2]$ лето'!y2150-'[2]$ лето'!x2150-'[2]$ лето'!v2150-'[2]$ лето'!u2150-'[2]$ лето'!t2150-'[2]$ лето'!s2150-'[2]$ лето'!r2150-'[2]$ лето'!p2150-'[2]$ лето'!o2150-'[2]$ лето'!n2150-'[2]$ лето'!m2150-'[2]$ лето'!l2150+'[2]$ лето'!k2150+'[2]$ лето'!q2150+'[2]$ лето'!w2150+'[2]$ лето'!ac2150+'[2]$ лето'!ai2150+'[2]$ лето'!ao2150</f>
        <v>0</v>
      </c>
      <c r="I2150" s="109" t="n">
        <f aca="false">'[2]$ лето'!ay2150*1.05</f>
        <v>4323.9</v>
      </c>
    </row>
    <row r="2151" customFormat="false" ht="15" hidden="true" customHeight="false" outlineLevel="0" collapsed="false">
      <c r="A2151" s="115" t="s">
        <v>343</v>
      </c>
      <c r="B2151" s="115" t="s">
        <v>572</v>
      </c>
      <c r="C2151" s="116" t="s">
        <v>2723</v>
      </c>
      <c r="D2151" s="116"/>
      <c r="E2151" s="116"/>
      <c r="F2151" s="116"/>
      <c r="G2151" s="108"/>
      <c r="H2151" s="105" t="n">
        <f aca="false">'[2]$ лето'!j2151-'[2]$ лето'!au2151-'[2]$ лето'!at2151-'[2]$ лето'!as2151-'[2]$ лето'!ar2151-'[2]$ лето'!aq2151-'[2]$ лето'!ap2151-'[2]$ лето'!an2151-'[2]$ лето'!am2151-'[2]$ лето'!al2151-'[2]$ лето'!ak2151-'[2]$ лето'!aj2151-'[2]$ лето'!ah2151-'[2]$ лето'!ag2151-'[2]$ лето'!af2151-'[2]$ лето'!ae2151-'[2]$ лето'!ad2151-'[2]$ лето'!ab2151-'[2]$ лето'!aa2151-'[2]$ лето'!z2151-'[2]$ лето'!y2151-'[2]$ лето'!x2151-'[2]$ лето'!v2151-'[2]$ лето'!u2151-'[2]$ лето'!t2151-'[2]$ лето'!s2151-'[2]$ лето'!r2151-'[2]$ лето'!p2151-'[2]$ лето'!o2151-'[2]$ лето'!n2151-'[2]$ лето'!m2151-'[2]$ лето'!l2151+'[2]$ лето'!k2151+'[2]$ лето'!q2151+'[2]$ лето'!w2151+'[2]$ лето'!ac2151+'[2]$ лето'!ai2151+'[2]$ лето'!ao2151</f>
        <v>0</v>
      </c>
      <c r="I2151" s="109" t="n">
        <f aca="false">'[2]$ лето'!ay2151*1.05</f>
        <v>4920.3</v>
      </c>
    </row>
    <row r="2152" customFormat="false" ht="15" hidden="false" customHeight="false" outlineLevel="0" collapsed="false">
      <c r="A2152" s="115" t="s">
        <v>343</v>
      </c>
      <c r="B2152" s="115" t="s">
        <v>2724</v>
      </c>
      <c r="C2152" s="116" t="s">
        <v>2725</v>
      </c>
      <c r="D2152" s="116"/>
      <c r="E2152" s="116"/>
      <c r="F2152" s="116"/>
      <c r="G2152" s="108"/>
      <c r="H2152" s="105" t="n">
        <f aca="false">'[2]$ лето'!j2152-'[2]$ лето'!au2152-'[2]$ лето'!at2152-'[2]$ лето'!as2152-'[2]$ лето'!ar2152-'[2]$ лето'!aq2152-'[2]$ лето'!ap2152-'[2]$ лето'!an2152-'[2]$ лето'!am2152-'[2]$ лето'!al2152-'[2]$ лето'!ak2152-'[2]$ лето'!aj2152-'[2]$ лето'!ah2152-'[2]$ лето'!ag2152-'[2]$ лето'!af2152-'[2]$ лето'!ae2152-'[2]$ лето'!ad2152-'[2]$ лето'!ab2152-'[2]$ лето'!aa2152-'[2]$ лето'!z2152-'[2]$ лето'!y2152-'[2]$ лето'!x2152-'[2]$ лето'!v2152-'[2]$ лето'!u2152-'[2]$ лето'!t2152-'[2]$ лето'!s2152-'[2]$ лето'!r2152-'[2]$ лето'!p2152-'[2]$ лето'!o2152-'[2]$ лето'!n2152-'[2]$ лето'!m2152-'[2]$ лето'!l2152+'[2]$ лето'!k2152+'[2]$ лето'!q2152+'[2]$ лето'!w2152+'[2]$ лето'!ac2152+'[2]$ лето'!ai2152+'[2]$ лето'!ao2152</f>
        <v>2</v>
      </c>
      <c r="I2152" s="109" t="n">
        <f aca="false">'[2]$ лето'!ay2152*1.05</f>
        <v>2887.5</v>
      </c>
    </row>
    <row r="2153" customFormat="false" ht="15" hidden="true" customHeight="false" outlineLevel="0" collapsed="false">
      <c r="A2153" s="115" t="s">
        <v>343</v>
      </c>
      <c r="B2153" s="115" t="s">
        <v>574</v>
      </c>
      <c r="C2153" s="116" t="s">
        <v>2726</v>
      </c>
      <c r="D2153" s="116"/>
      <c r="E2153" s="116"/>
      <c r="F2153" s="116"/>
      <c r="G2153" s="108" t="s">
        <v>576</v>
      </c>
      <c r="H2153" s="105" t="n">
        <f aca="false">'[2]$ лето'!j2153-'[2]$ лето'!au2153-'[2]$ лето'!at2153-'[2]$ лето'!as2153-'[2]$ лето'!ar2153-'[2]$ лето'!aq2153-'[2]$ лето'!ap2153-'[2]$ лето'!an2153-'[2]$ лето'!am2153-'[2]$ лето'!al2153-'[2]$ лето'!ak2153-'[2]$ лето'!aj2153-'[2]$ лето'!ah2153-'[2]$ лето'!ag2153-'[2]$ лето'!af2153-'[2]$ лето'!ae2153-'[2]$ лето'!ad2153-'[2]$ лето'!ab2153-'[2]$ лето'!aa2153-'[2]$ лето'!z2153-'[2]$ лето'!y2153-'[2]$ лето'!x2153-'[2]$ лето'!v2153-'[2]$ лето'!u2153-'[2]$ лето'!t2153-'[2]$ лето'!s2153-'[2]$ лето'!r2153-'[2]$ лето'!p2153-'[2]$ лето'!o2153-'[2]$ лето'!n2153-'[2]$ лето'!m2153-'[2]$ лето'!l2153+'[2]$ лето'!k2153+'[2]$ лето'!q2153+'[2]$ лето'!w2153+'[2]$ лето'!ac2153+'[2]$ лето'!ai2153+'[2]$ лето'!ao2153</f>
        <v>0</v>
      </c>
      <c r="I2153" s="109" t="n">
        <f aca="false">'[2]$ лето'!ay2153*1.05</f>
        <v>3936.24</v>
      </c>
    </row>
    <row r="2154" customFormat="false" ht="15" hidden="false" customHeight="false" outlineLevel="0" collapsed="false">
      <c r="A2154" s="115" t="s">
        <v>343</v>
      </c>
      <c r="B2154" s="115" t="s">
        <v>574</v>
      </c>
      <c r="C2154" s="116" t="s">
        <v>2727</v>
      </c>
      <c r="D2154" s="116"/>
      <c r="E2154" s="116"/>
      <c r="F2154" s="116"/>
      <c r="G2154" s="108" t="s">
        <v>576</v>
      </c>
      <c r="H2154" s="105" t="n">
        <f aca="false">'[2]$ лето'!j2154-'[2]$ лето'!au2154-'[2]$ лето'!at2154-'[2]$ лето'!as2154-'[2]$ лето'!ar2154-'[2]$ лето'!aq2154-'[2]$ лето'!ap2154-'[2]$ лето'!an2154-'[2]$ лето'!am2154-'[2]$ лето'!al2154-'[2]$ лето'!ak2154-'[2]$ лето'!aj2154-'[2]$ лето'!ah2154-'[2]$ лето'!ag2154-'[2]$ лето'!af2154-'[2]$ лето'!ae2154-'[2]$ лето'!ad2154-'[2]$ лето'!ab2154-'[2]$ лето'!aa2154-'[2]$ лето'!z2154-'[2]$ лето'!y2154-'[2]$ лето'!x2154-'[2]$ лето'!v2154-'[2]$ лето'!u2154-'[2]$ лето'!t2154-'[2]$ лето'!s2154-'[2]$ лето'!r2154-'[2]$ лето'!p2154-'[2]$ лето'!o2154-'[2]$ лето'!n2154-'[2]$ лето'!m2154-'[2]$ лето'!l2154+'[2]$ лето'!k2154+'[2]$ лето'!q2154+'[2]$ лето'!w2154+'[2]$ лето'!ac2154+'[2]$ лето'!ai2154+'[2]$ лето'!ao2154</f>
        <v>14</v>
      </c>
      <c r="I2154" s="109" t="n">
        <f aca="false">'[2]$ лето'!ay2154*1.05</f>
        <v>4144.98</v>
      </c>
    </row>
    <row r="2155" customFormat="false" ht="15" hidden="false" customHeight="false" outlineLevel="0" collapsed="false">
      <c r="A2155" s="115" t="s">
        <v>343</v>
      </c>
      <c r="B2155" s="115" t="s">
        <v>574</v>
      </c>
      <c r="C2155" s="116" t="s">
        <v>2728</v>
      </c>
      <c r="D2155" s="116"/>
      <c r="E2155" s="116"/>
      <c r="F2155" s="116"/>
      <c r="G2155" s="108" t="s">
        <v>576</v>
      </c>
      <c r="H2155" s="105" t="n">
        <f aca="false">'[2]$ лето'!j2155-'[2]$ лето'!au2155-'[2]$ лето'!at2155-'[2]$ лето'!as2155-'[2]$ лето'!ar2155-'[2]$ лето'!aq2155-'[2]$ лето'!ap2155-'[2]$ лето'!an2155-'[2]$ лето'!am2155-'[2]$ лето'!al2155-'[2]$ лето'!ak2155-'[2]$ лето'!aj2155-'[2]$ лето'!ah2155-'[2]$ лето'!ag2155-'[2]$ лето'!af2155-'[2]$ лето'!ae2155-'[2]$ лето'!ad2155-'[2]$ лето'!ab2155-'[2]$ лето'!aa2155-'[2]$ лето'!z2155-'[2]$ лето'!y2155-'[2]$ лето'!x2155-'[2]$ лето'!v2155-'[2]$ лето'!u2155-'[2]$ лето'!t2155-'[2]$ лето'!s2155-'[2]$ лето'!r2155-'[2]$ лето'!p2155-'[2]$ лето'!o2155-'[2]$ лето'!n2155-'[2]$ лето'!m2155-'[2]$ лето'!l2155+'[2]$ лето'!k2155+'[2]$ лето'!q2155+'[2]$ лето'!w2155+'[2]$ лето'!ac2155+'[2]$ лето'!ai2155+'[2]$ лето'!ao2155</f>
        <v>14</v>
      </c>
      <c r="I2155" s="109" t="n">
        <f aca="false">'[2]$ лето'!ay2155*1.05</f>
        <v>4174.8</v>
      </c>
    </row>
    <row r="2156" customFormat="false" ht="15" hidden="true" customHeight="false" outlineLevel="0" collapsed="false">
      <c r="A2156" s="115" t="s">
        <v>343</v>
      </c>
      <c r="B2156" s="115" t="s">
        <v>583</v>
      </c>
      <c r="C2156" s="116" t="s">
        <v>2729</v>
      </c>
      <c r="D2156" s="116"/>
      <c r="E2156" s="116"/>
      <c r="F2156" s="116"/>
      <c r="G2156" s="108"/>
      <c r="H2156" s="105" t="n">
        <f aca="false">'[2]$ лето'!j2156-'[2]$ лето'!au2156-'[2]$ лето'!at2156-'[2]$ лето'!as2156-'[2]$ лето'!ar2156-'[2]$ лето'!aq2156-'[2]$ лето'!ap2156-'[2]$ лето'!an2156-'[2]$ лето'!am2156-'[2]$ лето'!al2156-'[2]$ лето'!ak2156-'[2]$ лето'!aj2156-'[2]$ лето'!ah2156-'[2]$ лето'!ag2156-'[2]$ лето'!af2156-'[2]$ лето'!ae2156-'[2]$ лето'!ad2156-'[2]$ лето'!ab2156-'[2]$ лето'!aa2156-'[2]$ лето'!z2156-'[2]$ лето'!y2156-'[2]$ лето'!x2156-'[2]$ лето'!v2156-'[2]$ лето'!u2156-'[2]$ лето'!t2156-'[2]$ лето'!s2156-'[2]$ лето'!r2156-'[2]$ лето'!p2156-'[2]$ лето'!o2156-'[2]$ лето'!n2156-'[2]$ лето'!m2156-'[2]$ лето'!l2156+'[2]$ лето'!k2156+'[2]$ лето'!q2156+'[2]$ лето'!w2156+'[2]$ лето'!ac2156+'[2]$ лето'!ai2156+'[2]$ лето'!ao2156</f>
        <v>0</v>
      </c>
      <c r="I2156" s="109" t="n">
        <f aca="false">'[2]$ лето'!ay2156*1.05</f>
        <v>3727.5</v>
      </c>
    </row>
    <row r="2157" customFormat="false" ht="15" hidden="true" customHeight="false" outlineLevel="0" collapsed="false">
      <c r="A2157" s="115" t="s">
        <v>343</v>
      </c>
      <c r="B2157" s="115" t="s">
        <v>583</v>
      </c>
      <c r="C2157" s="116" t="s">
        <v>2730</v>
      </c>
      <c r="D2157" s="116"/>
      <c r="E2157" s="116"/>
      <c r="F2157" s="116"/>
      <c r="G2157" s="108"/>
      <c r="H2157" s="105" t="n">
        <f aca="false">'[2]$ лето'!j2157-'[2]$ лето'!au2157-'[2]$ лето'!at2157-'[2]$ лето'!as2157-'[2]$ лето'!ar2157-'[2]$ лето'!aq2157-'[2]$ лето'!ap2157-'[2]$ лето'!an2157-'[2]$ лето'!am2157-'[2]$ лето'!al2157-'[2]$ лето'!ak2157-'[2]$ лето'!aj2157-'[2]$ лето'!ah2157-'[2]$ лето'!ag2157-'[2]$ лето'!af2157-'[2]$ лето'!ae2157-'[2]$ лето'!ad2157-'[2]$ лето'!ab2157-'[2]$ лето'!aa2157-'[2]$ лето'!z2157-'[2]$ лето'!y2157-'[2]$ лето'!x2157-'[2]$ лето'!v2157-'[2]$ лето'!u2157-'[2]$ лето'!t2157-'[2]$ лето'!s2157-'[2]$ лето'!r2157-'[2]$ лето'!p2157-'[2]$ лето'!o2157-'[2]$ лето'!n2157-'[2]$ лето'!m2157-'[2]$ лето'!l2157+'[2]$ лето'!k2157+'[2]$ лето'!q2157+'[2]$ лето'!w2157+'[2]$ лето'!ac2157+'[2]$ лето'!ai2157+'[2]$ лето'!ao2157</f>
        <v>0</v>
      </c>
      <c r="I2157" s="109" t="n">
        <f aca="false">'[2]$ лето'!ay2157*1.05</f>
        <v>3787.14</v>
      </c>
    </row>
    <row r="2158" customFormat="false" ht="15" hidden="true" customHeight="false" outlineLevel="0" collapsed="false">
      <c r="A2158" s="115" t="s">
        <v>343</v>
      </c>
      <c r="B2158" s="115" t="s">
        <v>583</v>
      </c>
      <c r="C2158" s="116" t="s">
        <v>2731</v>
      </c>
      <c r="D2158" s="116"/>
      <c r="E2158" s="116"/>
      <c r="F2158" s="116"/>
      <c r="G2158" s="108" t="s">
        <v>585</v>
      </c>
      <c r="H2158" s="105" t="n">
        <f aca="false">'[2]$ лето'!j2158-'[2]$ лето'!au2158-'[2]$ лето'!at2158-'[2]$ лето'!as2158-'[2]$ лето'!ar2158-'[2]$ лето'!aq2158-'[2]$ лето'!ap2158-'[2]$ лето'!an2158-'[2]$ лето'!am2158-'[2]$ лето'!al2158-'[2]$ лето'!ak2158-'[2]$ лето'!aj2158-'[2]$ лето'!ah2158-'[2]$ лето'!ag2158-'[2]$ лето'!af2158-'[2]$ лето'!ae2158-'[2]$ лето'!ad2158-'[2]$ лето'!ab2158-'[2]$ лето'!aa2158-'[2]$ лето'!z2158-'[2]$ лето'!y2158-'[2]$ лето'!x2158-'[2]$ лето'!v2158-'[2]$ лето'!u2158-'[2]$ лето'!t2158-'[2]$ лето'!s2158-'[2]$ лето'!r2158-'[2]$ лето'!p2158-'[2]$ лето'!o2158-'[2]$ лето'!n2158-'[2]$ лето'!m2158-'[2]$ лето'!l2158+'[2]$ лето'!k2158+'[2]$ лето'!q2158+'[2]$ лето'!w2158+'[2]$ лето'!ac2158+'[2]$ лето'!ai2158+'[2]$ лето'!ao2158</f>
        <v>0</v>
      </c>
      <c r="I2158" s="109" t="n">
        <f aca="false">'[2]$ лето'!ay2158*1.05</f>
        <v>3787.14</v>
      </c>
      <c r="J2158" s="85" t="n">
        <v>2018</v>
      </c>
    </row>
    <row r="2159" customFormat="false" ht="15" hidden="false" customHeight="false" outlineLevel="0" collapsed="false">
      <c r="A2159" s="115" t="s">
        <v>343</v>
      </c>
      <c r="B2159" s="115" t="s">
        <v>583</v>
      </c>
      <c r="C2159" s="116" t="s">
        <v>2732</v>
      </c>
      <c r="D2159" s="116"/>
      <c r="E2159" s="116"/>
      <c r="F2159" s="116"/>
      <c r="G2159" s="108" t="s">
        <v>585</v>
      </c>
      <c r="H2159" s="105" t="n">
        <f aca="false">'[2]$ лето'!j2159-'[2]$ лето'!au2159-'[2]$ лето'!at2159-'[2]$ лето'!as2159-'[2]$ лето'!ar2159-'[2]$ лето'!aq2159-'[2]$ лето'!ap2159-'[2]$ лето'!an2159-'[2]$ лето'!am2159-'[2]$ лето'!al2159-'[2]$ лето'!ak2159-'[2]$ лето'!aj2159-'[2]$ лето'!ah2159-'[2]$ лето'!ag2159-'[2]$ лето'!af2159-'[2]$ лето'!ae2159-'[2]$ лето'!ad2159-'[2]$ лето'!ab2159-'[2]$ лето'!aa2159-'[2]$ лето'!z2159-'[2]$ лето'!y2159-'[2]$ лето'!x2159-'[2]$ лето'!v2159-'[2]$ лето'!u2159-'[2]$ лето'!t2159-'[2]$ лето'!s2159-'[2]$ лето'!r2159-'[2]$ лето'!p2159-'[2]$ лето'!o2159-'[2]$ лето'!n2159-'[2]$ лето'!m2159-'[2]$ лето'!l2159+'[2]$ лето'!k2159+'[2]$ лето'!q2159+'[2]$ лето'!w2159+'[2]$ лето'!ac2159+'[2]$ лето'!ai2159+'[2]$ лето'!ao2159</f>
        <v>5</v>
      </c>
      <c r="I2159" s="109" t="n">
        <f aca="false">'[2]$ лето'!ay2159*1.05</f>
        <v>3816.96</v>
      </c>
      <c r="J2159" s="85" t="n">
        <v>2018</v>
      </c>
    </row>
    <row r="2160" customFormat="false" ht="15" hidden="false" customHeight="false" outlineLevel="0" collapsed="false">
      <c r="A2160" s="115" t="s">
        <v>343</v>
      </c>
      <c r="B2160" s="115" t="s">
        <v>583</v>
      </c>
      <c r="C2160" s="116" t="s">
        <v>2732</v>
      </c>
      <c r="D2160" s="116"/>
      <c r="E2160" s="116"/>
      <c r="F2160" s="116"/>
      <c r="G2160" s="108" t="s">
        <v>585</v>
      </c>
      <c r="H2160" s="105" t="n">
        <f aca="false">'[2]$ лето'!j2160-'[2]$ лето'!au2160-'[2]$ лето'!at2160-'[2]$ лето'!as2160-'[2]$ лето'!ar2160-'[2]$ лето'!aq2160-'[2]$ лето'!ap2160-'[2]$ лето'!an2160-'[2]$ лето'!am2160-'[2]$ лето'!al2160-'[2]$ лето'!ak2160-'[2]$ лето'!aj2160-'[2]$ лето'!ah2160-'[2]$ лето'!ag2160-'[2]$ лето'!af2160-'[2]$ лето'!ae2160-'[2]$ лето'!ad2160-'[2]$ лето'!ab2160-'[2]$ лето'!aa2160-'[2]$ лето'!z2160-'[2]$ лето'!y2160-'[2]$ лето'!x2160-'[2]$ лето'!v2160-'[2]$ лето'!u2160-'[2]$ лето'!t2160-'[2]$ лето'!s2160-'[2]$ лето'!r2160-'[2]$ лето'!p2160-'[2]$ лето'!o2160-'[2]$ лето'!n2160-'[2]$ лето'!m2160-'[2]$ лето'!l2160+'[2]$ лето'!k2160+'[2]$ лето'!q2160+'[2]$ лето'!w2160+'[2]$ лето'!ac2160+'[2]$ лето'!ai2160+'[2]$ лето'!ao2160</f>
        <v>5</v>
      </c>
      <c r="I2160" s="109" t="n">
        <f aca="false">'[2]$ лето'!ay2160*1.05</f>
        <v>4204.62</v>
      </c>
      <c r="J2160" s="85" t="s">
        <v>2733</v>
      </c>
    </row>
    <row r="2161" customFormat="false" ht="15" hidden="false" customHeight="false" outlineLevel="0" collapsed="false">
      <c r="A2161" s="115" t="s">
        <v>343</v>
      </c>
      <c r="B2161" s="115" t="s">
        <v>583</v>
      </c>
      <c r="C2161" s="116" t="s">
        <v>2734</v>
      </c>
      <c r="D2161" s="116"/>
      <c r="E2161" s="116"/>
      <c r="F2161" s="116"/>
      <c r="G2161" s="108"/>
      <c r="H2161" s="105" t="n">
        <f aca="false">'[2]$ лето'!j2161-'[2]$ лето'!au2161-'[2]$ лето'!at2161-'[2]$ лето'!as2161-'[2]$ лето'!ar2161-'[2]$ лето'!aq2161-'[2]$ лето'!ap2161-'[2]$ лето'!an2161-'[2]$ лето'!am2161-'[2]$ лето'!al2161-'[2]$ лето'!ak2161-'[2]$ лето'!aj2161-'[2]$ лето'!ah2161-'[2]$ лето'!ag2161-'[2]$ лето'!af2161-'[2]$ лето'!ae2161-'[2]$ лето'!ad2161-'[2]$ лето'!ab2161-'[2]$ лето'!aa2161-'[2]$ лето'!z2161-'[2]$ лето'!y2161-'[2]$ лето'!x2161-'[2]$ лето'!v2161-'[2]$ лето'!u2161-'[2]$ лето'!t2161-'[2]$ лето'!s2161-'[2]$ лето'!r2161-'[2]$ лето'!p2161-'[2]$ лето'!o2161-'[2]$ лето'!n2161-'[2]$ лето'!m2161-'[2]$ лето'!l2161+'[2]$ лето'!k2161+'[2]$ лето'!q2161+'[2]$ лето'!w2161+'[2]$ лето'!ac2161+'[2]$ лето'!ai2161+'[2]$ лето'!ao2161</f>
        <v>2</v>
      </c>
      <c r="I2161" s="109" t="n">
        <f aca="false">'[2]$ лето'!ay2161*1.05</f>
        <v>3280.2</v>
      </c>
    </row>
    <row r="2162" customFormat="false" ht="15" hidden="true" customHeight="false" outlineLevel="0" collapsed="false">
      <c r="A2162" s="115" t="s">
        <v>343</v>
      </c>
      <c r="B2162" s="115" t="s">
        <v>593</v>
      </c>
      <c r="C2162" s="116" t="s">
        <v>2735</v>
      </c>
      <c r="D2162" s="116"/>
      <c r="E2162" s="116"/>
      <c r="F2162" s="116"/>
      <c r="G2162" s="108"/>
      <c r="H2162" s="105" t="n">
        <f aca="false">'[2]$ лето'!j2162-'[2]$ лето'!au2162-'[2]$ лето'!at2162-'[2]$ лето'!as2162-'[2]$ лето'!ar2162-'[2]$ лето'!aq2162-'[2]$ лето'!ap2162-'[2]$ лето'!an2162-'[2]$ лето'!am2162-'[2]$ лето'!al2162-'[2]$ лето'!ak2162-'[2]$ лето'!aj2162-'[2]$ лето'!ah2162-'[2]$ лето'!ag2162-'[2]$ лето'!af2162-'[2]$ лето'!ae2162-'[2]$ лето'!ad2162-'[2]$ лето'!ab2162-'[2]$ лето'!aa2162-'[2]$ лето'!z2162-'[2]$ лето'!y2162-'[2]$ лето'!x2162-'[2]$ лето'!v2162-'[2]$ лето'!u2162-'[2]$ лето'!t2162-'[2]$ лето'!s2162-'[2]$ лето'!r2162-'[2]$ лето'!p2162-'[2]$ лето'!o2162-'[2]$ лето'!n2162-'[2]$ лето'!m2162-'[2]$ лето'!l2162+'[2]$ лето'!k2162+'[2]$ лето'!q2162+'[2]$ лето'!w2162+'[2]$ лето'!ac2162+'[2]$ лето'!ai2162+'[2]$ лето'!ao2162</f>
        <v>0</v>
      </c>
      <c r="I2162" s="109" t="n">
        <f aca="false">'[2]$ лето'!ay2162*1.05</f>
        <v>5218.5</v>
      </c>
    </row>
    <row r="2163" customFormat="false" ht="15" hidden="true" customHeight="false" outlineLevel="0" collapsed="false">
      <c r="A2163" s="115" t="s">
        <v>343</v>
      </c>
      <c r="B2163" s="115" t="s">
        <v>593</v>
      </c>
      <c r="C2163" s="116" t="s">
        <v>2736</v>
      </c>
      <c r="D2163" s="116"/>
      <c r="E2163" s="116"/>
      <c r="F2163" s="116"/>
      <c r="G2163" s="108" t="s">
        <v>868</v>
      </c>
      <c r="H2163" s="105" t="n">
        <f aca="false">'[2]$ лето'!j2163-'[2]$ лето'!au2163-'[2]$ лето'!at2163-'[2]$ лето'!as2163-'[2]$ лето'!ar2163-'[2]$ лето'!aq2163-'[2]$ лето'!ap2163-'[2]$ лето'!an2163-'[2]$ лето'!am2163-'[2]$ лето'!al2163-'[2]$ лето'!ak2163-'[2]$ лето'!aj2163-'[2]$ лето'!ah2163-'[2]$ лето'!ag2163-'[2]$ лето'!af2163-'[2]$ лето'!ae2163-'[2]$ лето'!ad2163-'[2]$ лето'!ab2163-'[2]$ лето'!aa2163-'[2]$ лето'!z2163-'[2]$ лето'!y2163-'[2]$ лето'!x2163-'[2]$ лето'!v2163-'[2]$ лето'!u2163-'[2]$ лето'!t2163-'[2]$ лето'!s2163-'[2]$ лето'!r2163-'[2]$ лето'!p2163-'[2]$ лето'!o2163-'[2]$ лето'!n2163-'[2]$ лето'!m2163-'[2]$ лето'!l2163+'[2]$ лето'!k2163+'[2]$ лето'!q2163+'[2]$ лето'!w2163+'[2]$ лето'!ac2163+'[2]$ лето'!ai2163+'[2]$ лето'!ao2163</f>
        <v>0</v>
      </c>
      <c r="I2163" s="109" t="n">
        <f aca="false">'[2]$ лето'!ay2163*1.05</f>
        <v>5218.5</v>
      </c>
    </row>
    <row r="2164" customFormat="false" ht="15" hidden="false" customHeight="false" outlineLevel="0" collapsed="false">
      <c r="A2164" s="115" t="s">
        <v>343</v>
      </c>
      <c r="B2164" s="115" t="s">
        <v>586</v>
      </c>
      <c r="C2164" s="116" t="s">
        <v>2737</v>
      </c>
      <c r="D2164" s="116"/>
      <c r="E2164" s="116"/>
      <c r="F2164" s="116"/>
      <c r="G2164" s="108" t="s">
        <v>520</v>
      </c>
      <c r="H2164" s="105" t="n">
        <f aca="false">'[2]$ лето'!j2164-'[2]$ лето'!au2164-'[2]$ лето'!at2164-'[2]$ лето'!as2164-'[2]$ лето'!ar2164-'[2]$ лето'!aq2164-'[2]$ лето'!ap2164-'[2]$ лето'!an2164-'[2]$ лето'!am2164-'[2]$ лето'!al2164-'[2]$ лето'!ak2164-'[2]$ лето'!aj2164-'[2]$ лето'!ah2164-'[2]$ лето'!ag2164-'[2]$ лето'!af2164-'[2]$ лето'!ae2164-'[2]$ лето'!ad2164-'[2]$ лето'!ab2164-'[2]$ лето'!aa2164-'[2]$ лето'!z2164-'[2]$ лето'!y2164-'[2]$ лето'!x2164-'[2]$ лето'!v2164-'[2]$ лето'!u2164-'[2]$ лето'!t2164-'[2]$ лето'!s2164-'[2]$ лето'!r2164-'[2]$ лето'!p2164-'[2]$ лето'!o2164-'[2]$ лето'!n2164-'[2]$ лето'!m2164-'[2]$ лето'!l2164+'[2]$ лето'!k2164+'[2]$ лето'!q2164+'[2]$ лето'!w2164+'[2]$ лето'!ac2164+'[2]$ лето'!ai2164+'[2]$ лето'!ao2164</f>
        <v>8</v>
      </c>
      <c r="I2164" s="109" t="n">
        <f aca="false">'[2]$ лето'!ay2164*1.05</f>
        <v>2832.9</v>
      </c>
    </row>
    <row r="2165" customFormat="false" ht="15" hidden="false" customHeight="false" outlineLevel="0" collapsed="false">
      <c r="A2165" s="115" t="s">
        <v>343</v>
      </c>
      <c r="B2165" s="115" t="s">
        <v>586</v>
      </c>
      <c r="C2165" s="116" t="s">
        <v>2738</v>
      </c>
      <c r="D2165" s="116"/>
      <c r="E2165" s="116"/>
      <c r="F2165" s="116"/>
      <c r="G2165" s="108" t="s">
        <v>520</v>
      </c>
      <c r="H2165" s="105" t="n">
        <f aca="false">'[2]$ лето'!j2165-'[2]$ лето'!au2165-'[2]$ лето'!at2165-'[2]$ лето'!as2165-'[2]$ лето'!ar2165-'[2]$ лето'!aq2165-'[2]$ лето'!ap2165-'[2]$ лето'!an2165-'[2]$ лето'!am2165-'[2]$ лето'!al2165-'[2]$ лето'!ak2165-'[2]$ лето'!aj2165-'[2]$ лето'!ah2165-'[2]$ лето'!ag2165-'[2]$ лето'!af2165-'[2]$ лето'!ae2165-'[2]$ лето'!ad2165-'[2]$ лето'!ab2165-'[2]$ лето'!aa2165-'[2]$ лето'!z2165-'[2]$ лето'!y2165-'[2]$ лето'!x2165-'[2]$ лето'!v2165-'[2]$ лето'!u2165-'[2]$ лето'!t2165-'[2]$ лето'!s2165-'[2]$ лето'!r2165-'[2]$ лето'!p2165-'[2]$ лето'!o2165-'[2]$ лето'!n2165-'[2]$ лето'!m2165-'[2]$ лето'!l2165+'[2]$ лето'!k2165+'[2]$ лето'!q2165+'[2]$ лето'!w2165+'[2]$ лето'!ac2165+'[2]$ лето'!ai2165+'[2]$ лето'!ao2165</f>
        <v>4</v>
      </c>
      <c r="I2165" s="109" t="n">
        <f aca="false">'[2]$ лето'!ay2165*1.05</f>
        <v>2922.36</v>
      </c>
      <c r="J2165" s="85" t="n">
        <v>2017</v>
      </c>
    </row>
    <row r="2166" customFormat="false" ht="15" hidden="false" customHeight="false" outlineLevel="0" collapsed="false">
      <c r="A2166" s="115" t="s">
        <v>343</v>
      </c>
      <c r="B2166" s="115" t="s">
        <v>2739</v>
      </c>
      <c r="C2166" s="116" t="s">
        <v>2740</v>
      </c>
      <c r="D2166" s="116"/>
      <c r="E2166" s="116"/>
      <c r="F2166" s="116"/>
      <c r="G2166" s="108"/>
      <c r="H2166" s="105" t="n">
        <f aca="false">'[2]$ лето'!j2166-'[2]$ лето'!au2166-'[2]$ лето'!at2166-'[2]$ лето'!as2166-'[2]$ лето'!ar2166-'[2]$ лето'!aq2166-'[2]$ лето'!ap2166-'[2]$ лето'!an2166-'[2]$ лето'!am2166-'[2]$ лето'!al2166-'[2]$ лето'!ak2166-'[2]$ лето'!aj2166-'[2]$ лето'!ah2166-'[2]$ лето'!ag2166-'[2]$ лето'!af2166-'[2]$ лето'!ae2166-'[2]$ лето'!ad2166-'[2]$ лето'!ab2166-'[2]$ лето'!aa2166-'[2]$ лето'!z2166-'[2]$ лето'!y2166-'[2]$ лето'!x2166-'[2]$ лето'!v2166-'[2]$ лето'!u2166-'[2]$ лето'!t2166-'[2]$ лето'!s2166-'[2]$ лето'!r2166-'[2]$ лето'!p2166-'[2]$ лето'!o2166-'[2]$ лето'!n2166-'[2]$ лето'!m2166-'[2]$ лето'!l2166+'[2]$ лето'!k2166+'[2]$ лето'!q2166+'[2]$ лето'!w2166+'[2]$ лето'!ac2166+'[2]$ лето'!ai2166+'[2]$ лето'!ao2166</f>
        <v>20</v>
      </c>
      <c r="I2166" s="109" t="n">
        <f aca="false">'[2]$ лето'!ay2166*1.05</f>
        <v>2940</v>
      </c>
    </row>
    <row r="2167" customFormat="false" ht="15" hidden="false" customHeight="false" outlineLevel="0" collapsed="false">
      <c r="A2167" s="115" t="s">
        <v>343</v>
      </c>
      <c r="B2167" s="115" t="s">
        <v>2739</v>
      </c>
      <c r="C2167" s="116" t="s">
        <v>2741</v>
      </c>
      <c r="D2167" s="116"/>
      <c r="E2167" s="116"/>
      <c r="F2167" s="116"/>
      <c r="G2167" s="108"/>
      <c r="H2167" s="105" t="n">
        <f aca="false">'[2]$ лето'!j2167-'[2]$ лето'!au2167-'[2]$ лето'!at2167-'[2]$ лето'!as2167-'[2]$ лето'!ar2167-'[2]$ лето'!aq2167-'[2]$ лето'!ap2167-'[2]$ лето'!an2167-'[2]$ лето'!am2167-'[2]$ лето'!al2167-'[2]$ лето'!ak2167-'[2]$ лето'!aj2167-'[2]$ лето'!ah2167-'[2]$ лето'!ag2167-'[2]$ лето'!af2167-'[2]$ лето'!ae2167-'[2]$ лето'!ad2167-'[2]$ лето'!ab2167-'[2]$ лето'!aa2167-'[2]$ лето'!z2167-'[2]$ лето'!y2167-'[2]$ лето'!x2167-'[2]$ лето'!v2167-'[2]$ лето'!u2167-'[2]$ лето'!t2167-'[2]$ лето'!s2167-'[2]$ лето'!r2167-'[2]$ лето'!p2167-'[2]$ лето'!o2167-'[2]$ лето'!n2167-'[2]$ лето'!m2167-'[2]$ лето'!l2167+'[2]$ лето'!k2167+'[2]$ лето'!q2167+'[2]$ лето'!w2167+'[2]$ лето'!ac2167+'[2]$ лето'!ai2167+'[2]$ лето'!ao2167</f>
        <v>10</v>
      </c>
      <c r="I2167" s="109" t="n">
        <f aca="false">'[2]$ лето'!ay2167*1.05</f>
        <v>3045</v>
      </c>
    </row>
    <row r="2168" customFormat="false" ht="15" hidden="false" customHeight="false" outlineLevel="0" collapsed="false">
      <c r="A2168" s="115" t="s">
        <v>343</v>
      </c>
      <c r="B2168" s="115" t="s">
        <v>2742</v>
      </c>
      <c r="C2168" s="116" t="s">
        <v>2743</v>
      </c>
      <c r="D2168" s="116"/>
      <c r="E2168" s="116"/>
      <c r="F2168" s="116"/>
      <c r="G2168" s="108"/>
      <c r="H2168" s="105" t="n">
        <f aca="false">'[2]$ лето'!j2168-'[2]$ лето'!au2168-'[2]$ лето'!at2168-'[2]$ лето'!as2168-'[2]$ лето'!ar2168-'[2]$ лето'!aq2168-'[2]$ лето'!ap2168-'[2]$ лето'!an2168-'[2]$ лето'!am2168-'[2]$ лето'!al2168-'[2]$ лето'!ak2168-'[2]$ лето'!aj2168-'[2]$ лето'!ah2168-'[2]$ лето'!ag2168-'[2]$ лето'!af2168-'[2]$ лето'!ae2168-'[2]$ лето'!ad2168-'[2]$ лето'!ab2168-'[2]$ лето'!aa2168-'[2]$ лето'!z2168-'[2]$ лето'!y2168-'[2]$ лето'!x2168-'[2]$ лето'!v2168-'[2]$ лето'!u2168-'[2]$ лето'!t2168-'[2]$ лето'!s2168-'[2]$ лето'!r2168-'[2]$ лето'!p2168-'[2]$ лето'!o2168-'[2]$ лето'!n2168-'[2]$ лето'!m2168-'[2]$ лето'!l2168+'[2]$ лето'!k2168+'[2]$ лето'!q2168+'[2]$ лето'!w2168+'[2]$ лето'!ac2168+'[2]$ лето'!ai2168+'[2]$ лето'!ao2168</f>
        <v>12</v>
      </c>
      <c r="I2168" s="109" t="n">
        <f aca="false">'[2]$ лето'!ay2168*1.05</f>
        <v>2992.5</v>
      </c>
    </row>
    <row r="2169" customFormat="false" ht="15" hidden="false" customHeight="false" outlineLevel="0" collapsed="false">
      <c r="A2169" s="123" t="s">
        <v>343</v>
      </c>
      <c r="B2169" s="123" t="s">
        <v>652</v>
      </c>
      <c r="C2169" s="116" t="s">
        <v>2744</v>
      </c>
      <c r="D2169" s="116"/>
      <c r="E2169" s="116"/>
      <c r="F2169" s="116"/>
      <c r="G2169" s="108"/>
      <c r="H2169" s="105" t="n">
        <f aca="false">'[2]$ лето'!j2169-'[2]$ лето'!au2169-'[2]$ лето'!at2169-'[2]$ лето'!as2169-'[2]$ лето'!ar2169-'[2]$ лето'!aq2169-'[2]$ лето'!ap2169-'[2]$ лето'!an2169-'[2]$ лето'!am2169-'[2]$ лето'!al2169-'[2]$ лето'!ak2169-'[2]$ лето'!aj2169-'[2]$ лето'!ah2169-'[2]$ лето'!ag2169-'[2]$ лето'!af2169-'[2]$ лето'!ae2169-'[2]$ лето'!ad2169-'[2]$ лето'!ab2169-'[2]$ лето'!aa2169-'[2]$ лето'!z2169-'[2]$ лето'!y2169-'[2]$ лето'!x2169-'[2]$ лето'!v2169-'[2]$ лето'!u2169-'[2]$ лето'!t2169-'[2]$ лето'!s2169-'[2]$ лето'!r2169-'[2]$ лето'!p2169-'[2]$ лето'!o2169-'[2]$ лето'!n2169-'[2]$ лето'!m2169-'[2]$ лето'!l2169+'[2]$ лето'!k2169+'[2]$ лето'!q2169+'[2]$ лето'!w2169+'[2]$ лето'!ac2169+'[2]$ лето'!ai2169+'[2]$ лето'!ao2169</f>
        <v>1</v>
      </c>
      <c r="I2169" s="109" t="n">
        <f aca="false">'[2]$ лето'!ay2169*1.05</f>
        <v>3280.2</v>
      </c>
      <c r="J2169" s="85" t="n">
        <v>2014</v>
      </c>
    </row>
    <row r="2170" customFormat="false" ht="15" hidden="true" customHeight="false" outlineLevel="0" collapsed="false">
      <c r="A2170" s="123" t="s">
        <v>343</v>
      </c>
      <c r="B2170" s="123" t="s">
        <v>652</v>
      </c>
      <c r="C2170" s="116" t="s">
        <v>2745</v>
      </c>
      <c r="D2170" s="116"/>
      <c r="E2170" s="116"/>
      <c r="F2170" s="116"/>
      <c r="G2170" s="108"/>
      <c r="H2170" s="105" t="n">
        <f aca="false">'[2]$ лето'!j2170-'[2]$ лето'!au2170-'[2]$ лето'!at2170-'[2]$ лето'!as2170-'[2]$ лето'!ar2170-'[2]$ лето'!aq2170-'[2]$ лето'!ap2170-'[2]$ лето'!an2170-'[2]$ лето'!am2170-'[2]$ лето'!al2170-'[2]$ лето'!ak2170-'[2]$ лето'!aj2170-'[2]$ лето'!ah2170-'[2]$ лето'!ag2170-'[2]$ лето'!af2170-'[2]$ лето'!ae2170-'[2]$ лето'!ad2170-'[2]$ лето'!ab2170-'[2]$ лето'!aa2170-'[2]$ лето'!z2170-'[2]$ лето'!y2170-'[2]$ лето'!x2170-'[2]$ лето'!v2170-'[2]$ лето'!u2170-'[2]$ лето'!t2170-'[2]$ лето'!s2170-'[2]$ лето'!r2170-'[2]$ лето'!p2170-'[2]$ лето'!o2170-'[2]$ лето'!n2170-'[2]$ лето'!m2170-'[2]$ лето'!l2170+'[2]$ лето'!k2170+'[2]$ лето'!q2170+'[2]$ лето'!w2170+'[2]$ лето'!ac2170+'[2]$ лето'!ai2170+'[2]$ лето'!ao2170</f>
        <v>0</v>
      </c>
      <c r="I2170" s="109" t="n">
        <f aca="false">'[2]$ лето'!ay2170*1.05</f>
        <v>3429.3</v>
      </c>
    </row>
    <row r="2171" customFormat="false" ht="15" hidden="false" customHeight="false" outlineLevel="0" collapsed="false">
      <c r="A2171" s="123" t="s">
        <v>343</v>
      </c>
      <c r="B2171" s="123" t="s">
        <v>564</v>
      </c>
      <c r="C2171" s="116" t="s">
        <v>2746</v>
      </c>
      <c r="D2171" s="116"/>
      <c r="E2171" s="116"/>
      <c r="F2171" s="116"/>
      <c r="G2171" s="108" t="s">
        <v>520</v>
      </c>
      <c r="H2171" s="105" t="n">
        <f aca="false">'[2]$ лето'!j2171-'[2]$ лето'!au2171-'[2]$ лето'!at2171-'[2]$ лето'!as2171-'[2]$ лето'!ar2171-'[2]$ лето'!aq2171-'[2]$ лето'!ap2171-'[2]$ лето'!an2171-'[2]$ лето'!am2171-'[2]$ лето'!al2171-'[2]$ лето'!ak2171-'[2]$ лето'!aj2171-'[2]$ лето'!ah2171-'[2]$ лето'!ag2171-'[2]$ лето'!af2171-'[2]$ лето'!ae2171-'[2]$ лето'!ad2171-'[2]$ лето'!ab2171-'[2]$ лето'!aa2171-'[2]$ лето'!z2171-'[2]$ лето'!y2171-'[2]$ лето'!x2171-'[2]$ лето'!v2171-'[2]$ лето'!u2171-'[2]$ лето'!t2171-'[2]$ лето'!s2171-'[2]$ лето'!r2171-'[2]$ лето'!p2171-'[2]$ лето'!o2171-'[2]$ лето'!n2171-'[2]$ лето'!m2171-'[2]$ лето'!l2171+'[2]$ лето'!k2171+'[2]$ лето'!q2171+'[2]$ лето'!w2171+'[2]$ лето'!ac2171+'[2]$ лето'!ai2171+'[2]$ лето'!ao2171</f>
        <v>2</v>
      </c>
      <c r="I2171" s="109" t="n">
        <f aca="false">'[2]$ лето'!ay2171*1.05</f>
        <v>3045</v>
      </c>
    </row>
    <row r="2172" customFormat="false" ht="15" hidden="false" customHeight="false" outlineLevel="0" collapsed="false">
      <c r="A2172" s="123" t="s">
        <v>343</v>
      </c>
      <c r="B2172" s="123" t="s">
        <v>564</v>
      </c>
      <c r="C2172" s="116" t="s">
        <v>2747</v>
      </c>
      <c r="D2172" s="116"/>
      <c r="E2172" s="116"/>
      <c r="F2172" s="116"/>
      <c r="G2172" s="108"/>
      <c r="H2172" s="105" t="n">
        <f aca="false">'[2]$ лето'!j2172-'[2]$ лето'!au2172-'[2]$ лето'!at2172-'[2]$ лето'!as2172-'[2]$ лето'!ar2172-'[2]$ лето'!aq2172-'[2]$ лето'!ap2172-'[2]$ лето'!an2172-'[2]$ лето'!am2172-'[2]$ лето'!al2172-'[2]$ лето'!ak2172-'[2]$ лето'!aj2172-'[2]$ лето'!ah2172-'[2]$ лето'!ag2172-'[2]$ лето'!af2172-'[2]$ лето'!ae2172-'[2]$ лето'!ad2172-'[2]$ лето'!ab2172-'[2]$ лето'!aa2172-'[2]$ лето'!z2172-'[2]$ лето'!y2172-'[2]$ лето'!x2172-'[2]$ лето'!v2172-'[2]$ лето'!u2172-'[2]$ лето'!t2172-'[2]$ лето'!s2172-'[2]$ лето'!r2172-'[2]$ лето'!p2172-'[2]$ лето'!o2172-'[2]$ лето'!n2172-'[2]$ лето'!m2172-'[2]$ лето'!l2172+'[2]$ лето'!k2172+'[2]$ лето'!q2172+'[2]$ лето'!w2172+'[2]$ лето'!ac2172+'[2]$ лето'!ai2172+'[2]$ лето'!ao2172</f>
        <v>41</v>
      </c>
      <c r="I2172" s="109" t="n">
        <f aca="false">'[2]$ лето'!ay2172*1.05</f>
        <v>3071.25</v>
      </c>
    </row>
    <row r="2173" customFormat="false" ht="15" hidden="false" customHeight="false" outlineLevel="0" collapsed="false">
      <c r="A2173" s="123" t="s">
        <v>343</v>
      </c>
      <c r="B2173" s="123" t="s">
        <v>564</v>
      </c>
      <c r="C2173" s="116" t="s">
        <v>2748</v>
      </c>
      <c r="D2173" s="116"/>
      <c r="E2173" s="116"/>
      <c r="F2173" s="116"/>
      <c r="G2173" s="108" t="s">
        <v>520</v>
      </c>
      <c r="H2173" s="105" t="n">
        <f aca="false">'[2]$ лето'!j2173-'[2]$ лето'!au2173-'[2]$ лето'!at2173-'[2]$ лето'!as2173-'[2]$ лето'!ar2173-'[2]$ лето'!aq2173-'[2]$ лето'!ap2173-'[2]$ лето'!an2173-'[2]$ лето'!am2173-'[2]$ лето'!al2173-'[2]$ лето'!ak2173-'[2]$ лето'!aj2173-'[2]$ лето'!ah2173-'[2]$ лето'!ag2173-'[2]$ лето'!af2173-'[2]$ лето'!ae2173-'[2]$ лето'!ad2173-'[2]$ лето'!ab2173-'[2]$ лето'!aa2173-'[2]$ лето'!z2173-'[2]$ лето'!y2173-'[2]$ лето'!x2173-'[2]$ лето'!v2173-'[2]$ лето'!u2173-'[2]$ лето'!t2173-'[2]$ лето'!s2173-'[2]$ лето'!r2173-'[2]$ лето'!p2173-'[2]$ лето'!o2173-'[2]$ лето'!n2173-'[2]$ лето'!m2173-'[2]$ лето'!l2173+'[2]$ лето'!k2173+'[2]$ лето'!q2173+'[2]$ лето'!w2173+'[2]$ лето'!ac2173+'[2]$ лето'!ai2173+'[2]$ лето'!ao2173</f>
        <v>78</v>
      </c>
      <c r="I2173" s="109" t="n">
        <f aca="false">'[2]$ лето'!ay2173*1.05</f>
        <v>3097.5</v>
      </c>
      <c r="J2173" s="85" t="s">
        <v>2749</v>
      </c>
    </row>
    <row r="2174" customFormat="false" ht="15" hidden="true" customHeight="false" outlineLevel="0" collapsed="false">
      <c r="A2174" s="123" t="s">
        <v>343</v>
      </c>
      <c r="B2174" s="123" t="s">
        <v>2750</v>
      </c>
      <c r="C2174" s="116" t="s">
        <v>2751</v>
      </c>
      <c r="D2174" s="116"/>
      <c r="E2174" s="116"/>
      <c r="F2174" s="116"/>
      <c r="G2174" s="108"/>
      <c r="H2174" s="105" t="n">
        <f aca="false">'[2]$ лето'!j2174-'[2]$ лето'!au2174-'[2]$ лето'!at2174-'[2]$ лето'!as2174-'[2]$ лето'!ar2174-'[2]$ лето'!aq2174-'[2]$ лето'!ap2174-'[2]$ лето'!an2174-'[2]$ лето'!am2174-'[2]$ лето'!al2174-'[2]$ лето'!ak2174-'[2]$ лето'!aj2174-'[2]$ лето'!ah2174-'[2]$ лето'!ag2174-'[2]$ лето'!af2174-'[2]$ лето'!ae2174-'[2]$ лето'!ad2174-'[2]$ лето'!ab2174-'[2]$ лето'!aa2174-'[2]$ лето'!z2174-'[2]$ лето'!y2174-'[2]$ лето'!x2174-'[2]$ лето'!v2174-'[2]$ лето'!u2174-'[2]$ лето'!t2174-'[2]$ лето'!s2174-'[2]$ лето'!r2174-'[2]$ лето'!p2174-'[2]$ лето'!o2174-'[2]$ лето'!n2174-'[2]$ лето'!m2174-'[2]$ лето'!l2174+'[2]$ лето'!k2174+'[2]$ лето'!q2174+'[2]$ лето'!w2174+'[2]$ лето'!ac2174+'[2]$ лето'!ai2174+'[2]$ лето'!ao2174</f>
        <v>0</v>
      </c>
      <c r="I2174" s="109" t="n">
        <f aca="false">'[2]$ лето'!ay2174*1.05</f>
        <v>2385.6</v>
      </c>
    </row>
    <row r="2175" customFormat="false" ht="15" hidden="true" customHeight="false" outlineLevel="0" collapsed="false">
      <c r="A2175" s="123" t="s">
        <v>343</v>
      </c>
      <c r="B2175" s="123" t="s">
        <v>2750</v>
      </c>
      <c r="C2175" s="116" t="s">
        <v>2752</v>
      </c>
      <c r="D2175" s="116"/>
      <c r="E2175" s="116"/>
      <c r="F2175" s="116"/>
      <c r="G2175" s="108"/>
      <c r="H2175" s="105" t="n">
        <f aca="false">'[2]$ лето'!j2175-'[2]$ лето'!au2175-'[2]$ лето'!at2175-'[2]$ лето'!as2175-'[2]$ лето'!ar2175-'[2]$ лето'!aq2175-'[2]$ лето'!ap2175-'[2]$ лето'!an2175-'[2]$ лето'!am2175-'[2]$ лето'!al2175-'[2]$ лето'!ak2175-'[2]$ лето'!aj2175-'[2]$ лето'!ah2175-'[2]$ лето'!ag2175-'[2]$ лето'!af2175-'[2]$ лето'!ae2175-'[2]$ лето'!ad2175-'[2]$ лето'!ab2175-'[2]$ лето'!aa2175-'[2]$ лето'!z2175-'[2]$ лето'!y2175-'[2]$ лето'!x2175-'[2]$ лето'!v2175-'[2]$ лето'!u2175-'[2]$ лето'!t2175-'[2]$ лето'!s2175-'[2]$ лето'!r2175-'[2]$ лето'!p2175-'[2]$ лето'!o2175-'[2]$ лето'!n2175-'[2]$ лето'!m2175-'[2]$ лето'!l2175+'[2]$ лето'!k2175+'[2]$ лето'!q2175+'[2]$ лето'!w2175+'[2]$ лето'!ac2175+'[2]$ лето'!ai2175+'[2]$ лето'!ao2175</f>
        <v>0</v>
      </c>
      <c r="I2175" s="109" t="n">
        <f aca="false">'[2]$ лето'!ay2175*1.05</f>
        <v>2385.6</v>
      </c>
    </row>
    <row r="2176" customFormat="false" ht="15" hidden="true" customHeight="false" outlineLevel="0" collapsed="false">
      <c r="A2176" s="123" t="s">
        <v>2753</v>
      </c>
      <c r="B2176" s="123" t="s">
        <v>991</v>
      </c>
      <c r="C2176" s="116" t="s">
        <v>2702</v>
      </c>
      <c r="D2176" s="116"/>
      <c r="E2176" s="116"/>
      <c r="F2176" s="116"/>
      <c r="G2176" s="108" t="s">
        <v>520</v>
      </c>
      <c r="H2176" s="105" t="n">
        <f aca="false">'[2]$ лето'!j2176-'[2]$ лето'!au2176-'[2]$ лето'!at2176-'[2]$ лето'!as2176-'[2]$ лето'!ar2176-'[2]$ лето'!aq2176-'[2]$ лето'!ap2176-'[2]$ лето'!an2176-'[2]$ лето'!am2176-'[2]$ лето'!al2176-'[2]$ лето'!ak2176-'[2]$ лето'!aj2176-'[2]$ лето'!ah2176-'[2]$ лето'!ag2176-'[2]$ лето'!af2176-'[2]$ лето'!ae2176-'[2]$ лето'!ad2176-'[2]$ лето'!ab2176-'[2]$ лето'!aa2176-'[2]$ лето'!z2176-'[2]$ лето'!y2176-'[2]$ лето'!x2176-'[2]$ лето'!v2176-'[2]$ лето'!u2176-'[2]$ лето'!t2176-'[2]$ лето'!s2176-'[2]$ лето'!r2176-'[2]$ лето'!p2176-'[2]$ лето'!o2176-'[2]$ лето'!n2176-'[2]$ лето'!m2176-'[2]$ лето'!l2176+'[2]$ лето'!k2176+'[2]$ лето'!q2176+'[2]$ лето'!w2176+'[2]$ лето'!ac2176+'[2]$ лето'!ai2176+'[2]$ лето'!ao2176</f>
        <v>0</v>
      </c>
      <c r="I2176" s="109" t="n">
        <f aca="false">'[2]$ лето'!ay2176*1.05</f>
        <v>3570</v>
      </c>
    </row>
    <row r="2177" customFormat="false" ht="15" hidden="true" customHeight="false" outlineLevel="0" collapsed="false">
      <c r="A2177" s="123" t="s">
        <v>2753</v>
      </c>
      <c r="B2177" s="123" t="s">
        <v>991</v>
      </c>
      <c r="C2177" s="116" t="s">
        <v>2703</v>
      </c>
      <c r="D2177" s="116"/>
      <c r="E2177" s="116"/>
      <c r="F2177" s="116"/>
      <c r="G2177" s="108" t="s">
        <v>520</v>
      </c>
      <c r="H2177" s="105" t="n">
        <f aca="false">'[2]$ лето'!j2177-'[2]$ лето'!au2177-'[2]$ лето'!at2177-'[2]$ лето'!as2177-'[2]$ лето'!ar2177-'[2]$ лето'!aq2177-'[2]$ лето'!ap2177-'[2]$ лето'!an2177-'[2]$ лето'!am2177-'[2]$ лето'!al2177-'[2]$ лето'!ak2177-'[2]$ лето'!aj2177-'[2]$ лето'!ah2177-'[2]$ лето'!ag2177-'[2]$ лето'!af2177-'[2]$ лето'!ae2177-'[2]$ лето'!ad2177-'[2]$ лето'!ab2177-'[2]$ лето'!aa2177-'[2]$ лето'!z2177-'[2]$ лето'!y2177-'[2]$ лето'!x2177-'[2]$ лето'!v2177-'[2]$ лето'!u2177-'[2]$ лето'!t2177-'[2]$ лето'!s2177-'[2]$ лето'!r2177-'[2]$ лето'!p2177-'[2]$ лето'!o2177-'[2]$ лето'!n2177-'[2]$ лето'!m2177-'[2]$ лето'!l2177+'[2]$ лето'!k2177+'[2]$ лето'!q2177+'[2]$ лето'!w2177+'[2]$ лето'!ac2177+'[2]$ лето'!ai2177+'[2]$ лето'!ao2177</f>
        <v>0</v>
      </c>
      <c r="I2177" s="109" t="n">
        <f aca="false">'[2]$ лето'!ay2177*1.05</f>
        <v>4095</v>
      </c>
    </row>
    <row r="2178" customFormat="false" ht="15" hidden="true" customHeight="false" outlineLevel="0" collapsed="false">
      <c r="A2178" s="123" t="s">
        <v>2753</v>
      </c>
      <c r="B2178" s="115" t="s">
        <v>2688</v>
      </c>
      <c r="C2178" s="107" t="s">
        <v>2754</v>
      </c>
      <c r="D2178" s="107"/>
      <c r="E2178" s="107"/>
      <c r="F2178" s="107"/>
      <c r="G2178" s="108"/>
      <c r="H2178" s="105" t="n">
        <f aca="false">'[2]$ лето'!j2178-'[2]$ лето'!au2178-'[2]$ лето'!at2178-'[2]$ лето'!as2178-'[2]$ лето'!ar2178-'[2]$ лето'!aq2178-'[2]$ лето'!ap2178-'[2]$ лето'!an2178-'[2]$ лето'!am2178-'[2]$ лето'!al2178-'[2]$ лето'!ak2178-'[2]$ лето'!aj2178-'[2]$ лето'!ah2178-'[2]$ лето'!ag2178-'[2]$ лето'!af2178-'[2]$ лето'!ae2178-'[2]$ лето'!ad2178-'[2]$ лето'!ab2178-'[2]$ лето'!aa2178-'[2]$ лето'!z2178-'[2]$ лето'!y2178-'[2]$ лето'!x2178-'[2]$ лето'!v2178-'[2]$ лето'!u2178-'[2]$ лето'!t2178-'[2]$ лето'!s2178-'[2]$ лето'!r2178-'[2]$ лето'!p2178-'[2]$ лето'!o2178-'[2]$ лето'!n2178-'[2]$ лето'!m2178-'[2]$ лето'!l2178+'[2]$ лето'!k2178+'[2]$ лето'!q2178+'[2]$ лето'!w2178+'[2]$ лето'!ac2178+'[2]$ лето'!ai2178+'[2]$ лето'!ao2178</f>
        <v>0</v>
      </c>
      <c r="I2178" s="109" t="n">
        <f aca="false">'[2]$ лето'!ay2178*1.05</f>
        <v>2952.18</v>
      </c>
    </row>
    <row r="2179" customFormat="false" ht="15" hidden="true" customHeight="false" outlineLevel="0" collapsed="false">
      <c r="A2179" s="123" t="s">
        <v>2753</v>
      </c>
      <c r="B2179" s="115" t="s">
        <v>2688</v>
      </c>
      <c r="C2179" s="107" t="s">
        <v>2755</v>
      </c>
      <c r="D2179" s="107"/>
      <c r="E2179" s="107"/>
      <c r="F2179" s="107"/>
      <c r="G2179" s="108"/>
      <c r="H2179" s="105" t="n">
        <f aca="false">'[2]$ лето'!j2179-'[2]$ лето'!au2179-'[2]$ лето'!at2179-'[2]$ лето'!as2179-'[2]$ лето'!ar2179-'[2]$ лето'!aq2179-'[2]$ лето'!ap2179-'[2]$ лето'!an2179-'[2]$ лето'!am2179-'[2]$ лето'!al2179-'[2]$ лето'!ak2179-'[2]$ лето'!aj2179-'[2]$ лето'!ah2179-'[2]$ лето'!ag2179-'[2]$ лето'!af2179-'[2]$ лето'!ae2179-'[2]$ лето'!ad2179-'[2]$ лето'!ab2179-'[2]$ лето'!aa2179-'[2]$ лето'!z2179-'[2]$ лето'!y2179-'[2]$ лето'!x2179-'[2]$ лето'!v2179-'[2]$ лето'!u2179-'[2]$ лето'!t2179-'[2]$ лето'!s2179-'[2]$ лето'!r2179-'[2]$ лето'!p2179-'[2]$ лето'!o2179-'[2]$ лето'!n2179-'[2]$ лето'!m2179-'[2]$ лето'!l2179+'[2]$ лето'!k2179+'[2]$ лето'!q2179+'[2]$ лето'!w2179+'[2]$ лето'!ac2179+'[2]$ лето'!ai2179+'[2]$ лето'!ao2179</f>
        <v>0</v>
      </c>
      <c r="I2179" s="109" t="n">
        <f aca="false">'[2]$ лето'!ay2179*1.05</f>
        <v>2887.5</v>
      </c>
    </row>
    <row r="2180" customFormat="false" ht="15" hidden="false" customHeight="false" outlineLevel="0" collapsed="false">
      <c r="A2180" s="115" t="s">
        <v>2753</v>
      </c>
      <c r="B2180" s="123" t="s">
        <v>2710</v>
      </c>
      <c r="C2180" s="116" t="s">
        <v>2756</v>
      </c>
      <c r="D2180" s="116"/>
      <c r="E2180" s="116"/>
      <c r="F2180" s="116"/>
      <c r="G2180" s="108"/>
      <c r="H2180" s="105" t="n">
        <f aca="false">'[2]$ лето'!j2180-'[2]$ лето'!au2180-'[2]$ лето'!at2180-'[2]$ лето'!as2180-'[2]$ лето'!ar2180-'[2]$ лето'!aq2180-'[2]$ лето'!ap2180-'[2]$ лето'!an2180-'[2]$ лето'!am2180-'[2]$ лето'!al2180-'[2]$ лето'!ak2180-'[2]$ лето'!aj2180-'[2]$ лето'!ah2180-'[2]$ лето'!ag2180-'[2]$ лето'!af2180-'[2]$ лето'!ae2180-'[2]$ лето'!ad2180-'[2]$ лето'!ab2180-'[2]$ лето'!aa2180-'[2]$ лето'!z2180-'[2]$ лето'!y2180-'[2]$ лето'!x2180-'[2]$ лето'!v2180-'[2]$ лето'!u2180-'[2]$ лето'!t2180-'[2]$ лето'!s2180-'[2]$ лето'!r2180-'[2]$ лето'!p2180-'[2]$ лето'!o2180-'[2]$ лето'!n2180-'[2]$ лето'!m2180-'[2]$ лето'!l2180+'[2]$ лето'!k2180+'[2]$ лето'!q2180+'[2]$ лето'!w2180+'[2]$ лето'!ac2180+'[2]$ лето'!ai2180+'[2]$ лето'!ao2180</f>
        <v>2</v>
      </c>
      <c r="I2180" s="109" t="n">
        <f aca="false">'[2]$ лето'!ay2180*1.05</f>
        <v>3360</v>
      </c>
    </row>
    <row r="2181" customFormat="false" ht="15" hidden="true" customHeight="false" outlineLevel="0" collapsed="false">
      <c r="A2181" s="115" t="s">
        <v>2753</v>
      </c>
      <c r="B2181" s="123" t="s">
        <v>2710</v>
      </c>
      <c r="C2181" s="116" t="s">
        <v>2757</v>
      </c>
      <c r="D2181" s="116"/>
      <c r="E2181" s="116"/>
      <c r="F2181" s="116"/>
      <c r="G2181" s="108"/>
      <c r="H2181" s="105" t="n">
        <f aca="false">'[2]$ лето'!j2181-'[2]$ лето'!au2181-'[2]$ лето'!at2181-'[2]$ лето'!as2181-'[2]$ лето'!ar2181-'[2]$ лето'!aq2181-'[2]$ лето'!ap2181-'[2]$ лето'!an2181-'[2]$ лето'!am2181-'[2]$ лето'!al2181-'[2]$ лето'!ak2181-'[2]$ лето'!aj2181-'[2]$ лето'!ah2181-'[2]$ лето'!ag2181-'[2]$ лето'!af2181-'[2]$ лето'!ae2181-'[2]$ лето'!ad2181-'[2]$ лето'!ab2181-'[2]$ лето'!aa2181-'[2]$ лето'!z2181-'[2]$ лето'!y2181-'[2]$ лето'!x2181-'[2]$ лето'!v2181-'[2]$ лето'!u2181-'[2]$ лето'!t2181-'[2]$ лето'!s2181-'[2]$ лето'!r2181-'[2]$ лето'!p2181-'[2]$ лето'!o2181-'[2]$ лето'!n2181-'[2]$ лето'!m2181-'[2]$ лето'!l2181+'[2]$ лето'!k2181+'[2]$ лето'!q2181+'[2]$ лето'!w2181+'[2]$ лето'!ac2181+'[2]$ лето'!ai2181+'[2]$ лето'!ao2181</f>
        <v>0</v>
      </c>
      <c r="I2181" s="109" t="n">
        <f aca="false">'[2]$ лето'!ay2181*1.05</f>
        <v>2982</v>
      </c>
    </row>
    <row r="2182" customFormat="false" ht="15" hidden="true" customHeight="false" outlineLevel="0" collapsed="false">
      <c r="A2182" s="115" t="s">
        <v>2753</v>
      </c>
      <c r="B2182" s="123" t="s">
        <v>707</v>
      </c>
      <c r="C2182" s="116" t="s">
        <v>2691</v>
      </c>
      <c r="D2182" s="116"/>
      <c r="E2182" s="116"/>
      <c r="F2182" s="116"/>
      <c r="G2182" s="108"/>
      <c r="H2182" s="105" t="n">
        <f aca="false">'[2]$ лето'!j2182-'[2]$ лето'!au2182-'[2]$ лето'!at2182-'[2]$ лето'!as2182-'[2]$ лето'!ar2182-'[2]$ лето'!aq2182-'[2]$ лето'!ap2182-'[2]$ лето'!an2182-'[2]$ лето'!am2182-'[2]$ лето'!al2182-'[2]$ лето'!ak2182-'[2]$ лето'!aj2182-'[2]$ лето'!ah2182-'[2]$ лето'!ag2182-'[2]$ лето'!af2182-'[2]$ лето'!ae2182-'[2]$ лето'!ad2182-'[2]$ лето'!ab2182-'[2]$ лето'!aa2182-'[2]$ лето'!z2182-'[2]$ лето'!y2182-'[2]$ лето'!x2182-'[2]$ лето'!v2182-'[2]$ лето'!u2182-'[2]$ лето'!t2182-'[2]$ лето'!s2182-'[2]$ лето'!r2182-'[2]$ лето'!p2182-'[2]$ лето'!o2182-'[2]$ лето'!n2182-'[2]$ лето'!m2182-'[2]$ лето'!l2182+'[2]$ лето'!k2182+'[2]$ лето'!q2182+'[2]$ лето'!w2182+'[2]$ лето'!ac2182+'[2]$ лето'!ai2182+'[2]$ лето'!ao2182</f>
        <v>0</v>
      </c>
      <c r="I2182" s="109" t="n">
        <f aca="false">'[2]$ лето'!ay2182*1.05</f>
        <v>6262.2</v>
      </c>
    </row>
    <row r="2183" customFormat="false" ht="15" hidden="true" customHeight="false" outlineLevel="0" collapsed="false">
      <c r="A2183" s="115" t="s">
        <v>2753</v>
      </c>
      <c r="B2183" s="123" t="s">
        <v>707</v>
      </c>
      <c r="C2183" s="116" t="s">
        <v>2758</v>
      </c>
      <c r="D2183" s="116"/>
      <c r="E2183" s="116"/>
      <c r="F2183" s="116"/>
      <c r="G2183" s="108" t="s">
        <v>585</v>
      </c>
      <c r="H2183" s="105" t="n">
        <f aca="false">'[2]$ лето'!j2183-'[2]$ лето'!au2183-'[2]$ лето'!at2183-'[2]$ лето'!as2183-'[2]$ лето'!ar2183-'[2]$ лето'!aq2183-'[2]$ лето'!ap2183-'[2]$ лето'!an2183-'[2]$ лето'!am2183-'[2]$ лето'!al2183-'[2]$ лето'!ak2183-'[2]$ лето'!aj2183-'[2]$ лето'!ah2183-'[2]$ лето'!ag2183-'[2]$ лето'!af2183-'[2]$ лето'!ae2183-'[2]$ лето'!ad2183-'[2]$ лето'!ab2183-'[2]$ лето'!aa2183-'[2]$ лето'!z2183-'[2]$ лето'!y2183-'[2]$ лето'!x2183-'[2]$ лето'!v2183-'[2]$ лето'!u2183-'[2]$ лето'!t2183-'[2]$ лето'!s2183-'[2]$ лето'!r2183-'[2]$ лето'!p2183-'[2]$ лето'!o2183-'[2]$ лето'!n2183-'[2]$ лето'!m2183-'[2]$ лето'!l2183+'[2]$ лето'!k2183+'[2]$ лето'!q2183+'[2]$ лето'!w2183+'[2]$ лето'!ac2183+'[2]$ лето'!ai2183+'[2]$ лето'!ao2183</f>
        <v>0</v>
      </c>
      <c r="I2183" s="109" t="n">
        <f aca="false">'[2]$ лето'!ay2183*1.05</f>
        <v>4473</v>
      </c>
    </row>
    <row r="2184" customFormat="false" ht="15" hidden="false" customHeight="false" outlineLevel="0" collapsed="false">
      <c r="A2184" s="115" t="s">
        <v>2753</v>
      </c>
      <c r="B2184" s="123" t="s">
        <v>2478</v>
      </c>
      <c r="C2184" s="116" t="s">
        <v>2759</v>
      </c>
      <c r="D2184" s="116"/>
      <c r="E2184" s="116"/>
      <c r="F2184" s="116"/>
      <c r="G2184" s="108"/>
      <c r="H2184" s="105" t="n">
        <f aca="false">'[2]$ лето'!j2184-'[2]$ лето'!au2184-'[2]$ лето'!at2184-'[2]$ лето'!as2184-'[2]$ лето'!ar2184-'[2]$ лето'!aq2184-'[2]$ лето'!ap2184-'[2]$ лето'!an2184-'[2]$ лето'!am2184-'[2]$ лето'!al2184-'[2]$ лето'!ak2184-'[2]$ лето'!aj2184-'[2]$ лето'!ah2184-'[2]$ лето'!ag2184-'[2]$ лето'!af2184-'[2]$ лето'!ae2184-'[2]$ лето'!ad2184-'[2]$ лето'!ab2184-'[2]$ лето'!aa2184-'[2]$ лето'!z2184-'[2]$ лето'!y2184-'[2]$ лето'!x2184-'[2]$ лето'!v2184-'[2]$ лето'!u2184-'[2]$ лето'!t2184-'[2]$ лето'!s2184-'[2]$ лето'!r2184-'[2]$ лето'!p2184-'[2]$ лето'!o2184-'[2]$ лето'!n2184-'[2]$ лето'!m2184-'[2]$ лето'!l2184+'[2]$ лето'!k2184+'[2]$ лето'!q2184+'[2]$ лето'!w2184+'[2]$ лето'!ac2184+'[2]$ лето'!ai2184+'[2]$ лето'!ao2184</f>
        <v>2</v>
      </c>
      <c r="I2184" s="109" t="n">
        <f aca="false">'[2]$ лето'!ay2184*1.05</f>
        <v>3255</v>
      </c>
      <c r="J2184" s="85" t="n">
        <v>2017</v>
      </c>
    </row>
    <row r="2185" customFormat="false" ht="15" hidden="true" customHeight="false" outlineLevel="0" collapsed="false">
      <c r="A2185" s="115" t="s">
        <v>2753</v>
      </c>
      <c r="B2185" s="123" t="s">
        <v>2478</v>
      </c>
      <c r="C2185" s="116" t="s">
        <v>2760</v>
      </c>
      <c r="D2185" s="116"/>
      <c r="E2185" s="116"/>
      <c r="F2185" s="116"/>
      <c r="G2185" s="108"/>
      <c r="H2185" s="105" t="n">
        <f aca="false">'[2]$ лето'!j2185-'[2]$ лето'!au2185-'[2]$ лето'!at2185-'[2]$ лето'!as2185-'[2]$ лето'!ar2185-'[2]$ лето'!aq2185-'[2]$ лето'!ap2185-'[2]$ лето'!an2185-'[2]$ лето'!am2185-'[2]$ лето'!al2185-'[2]$ лето'!ak2185-'[2]$ лето'!aj2185-'[2]$ лето'!ah2185-'[2]$ лето'!ag2185-'[2]$ лето'!af2185-'[2]$ лето'!ae2185-'[2]$ лето'!ad2185-'[2]$ лето'!ab2185-'[2]$ лето'!aa2185-'[2]$ лето'!z2185-'[2]$ лето'!y2185-'[2]$ лето'!x2185-'[2]$ лето'!v2185-'[2]$ лето'!u2185-'[2]$ лето'!t2185-'[2]$ лето'!s2185-'[2]$ лето'!r2185-'[2]$ лето'!p2185-'[2]$ лето'!o2185-'[2]$ лето'!n2185-'[2]$ лето'!m2185-'[2]$ лето'!l2185+'[2]$ лето'!k2185+'[2]$ лето'!q2185+'[2]$ лето'!w2185+'[2]$ лето'!ac2185+'[2]$ лето'!ai2185+'[2]$ лето'!ao2185</f>
        <v>0</v>
      </c>
      <c r="I2185" s="109" t="n">
        <f aca="false">'[2]$ лето'!ay2185*1.05</f>
        <v>3465</v>
      </c>
      <c r="J2185" s="85" t="n">
        <v>2017</v>
      </c>
    </row>
    <row r="2186" customFormat="false" ht="15" hidden="false" customHeight="false" outlineLevel="0" collapsed="false">
      <c r="A2186" s="115" t="s">
        <v>2753</v>
      </c>
      <c r="B2186" s="115" t="s">
        <v>574</v>
      </c>
      <c r="C2186" s="116" t="s">
        <v>2728</v>
      </c>
      <c r="D2186" s="116"/>
      <c r="E2186" s="116"/>
      <c r="F2186" s="116"/>
      <c r="G2186" s="108" t="s">
        <v>576</v>
      </c>
      <c r="H2186" s="105" t="n">
        <f aca="false">'[2]$ лето'!j2186-'[2]$ лето'!au2186-'[2]$ лето'!at2186-'[2]$ лето'!as2186-'[2]$ лето'!ar2186-'[2]$ лето'!aq2186-'[2]$ лето'!ap2186-'[2]$ лето'!an2186-'[2]$ лето'!am2186-'[2]$ лето'!al2186-'[2]$ лето'!ak2186-'[2]$ лето'!aj2186-'[2]$ лето'!ah2186-'[2]$ лето'!ag2186-'[2]$ лето'!af2186-'[2]$ лето'!ae2186-'[2]$ лето'!ad2186-'[2]$ лето'!ab2186-'[2]$ лето'!aa2186-'[2]$ лето'!z2186-'[2]$ лето'!y2186-'[2]$ лето'!x2186-'[2]$ лето'!v2186-'[2]$ лето'!u2186-'[2]$ лето'!t2186-'[2]$ лето'!s2186-'[2]$ лето'!r2186-'[2]$ лето'!p2186-'[2]$ лето'!o2186-'[2]$ лето'!n2186-'[2]$ лето'!m2186-'[2]$ лето'!l2186+'[2]$ лето'!k2186+'[2]$ лето'!q2186+'[2]$ лето'!w2186+'[2]$ лето'!ac2186+'[2]$ лето'!ai2186+'[2]$ лето'!ao2186</f>
        <v>14</v>
      </c>
      <c r="I2186" s="109" t="n">
        <f aca="false">'[2]$ лето'!ay2186*1.05</f>
        <v>4562.46</v>
      </c>
    </row>
    <row r="2187" customFormat="false" ht="15" hidden="true" customHeight="false" outlineLevel="0" collapsed="false">
      <c r="A2187" s="115" t="s">
        <v>2753</v>
      </c>
      <c r="B2187" s="115" t="s">
        <v>574</v>
      </c>
      <c r="C2187" s="116" t="s">
        <v>2761</v>
      </c>
      <c r="D2187" s="116"/>
      <c r="E2187" s="116"/>
      <c r="F2187" s="116"/>
      <c r="G2187" s="108" t="s">
        <v>576</v>
      </c>
      <c r="H2187" s="105" t="n">
        <f aca="false">'[2]$ лето'!j2187-'[2]$ лето'!au2187-'[2]$ лето'!at2187-'[2]$ лето'!as2187-'[2]$ лето'!ar2187-'[2]$ лето'!aq2187-'[2]$ лето'!ap2187-'[2]$ лето'!an2187-'[2]$ лето'!am2187-'[2]$ лето'!al2187-'[2]$ лето'!ak2187-'[2]$ лето'!aj2187-'[2]$ лето'!ah2187-'[2]$ лето'!ag2187-'[2]$ лето'!af2187-'[2]$ лето'!ae2187-'[2]$ лето'!ad2187-'[2]$ лето'!ab2187-'[2]$ лето'!aa2187-'[2]$ лето'!z2187-'[2]$ лето'!y2187-'[2]$ лето'!x2187-'[2]$ лето'!v2187-'[2]$ лето'!u2187-'[2]$ лето'!t2187-'[2]$ лето'!s2187-'[2]$ лето'!r2187-'[2]$ лето'!p2187-'[2]$ лето'!o2187-'[2]$ лето'!n2187-'[2]$ лето'!m2187-'[2]$ лето'!l2187+'[2]$ лето'!k2187+'[2]$ лето'!q2187+'[2]$ лето'!w2187+'[2]$ лето'!ac2187+'[2]$ лето'!ai2187+'[2]$ лето'!ao2187</f>
        <v>0</v>
      </c>
      <c r="I2187" s="109" t="n">
        <f aca="false">'[2]$ лето'!ay2187*1.05</f>
        <v>4443.18</v>
      </c>
    </row>
    <row r="2188" customFormat="false" ht="15" hidden="false" customHeight="false" outlineLevel="0" collapsed="false">
      <c r="A2188" s="115" t="s">
        <v>2753</v>
      </c>
      <c r="B2188" s="115" t="s">
        <v>574</v>
      </c>
      <c r="C2188" s="116" t="s">
        <v>2762</v>
      </c>
      <c r="D2188" s="116"/>
      <c r="E2188" s="116"/>
      <c r="F2188" s="116"/>
      <c r="G2188" s="108" t="s">
        <v>576</v>
      </c>
      <c r="H2188" s="105" t="n">
        <f aca="false">'[2]$ лето'!j2188-'[2]$ лето'!au2188-'[2]$ лето'!at2188-'[2]$ лето'!as2188-'[2]$ лето'!ar2188-'[2]$ лето'!aq2188-'[2]$ лето'!ap2188-'[2]$ лето'!an2188-'[2]$ лето'!am2188-'[2]$ лето'!al2188-'[2]$ лето'!ak2188-'[2]$ лето'!aj2188-'[2]$ лето'!ah2188-'[2]$ лето'!ag2188-'[2]$ лето'!af2188-'[2]$ лето'!ae2188-'[2]$ лето'!ad2188-'[2]$ лето'!ab2188-'[2]$ лето'!aa2188-'[2]$ лето'!z2188-'[2]$ лето'!y2188-'[2]$ лето'!x2188-'[2]$ лето'!v2188-'[2]$ лето'!u2188-'[2]$ лето'!t2188-'[2]$ лето'!s2188-'[2]$ лето'!r2188-'[2]$ лето'!p2188-'[2]$ лето'!o2188-'[2]$ лето'!n2188-'[2]$ лето'!m2188-'[2]$ лето'!l2188+'[2]$ лето'!k2188+'[2]$ лето'!q2188+'[2]$ лето'!w2188+'[2]$ лето'!ac2188+'[2]$ лето'!ai2188+'[2]$ лето'!ao2188</f>
        <v>9</v>
      </c>
      <c r="I2188" s="109" t="n">
        <f aca="false">'[2]$ лето'!ay2188*1.05</f>
        <v>4473</v>
      </c>
      <c r="J2188" s="85" t="n">
        <v>2018</v>
      </c>
    </row>
    <row r="2189" customFormat="false" ht="15" hidden="true" customHeight="false" outlineLevel="0" collapsed="false">
      <c r="A2189" s="115" t="s">
        <v>2753</v>
      </c>
      <c r="B2189" s="115" t="s">
        <v>583</v>
      </c>
      <c r="C2189" s="116" t="s">
        <v>2729</v>
      </c>
      <c r="D2189" s="116"/>
      <c r="E2189" s="116"/>
      <c r="F2189" s="116"/>
      <c r="G2189" s="108"/>
      <c r="H2189" s="105" t="n">
        <f aca="false">'[2]$ лето'!j2189-'[2]$ лето'!au2189-'[2]$ лето'!at2189-'[2]$ лето'!as2189-'[2]$ лето'!ar2189-'[2]$ лето'!aq2189-'[2]$ лето'!ap2189-'[2]$ лето'!an2189-'[2]$ лето'!am2189-'[2]$ лето'!al2189-'[2]$ лето'!ak2189-'[2]$ лето'!aj2189-'[2]$ лето'!ah2189-'[2]$ лето'!ag2189-'[2]$ лето'!af2189-'[2]$ лето'!ae2189-'[2]$ лето'!ad2189-'[2]$ лето'!ab2189-'[2]$ лето'!aa2189-'[2]$ лето'!z2189-'[2]$ лето'!y2189-'[2]$ лето'!x2189-'[2]$ лето'!v2189-'[2]$ лето'!u2189-'[2]$ лето'!t2189-'[2]$ лето'!s2189-'[2]$ лето'!r2189-'[2]$ лето'!p2189-'[2]$ лето'!o2189-'[2]$ лето'!n2189-'[2]$ лето'!m2189-'[2]$ лето'!l2189+'[2]$ лето'!k2189+'[2]$ лето'!q2189+'[2]$ лето'!w2189+'[2]$ лето'!ac2189+'[2]$ лето'!ai2189+'[2]$ лето'!ao2189</f>
        <v>0</v>
      </c>
      <c r="I2189" s="109" t="n">
        <f aca="false">'[2]$ лето'!ay2189*1.05</f>
        <v>4353.72</v>
      </c>
    </row>
    <row r="2190" customFormat="false" ht="15" hidden="true" customHeight="false" outlineLevel="0" collapsed="false">
      <c r="A2190" s="115" t="s">
        <v>2753</v>
      </c>
      <c r="B2190" s="115" t="s">
        <v>583</v>
      </c>
      <c r="C2190" s="116" t="s">
        <v>2763</v>
      </c>
      <c r="D2190" s="116"/>
      <c r="E2190" s="116"/>
      <c r="F2190" s="116"/>
      <c r="G2190" s="108"/>
      <c r="H2190" s="105" t="n">
        <f aca="false">'[2]$ лето'!j2190-'[2]$ лето'!au2190-'[2]$ лето'!at2190-'[2]$ лето'!as2190-'[2]$ лето'!ar2190-'[2]$ лето'!aq2190-'[2]$ лето'!ap2190-'[2]$ лето'!an2190-'[2]$ лето'!am2190-'[2]$ лето'!al2190-'[2]$ лето'!ak2190-'[2]$ лето'!aj2190-'[2]$ лето'!ah2190-'[2]$ лето'!ag2190-'[2]$ лето'!af2190-'[2]$ лето'!ae2190-'[2]$ лето'!ad2190-'[2]$ лето'!ab2190-'[2]$ лето'!aa2190-'[2]$ лето'!z2190-'[2]$ лето'!y2190-'[2]$ лето'!x2190-'[2]$ лето'!v2190-'[2]$ лето'!u2190-'[2]$ лето'!t2190-'[2]$ лето'!s2190-'[2]$ лето'!r2190-'[2]$ лето'!p2190-'[2]$ лето'!o2190-'[2]$ лето'!n2190-'[2]$ лето'!m2190-'[2]$ лето'!l2190+'[2]$ лето'!k2190+'[2]$ лето'!q2190+'[2]$ лето'!w2190+'[2]$ лето'!ac2190+'[2]$ лето'!ai2190+'[2]$ лето'!ao2190</f>
        <v>0</v>
      </c>
      <c r="I2190" s="109" t="n">
        <f aca="false">'[2]$ лето'!ay2190*1.05</f>
        <v>4681.74</v>
      </c>
    </row>
    <row r="2191" customFormat="false" ht="15" hidden="true" customHeight="false" outlineLevel="0" collapsed="false">
      <c r="A2191" s="115" t="s">
        <v>2753</v>
      </c>
      <c r="B2191" s="115" t="s">
        <v>593</v>
      </c>
      <c r="C2191" s="116" t="s">
        <v>2764</v>
      </c>
      <c r="D2191" s="116"/>
      <c r="E2191" s="116"/>
      <c r="F2191" s="116"/>
      <c r="G2191" s="108" t="s">
        <v>868</v>
      </c>
      <c r="H2191" s="105" t="n">
        <f aca="false">'[2]$ лето'!j2191-'[2]$ лето'!au2191-'[2]$ лето'!at2191-'[2]$ лето'!as2191-'[2]$ лето'!ar2191-'[2]$ лето'!aq2191-'[2]$ лето'!ap2191-'[2]$ лето'!an2191-'[2]$ лето'!am2191-'[2]$ лето'!al2191-'[2]$ лето'!ak2191-'[2]$ лето'!aj2191-'[2]$ лето'!ah2191-'[2]$ лето'!ag2191-'[2]$ лето'!af2191-'[2]$ лето'!ae2191-'[2]$ лето'!ad2191-'[2]$ лето'!ab2191-'[2]$ лето'!aa2191-'[2]$ лето'!z2191-'[2]$ лето'!y2191-'[2]$ лето'!x2191-'[2]$ лето'!v2191-'[2]$ лето'!u2191-'[2]$ лето'!t2191-'[2]$ лето'!s2191-'[2]$ лето'!r2191-'[2]$ лето'!p2191-'[2]$ лето'!o2191-'[2]$ лето'!n2191-'[2]$ лето'!m2191-'[2]$ лето'!l2191+'[2]$ лето'!k2191+'[2]$ лето'!q2191+'[2]$ лето'!w2191+'[2]$ лето'!ac2191+'[2]$ лето'!ai2191+'[2]$ лето'!ao2191</f>
        <v>0</v>
      </c>
      <c r="I2191" s="109" t="n">
        <f aca="false">'[2]$ лето'!ay2191*1.05</f>
        <v>6560.4</v>
      </c>
    </row>
    <row r="2192" customFormat="false" ht="15" hidden="true" customHeight="false" outlineLevel="0" collapsed="false">
      <c r="A2192" s="115" t="s">
        <v>2753</v>
      </c>
      <c r="B2192" s="115" t="s">
        <v>593</v>
      </c>
      <c r="C2192" s="116" t="s">
        <v>2765</v>
      </c>
      <c r="D2192" s="116"/>
      <c r="E2192" s="116"/>
      <c r="F2192" s="116"/>
      <c r="G2192" s="108" t="s">
        <v>868</v>
      </c>
      <c r="H2192" s="105" t="n">
        <f aca="false">'[2]$ лето'!j2192-'[2]$ лето'!au2192-'[2]$ лето'!at2192-'[2]$ лето'!as2192-'[2]$ лето'!ar2192-'[2]$ лето'!aq2192-'[2]$ лето'!ap2192-'[2]$ лето'!an2192-'[2]$ лето'!am2192-'[2]$ лето'!al2192-'[2]$ лето'!ak2192-'[2]$ лето'!aj2192-'[2]$ лето'!ah2192-'[2]$ лето'!ag2192-'[2]$ лето'!af2192-'[2]$ лето'!ae2192-'[2]$ лето'!ad2192-'[2]$ лето'!ab2192-'[2]$ лето'!aa2192-'[2]$ лето'!z2192-'[2]$ лето'!y2192-'[2]$ лето'!x2192-'[2]$ лето'!v2192-'[2]$ лето'!u2192-'[2]$ лето'!t2192-'[2]$ лето'!s2192-'[2]$ лето'!r2192-'[2]$ лето'!p2192-'[2]$ лето'!o2192-'[2]$ лето'!n2192-'[2]$ лето'!m2192-'[2]$ лето'!l2192+'[2]$ лето'!k2192+'[2]$ лето'!q2192+'[2]$ лето'!w2192+'[2]$ лето'!ac2192+'[2]$ лето'!ai2192+'[2]$ лето'!ao2192</f>
        <v>0</v>
      </c>
      <c r="I2192" s="109" t="n">
        <f aca="false">'[2]$ лето'!ay2192*1.05</f>
        <v>6560.4</v>
      </c>
    </row>
    <row r="2193" customFormat="false" ht="15" hidden="true" customHeight="false" outlineLevel="0" collapsed="false">
      <c r="A2193" s="115" t="s">
        <v>2753</v>
      </c>
      <c r="B2193" s="115" t="s">
        <v>652</v>
      </c>
      <c r="C2193" s="116" t="s">
        <v>2766</v>
      </c>
      <c r="D2193" s="116"/>
      <c r="E2193" s="116"/>
      <c r="F2193" s="116"/>
      <c r="G2193" s="108"/>
      <c r="H2193" s="105" t="n">
        <f aca="false">'[2]$ лето'!j2193-'[2]$ лето'!au2193-'[2]$ лето'!at2193-'[2]$ лето'!as2193-'[2]$ лето'!ar2193-'[2]$ лето'!aq2193-'[2]$ лето'!ap2193-'[2]$ лето'!an2193-'[2]$ лето'!am2193-'[2]$ лето'!al2193-'[2]$ лето'!ak2193-'[2]$ лето'!aj2193-'[2]$ лето'!ah2193-'[2]$ лето'!ag2193-'[2]$ лето'!af2193-'[2]$ лето'!ae2193-'[2]$ лето'!ad2193-'[2]$ лето'!ab2193-'[2]$ лето'!aa2193-'[2]$ лето'!z2193-'[2]$ лето'!y2193-'[2]$ лето'!x2193-'[2]$ лето'!v2193-'[2]$ лето'!u2193-'[2]$ лето'!t2193-'[2]$ лето'!s2193-'[2]$ лето'!r2193-'[2]$ лето'!p2193-'[2]$ лето'!o2193-'[2]$ лето'!n2193-'[2]$ лето'!m2193-'[2]$ лето'!l2193+'[2]$ лето'!k2193+'[2]$ лето'!q2193+'[2]$ лето'!w2193+'[2]$ лето'!ac2193+'[2]$ лето'!ai2193+'[2]$ лето'!ao2193</f>
        <v>0</v>
      </c>
      <c r="I2193" s="109" t="n">
        <f aca="false">'[2]$ лето'!ay2193*1.05</f>
        <v>4174.8</v>
      </c>
    </row>
    <row r="2194" customFormat="false" ht="15" hidden="true" customHeight="false" outlineLevel="0" collapsed="false">
      <c r="A2194" s="115" t="s">
        <v>2753</v>
      </c>
      <c r="B2194" s="115" t="s">
        <v>652</v>
      </c>
      <c r="C2194" s="116" t="s">
        <v>2744</v>
      </c>
      <c r="D2194" s="116"/>
      <c r="E2194" s="116"/>
      <c r="F2194" s="116"/>
      <c r="G2194" s="108"/>
      <c r="H2194" s="105" t="n">
        <f aca="false">'[2]$ лето'!j2194-'[2]$ лето'!au2194-'[2]$ лето'!at2194-'[2]$ лето'!as2194-'[2]$ лето'!ar2194-'[2]$ лето'!aq2194-'[2]$ лето'!ap2194-'[2]$ лето'!an2194-'[2]$ лето'!am2194-'[2]$ лето'!al2194-'[2]$ лето'!ak2194-'[2]$ лето'!aj2194-'[2]$ лето'!ah2194-'[2]$ лето'!ag2194-'[2]$ лето'!af2194-'[2]$ лето'!ae2194-'[2]$ лето'!ad2194-'[2]$ лето'!ab2194-'[2]$ лето'!aa2194-'[2]$ лето'!z2194-'[2]$ лето'!y2194-'[2]$ лето'!x2194-'[2]$ лето'!v2194-'[2]$ лето'!u2194-'[2]$ лето'!t2194-'[2]$ лето'!s2194-'[2]$ лето'!r2194-'[2]$ лето'!p2194-'[2]$ лето'!o2194-'[2]$ лето'!n2194-'[2]$ лето'!m2194-'[2]$ лето'!l2194+'[2]$ лето'!k2194+'[2]$ лето'!q2194+'[2]$ лето'!w2194+'[2]$ лето'!ac2194+'[2]$ лето'!ai2194+'[2]$ лето'!ao2194</f>
        <v>0</v>
      </c>
      <c r="I2194" s="109" t="n">
        <f aca="false">'[2]$ лето'!ay2194*1.05</f>
        <v>4920.3</v>
      </c>
    </row>
    <row r="2195" customFormat="false" ht="15" hidden="true" customHeight="false" outlineLevel="0" collapsed="false">
      <c r="A2195" s="115" t="s">
        <v>2753</v>
      </c>
      <c r="B2195" s="115" t="s">
        <v>652</v>
      </c>
      <c r="C2195" s="116" t="s">
        <v>2767</v>
      </c>
      <c r="D2195" s="116"/>
      <c r="E2195" s="116"/>
      <c r="F2195" s="116"/>
      <c r="G2195" s="108"/>
      <c r="H2195" s="105" t="n">
        <f aca="false">'[2]$ лето'!j2195-'[2]$ лето'!au2195-'[2]$ лето'!at2195-'[2]$ лето'!as2195-'[2]$ лето'!ar2195-'[2]$ лето'!aq2195-'[2]$ лето'!ap2195-'[2]$ лето'!an2195-'[2]$ лето'!am2195-'[2]$ лето'!al2195-'[2]$ лето'!ak2195-'[2]$ лето'!aj2195-'[2]$ лето'!ah2195-'[2]$ лето'!ag2195-'[2]$ лето'!af2195-'[2]$ лето'!ae2195-'[2]$ лето'!ad2195-'[2]$ лето'!ab2195-'[2]$ лето'!aa2195-'[2]$ лето'!z2195-'[2]$ лето'!y2195-'[2]$ лето'!x2195-'[2]$ лето'!v2195-'[2]$ лето'!u2195-'[2]$ лето'!t2195-'[2]$ лето'!s2195-'[2]$ лето'!r2195-'[2]$ лето'!p2195-'[2]$ лето'!o2195-'[2]$ лето'!n2195-'[2]$ лето'!m2195-'[2]$ лето'!l2195+'[2]$ лето'!k2195+'[2]$ лето'!q2195+'[2]$ лето'!w2195+'[2]$ лето'!ac2195+'[2]$ лето'!ai2195+'[2]$ лето'!ao2195</f>
        <v>0</v>
      </c>
      <c r="I2195" s="109" t="n">
        <f aca="false">'[2]$ лето'!ay2195*1.05</f>
        <v>4473</v>
      </c>
    </row>
    <row r="2196" customFormat="false" ht="15" hidden="true" customHeight="false" outlineLevel="0" collapsed="false">
      <c r="A2196" s="115" t="s">
        <v>2753</v>
      </c>
      <c r="B2196" s="115" t="s">
        <v>652</v>
      </c>
      <c r="C2196" s="116" t="s">
        <v>2768</v>
      </c>
      <c r="D2196" s="116"/>
      <c r="E2196" s="116"/>
      <c r="F2196" s="116"/>
      <c r="G2196" s="108"/>
      <c r="H2196" s="105" t="n">
        <f aca="false">'[2]$ лето'!j2196-'[2]$ лето'!au2196-'[2]$ лето'!at2196-'[2]$ лето'!as2196-'[2]$ лето'!ar2196-'[2]$ лето'!aq2196-'[2]$ лето'!ap2196-'[2]$ лето'!an2196-'[2]$ лето'!am2196-'[2]$ лето'!al2196-'[2]$ лето'!ak2196-'[2]$ лето'!aj2196-'[2]$ лето'!ah2196-'[2]$ лето'!ag2196-'[2]$ лето'!af2196-'[2]$ лето'!ae2196-'[2]$ лето'!ad2196-'[2]$ лето'!ab2196-'[2]$ лето'!aa2196-'[2]$ лето'!z2196-'[2]$ лето'!y2196-'[2]$ лето'!x2196-'[2]$ лето'!v2196-'[2]$ лето'!u2196-'[2]$ лето'!t2196-'[2]$ лето'!s2196-'[2]$ лето'!r2196-'[2]$ лето'!p2196-'[2]$ лето'!o2196-'[2]$ лето'!n2196-'[2]$ лето'!m2196-'[2]$ лето'!l2196+'[2]$ лето'!k2196+'[2]$ лето'!q2196+'[2]$ лето'!w2196+'[2]$ лето'!ac2196+'[2]$ лето'!ai2196+'[2]$ лето'!ao2196</f>
        <v>0</v>
      </c>
      <c r="I2196" s="109" t="n">
        <f aca="false">'[2]$ лето'!ay2196*1.05</f>
        <v>4174.8</v>
      </c>
    </row>
    <row r="2197" customFormat="false" ht="15" hidden="true" customHeight="false" outlineLevel="0" collapsed="false">
      <c r="A2197" s="115" t="s">
        <v>2753</v>
      </c>
      <c r="B2197" s="115" t="s">
        <v>2695</v>
      </c>
      <c r="C2197" s="116" t="s">
        <v>2769</v>
      </c>
      <c r="D2197" s="116"/>
      <c r="E2197" s="116"/>
      <c r="F2197" s="116"/>
      <c r="G2197" s="108"/>
      <c r="H2197" s="105" t="n">
        <f aca="false">'[2]$ лето'!j2197-'[2]$ лето'!au2197-'[2]$ лето'!at2197-'[2]$ лето'!as2197-'[2]$ лето'!ar2197-'[2]$ лето'!aq2197-'[2]$ лето'!ap2197-'[2]$ лето'!an2197-'[2]$ лето'!am2197-'[2]$ лето'!al2197-'[2]$ лето'!ak2197-'[2]$ лето'!aj2197-'[2]$ лето'!ah2197-'[2]$ лето'!ag2197-'[2]$ лето'!af2197-'[2]$ лето'!ae2197-'[2]$ лето'!ad2197-'[2]$ лето'!ab2197-'[2]$ лето'!aa2197-'[2]$ лето'!z2197-'[2]$ лето'!y2197-'[2]$ лето'!x2197-'[2]$ лето'!v2197-'[2]$ лето'!u2197-'[2]$ лето'!t2197-'[2]$ лето'!s2197-'[2]$ лето'!r2197-'[2]$ лето'!p2197-'[2]$ лето'!o2197-'[2]$ лето'!n2197-'[2]$ лето'!m2197-'[2]$ лето'!l2197+'[2]$ лето'!k2197+'[2]$ лето'!q2197+'[2]$ лето'!w2197+'[2]$ лето'!ac2197+'[2]$ лето'!ai2197+'[2]$ лето'!ao2197</f>
        <v>0</v>
      </c>
      <c r="I2197" s="109" t="n">
        <f aca="false">'[2]$ лето'!ay2197*1.05</f>
        <v>4771.2</v>
      </c>
    </row>
    <row r="2198" customFormat="false" ht="15" hidden="true" customHeight="false" outlineLevel="0" collapsed="false">
      <c r="A2198" s="115" t="s">
        <v>2753</v>
      </c>
      <c r="B2198" s="115" t="s">
        <v>2750</v>
      </c>
      <c r="C2198" s="116" t="s">
        <v>2706</v>
      </c>
      <c r="D2198" s="116"/>
      <c r="E2198" s="116"/>
      <c r="F2198" s="116"/>
      <c r="G2198" s="108"/>
      <c r="H2198" s="105" t="n">
        <f aca="false">'[2]$ лето'!j2198-'[2]$ лето'!au2198-'[2]$ лето'!at2198-'[2]$ лето'!as2198-'[2]$ лето'!ar2198-'[2]$ лето'!aq2198-'[2]$ лето'!ap2198-'[2]$ лето'!an2198-'[2]$ лето'!am2198-'[2]$ лето'!al2198-'[2]$ лето'!ak2198-'[2]$ лето'!aj2198-'[2]$ лето'!ah2198-'[2]$ лето'!ag2198-'[2]$ лето'!af2198-'[2]$ лето'!ae2198-'[2]$ лето'!ad2198-'[2]$ лето'!ab2198-'[2]$ лето'!aa2198-'[2]$ лето'!z2198-'[2]$ лето'!y2198-'[2]$ лето'!x2198-'[2]$ лето'!v2198-'[2]$ лето'!u2198-'[2]$ лето'!t2198-'[2]$ лето'!s2198-'[2]$ лето'!r2198-'[2]$ лето'!p2198-'[2]$ лето'!o2198-'[2]$ лето'!n2198-'[2]$ лето'!m2198-'[2]$ лето'!l2198+'[2]$ лето'!k2198+'[2]$ лето'!q2198+'[2]$ лето'!w2198+'[2]$ лето'!ac2198+'[2]$ лето'!ai2198+'[2]$ лето'!ao2198</f>
        <v>0</v>
      </c>
      <c r="I2198" s="109" t="n">
        <f aca="false">'[2]$ лето'!ay2198*1.05</f>
        <v>3202.5</v>
      </c>
    </row>
    <row r="2199" customFormat="false" ht="15" hidden="true" customHeight="false" outlineLevel="0" collapsed="false">
      <c r="A2199" s="115" t="s">
        <v>2753</v>
      </c>
      <c r="B2199" s="115" t="s">
        <v>2750</v>
      </c>
      <c r="C2199" s="116" t="s">
        <v>2770</v>
      </c>
      <c r="D2199" s="116"/>
      <c r="E2199" s="116"/>
      <c r="F2199" s="116"/>
      <c r="G2199" s="108"/>
      <c r="H2199" s="105" t="n">
        <f aca="false">'[2]$ лето'!j2199-'[2]$ лето'!au2199-'[2]$ лето'!at2199-'[2]$ лето'!as2199-'[2]$ лето'!ar2199-'[2]$ лето'!aq2199-'[2]$ лето'!ap2199-'[2]$ лето'!an2199-'[2]$ лето'!am2199-'[2]$ лето'!al2199-'[2]$ лето'!ak2199-'[2]$ лето'!aj2199-'[2]$ лето'!ah2199-'[2]$ лето'!ag2199-'[2]$ лето'!af2199-'[2]$ лето'!ae2199-'[2]$ лето'!ad2199-'[2]$ лето'!ab2199-'[2]$ лето'!aa2199-'[2]$ лето'!z2199-'[2]$ лето'!y2199-'[2]$ лето'!x2199-'[2]$ лето'!v2199-'[2]$ лето'!u2199-'[2]$ лето'!t2199-'[2]$ лето'!s2199-'[2]$ лето'!r2199-'[2]$ лето'!p2199-'[2]$ лето'!o2199-'[2]$ лето'!n2199-'[2]$ лето'!m2199-'[2]$ лето'!l2199+'[2]$ лето'!k2199+'[2]$ лето'!q2199+'[2]$ лето'!w2199+'[2]$ лето'!ac2199+'[2]$ лето'!ai2199+'[2]$ лето'!ao2199</f>
        <v>0</v>
      </c>
      <c r="I2199" s="109" t="n">
        <f aca="false">'[2]$ лето'!ay2199*1.05</f>
        <v>3097.5</v>
      </c>
    </row>
    <row r="2200" customFormat="false" ht="15" hidden="true" customHeight="false" outlineLevel="0" collapsed="false">
      <c r="A2200" s="115" t="s">
        <v>2771</v>
      </c>
      <c r="B2200" s="115" t="s">
        <v>991</v>
      </c>
      <c r="C2200" s="116" t="s">
        <v>2702</v>
      </c>
      <c r="D2200" s="116"/>
      <c r="E2200" s="116"/>
      <c r="F2200" s="116"/>
      <c r="G2200" s="108" t="s">
        <v>520</v>
      </c>
      <c r="H2200" s="105" t="n">
        <f aca="false">'[2]$ лето'!j2200-'[2]$ лето'!au2200-'[2]$ лето'!at2200-'[2]$ лето'!as2200-'[2]$ лето'!ar2200-'[2]$ лето'!aq2200-'[2]$ лето'!ap2200-'[2]$ лето'!an2200-'[2]$ лето'!am2200-'[2]$ лето'!al2200-'[2]$ лето'!ak2200-'[2]$ лето'!aj2200-'[2]$ лето'!ah2200-'[2]$ лето'!ag2200-'[2]$ лето'!af2200-'[2]$ лето'!ae2200-'[2]$ лето'!ad2200-'[2]$ лето'!ab2200-'[2]$ лето'!aa2200-'[2]$ лето'!z2200-'[2]$ лето'!y2200-'[2]$ лето'!x2200-'[2]$ лето'!v2200-'[2]$ лето'!u2200-'[2]$ лето'!t2200-'[2]$ лето'!s2200-'[2]$ лето'!r2200-'[2]$ лето'!p2200-'[2]$ лето'!o2200-'[2]$ лето'!n2200-'[2]$ лето'!m2200-'[2]$ лето'!l2200+'[2]$ лето'!k2200+'[2]$ лето'!q2200+'[2]$ лето'!w2200+'[2]$ лето'!ac2200+'[2]$ лето'!ai2200+'[2]$ лето'!ao2200</f>
        <v>0</v>
      </c>
      <c r="I2200" s="109" t="n">
        <f aca="false">'[2]$ лето'!ay2200*1.05</f>
        <v>3601.5</v>
      </c>
    </row>
    <row r="2201" customFormat="false" ht="15" hidden="false" customHeight="false" outlineLevel="0" collapsed="false">
      <c r="A2201" s="115" t="s">
        <v>2771</v>
      </c>
      <c r="B2201" s="115" t="s">
        <v>991</v>
      </c>
      <c r="C2201" s="116" t="s">
        <v>2703</v>
      </c>
      <c r="D2201" s="116"/>
      <c r="E2201" s="116"/>
      <c r="F2201" s="116"/>
      <c r="G2201" s="108" t="s">
        <v>520</v>
      </c>
      <c r="H2201" s="105" t="n">
        <f aca="false">'[2]$ лето'!j2201-'[2]$ лето'!au2201-'[2]$ лето'!at2201-'[2]$ лето'!as2201-'[2]$ лето'!ar2201-'[2]$ лето'!aq2201-'[2]$ лето'!ap2201-'[2]$ лето'!an2201-'[2]$ лето'!am2201-'[2]$ лето'!al2201-'[2]$ лето'!ak2201-'[2]$ лето'!aj2201-'[2]$ лето'!ah2201-'[2]$ лето'!ag2201-'[2]$ лето'!af2201-'[2]$ лето'!ae2201-'[2]$ лето'!ad2201-'[2]$ лето'!ab2201-'[2]$ лето'!aa2201-'[2]$ лето'!z2201-'[2]$ лето'!y2201-'[2]$ лето'!x2201-'[2]$ лето'!v2201-'[2]$ лето'!u2201-'[2]$ лето'!t2201-'[2]$ лето'!s2201-'[2]$ лето'!r2201-'[2]$ лето'!p2201-'[2]$ лето'!o2201-'[2]$ лето'!n2201-'[2]$ лето'!m2201-'[2]$ лето'!l2201+'[2]$ лето'!k2201+'[2]$ лето'!q2201+'[2]$ лето'!w2201+'[2]$ лето'!ac2201+'[2]$ лето'!ai2201+'[2]$ лето'!ao2201</f>
        <v>2</v>
      </c>
      <c r="I2201" s="109" t="n">
        <f aca="false">'[2]$ лето'!ay2201*1.05</f>
        <v>3780</v>
      </c>
    </row>
    <row r="2202" customFormat="false" ht="15" hidden="true" customHeight="false" outlineLevel="0" collapsed="false">
      <c r="A2202" s="115" t="s">
        <v>2771</v>
      </c>
      <c r="B2202" s="115" t="s">
        <v>2688</v>
      </c>
      <c r="C2202" s="116" t="s">
        <v>2772</v>
      </c>
      <c r="D2202" s="116"/>
      <c r="E2202" s="116"/>
      <c r="F2202" s="116"/>
      <c r="G2202" s="108"/>
      <c r="H2202" s="105" t="n">
        <f aca="false">'[2]$ лето'!j2202-'[2]$ лето'!au2202-'[2]$ лето'!at2202-'[2]$ лето'!as2202-'[2]$ лето'!ar2202-'[2]$ лето'!aq2202-'[2]$ лето'!ap2202-'[2]$ лето'!an2202-'[2]$ лето'!am2202-'[2]$ лето'!al2202-'[2]$ лето'!ak2202-'[2]$ лето'!aj2202-'[2]$ лето'!ah2202-'[2]$ лето'!ag2202-'[2]$ лето'!af2202-'[2]$ лето'!ae2202-'[2]$ лето'!ad2202-'[2]$ лето'!ab2202-'[2]$ лето'!aa2202-'[2]$ лето'!z2202-'[2]$ лето'!y2202-'[2]$ лето'!x2202-'[2]$ лето'!v2202-'[2]$ лето'!u2202-'[2]$ лето'!t2202-'[2]$ лето'!s2202-'[2]$ лето'!r2202-'[2]$ лето'!p2202-'[2]$ лето'!o2202-'[2]$ лето'!n2202-'[2]$ лето'!m2202-'[2]$ лето'!l2202+'[2]$ лето'!k2202+'[2]$ лето'!q2202+'[2]$ лето'!w2202+'[2]$ лето'!ac2202+'[2]$ лето'!ai2202+'[2]$ лето'!ao2202</f>
        <v>0</v>
      </c>
      <c r="I2202" s="109" t="n">
        <f aca="false">'[2]$ лето'!ay2202*1.05</f>
        <v>2940</v>
      </c>
    </row>
    <row r="2203" customFormat="false" ht="15" hidden="true" customHeight="false" outlineLevel="0" collapsed="false">
      <c r="A2203" s="115" t="s">
        <v>2771</v>
      </c>
      <c r="B2203" s="115" t="s">
        <v>2688</v>
      </c>
      <c r="C2203" s="116" t="s">
        <v>2773</v>
      </c>
      <c r="D2203" s="116"/>
      <c r="E2203" s="116"/>
      <c r="F2203" s="116"/>
      <c r="G2203" s="108"/>
      <c r="H2203" s="105" t="n">
        <f aca="false">'[2]$ лето'!j2203-'[2]$ лето'!au2203-'[2]$ лето'!at2203-'[2]$ лето'!as2203-'[2]$ лето'!ar2203-'[2]$ лето'!aq2203-'[2]$ лето'!ap2203-'[2]$ лето'!an2203-'[2]$ лето'!am2203-'[2]$ лето'!al2203-'[2]$ лето'!ak2203-'[2]$ лето'!aj2203-'[2]$ лето'!ah2203-'[2]$ лето'!ag2203-'[2]$ лето'!af2203-'[2]$ лето'!ae2203-'[2]$ лето'!ad2203-'[2]$ лето'!ab2203-'[2]$ лето'!aa2203-'[2]$ лето'!z2203-'[2]$ лето'!y2203-'[2]$ лето'!x2203-'[2]$ лето'!v2203-'[2]$ лето'!u2203-'[2]$ лето'!t2203-'[2]$ лето'!s2203-'[2]$ лето'!r2203-'[2]$ лето'!p2203-'[2]$ лето'!o2203-'[2]$ лето'!n2203-'[2]$ лето'!m2203-'[2]$ лето'!l2203+'[2]$ лето'!k2203+'[2]$ лето'!q2203+'[2]$ лето'!w2203+'[2]$ лето'!ac2203+'[2]$ лето'!ai2203+'[2]$ лето'!ao2203</f>
        <v>0</v>
      </c>
      <c r="I2203" s="109" t="n">
        <f aca="false">'[2]$ лето'!ay2203*1.05</f>
        <v>2982</v>
      </c>
    </row>
    <row r="2204" customFormat="false" ht="15" hidden="true" customHeight="false" outlineLevel="0" collapsed="false">
      <c r="A2204" s="115" t="s">
        <v>2771</v>
      </c>
      <c r="B2204" s="123" t="s">
        <v>2708</v>
      </c>
      <c r="C2204" s="116" t="s">
        <v>2774</v>
      </c>
      <c r="D2204" s="116"/>
      <c r="E2204" s="116"/>
      <c r="F2204" s="116"/>
      <c r="G2204" s="108"/>
      <c r="H2204" s="105" t="n">
        <f aca="false">'[2]$ лето'!j2204-'[2]$ лето'!au2204-'[2]$ лето'!at2204-'[2]$ лето'!as2204-'[2]$ лето'!ar2204-'[2]$ лето'!aq2204-'[2]$ лето'!ap2204-'[2]$ лето'!an2204-'[2]$ лето'!am2204-'[2]$ лето'!al2204-'[2]$ лето'!ak2204-'[2]$ лето'!aj2204-'[2]$ лето'!ah2204-'[2]$ лето'!ag2204-'[2]$ лето'!af2204-'[2]$ лето'!ae2204-'[2]$ лето'!ad2204-'[2]$ лето'!ab2204-'[2]$ лето'!aa2204-'[2]$ лето'!z2204-'[2]$ лето'!y2204-'[2]$ лето'!x2204-'[2]$ лето'!v2204-'[2]$ лето'!u2204-'[2]$ лето'!t2204-'[2]$ лето'!s2204-'[2]$ лето'!r2204-'[2]$ лето'!p2204-'[2]$ лето'!o2204-'[2]$ лето'!n2204-'[2]$ лето'!m2204-'[2]$ лето'!l2204+'[2]$ лето'!k2204+'[2]$ лето'!q2204+'[2]$ лето'!w2204+'[2]$ лето'!ac2204+'[2]$ лето'!ai2204+'[2]$ лето'!ao2204</f>
        <v>0</v>
      </c>
      <c r="I2204" s="109" t="n">
        <f aca="false">'[2]$ лето'!ay2204*1.05</f>
        <v>2982</v>
      </c>
    </row>
    <row r="2205" customFormat="false" ht="15" hidden="true" customHeight="false" outlineLevel="0" collapsed="false">
      <c r="A2205" s="115" t="s">
        <v>2771</v>
      </c>
      <c r="B2205" s="123" t="s">
        <v>658</v>
      </c>
      <c r="C2205" s="116" t="s">
        <v>2775</v>
      </c>
      <c r="D2205" s="116"/>
      <c r="E2205" s="116"/>
      <c r="F2205" s="116"/>
      <c r="G2205" s="108" t="s">
        <v>868</v>
      </c>
      <c r="H2205" s="105" t="n">
        <f aca="false">'[2]$ лето'!j2205-'[2]$ лето'!au2205-'[2]$ лето'!at2205-'[2]$ лето'!as2205-'[2]$ лето'!ar2205-'[2]$ лето'!aq2205-'[2]$ лето'!ap2205-'[2]$ лето'!an2205-'[2]$ лето'!am2205-'[2]$ лето'!al2205-'[2]$ лето'!ak2205-'[2]$ лето'!aj2205-'[2]$ лето'!ah2205-'[2]$ лето'!ag2205-'[2]$ лето'!af2205-'[2]$ лето'!ae2205-'[2]$ лето'!ad2205-'[2]$ лето'!ab2205-'[2]$ лето'!aa2205-'[2]$ лето'!z2205-'[2]$ лето'!y2205-'[2]$ лето'!x2205-'[2]$ лето'!v2205-'[2]$ лето'!u2205-'[2]$ лето'!t2205-'[2]$ лето'!s2205-'[2]$ лето'!r2205-'[2]$ лето'!p2205-'[2]$ лето'!o2205-'[2]$ лето'!n2205-'[2]$ лето'!m2205-'[2]$ лето'!l2205+'[2]$ лето'!k2205+'[2]$ лето'!q2205+'[2]$ лето'!w2205+'[2]$ лето'!ac2205+'[2]$ лето'!ai2205+'[2]$ лето'!ao2205</f>
        <v>0</v>
      </c>
      <c r="I2205" s="109" t="n">
        <f aca="false">'[2]$ лето'!ay2205*1.05</f>
        <v>8200.5</v>
      </c>
    </row>
    <row r="2206" customFormat="false" ht="15" hidden="true" customHeight="false" outlineLevel="0" collapsed="false">
      <c r="A2206" s="115" t="s">
        <v>2771</v>
      </c>
      <c r="B2206" s="123" t="s">
        <v>2776</v>
      </c>
      <c r="C2206" s="116" t="s">
        <v>2777</v>
      </c>
      <c r="D2206" s="116"/>
      <c r="E2206" s="116"/>
      <c r="F2206" s="116"/>
      <c r="G2206" s="108"/>
      <c r="H2206" s="105" t="n">
        <f aca="false">'[2]$ лето'!j2206-'[2]$ лето'!au2206-'[2]$ лето'!at2206-'[2]$ лето'!as2206-'[2]$ лето'!ar2206-'[2]$ лето'!aq2206-'[2]$ лето'!ap2206-'[2]$ лето'!an2206-'[2]$ лето'!am2206-'[2]$ лето'!al2206-'[2]$ лето'!ak2206-'[2]$ лето'!aj2206-'[2]$ лето'!ah2206-'[2]$ лето'!ag2206-'[2]$ лето'!af2206-'[2]$ лето'!ae2206-'[2]$ лето'!ad2206-'[2]$ лето'!ab2206-'[2]$ лето'!aa2206-'[2]$ лето'!z2206-'[2]$ лето'!y2206-'[2]$ лето'!x2206-'[2]$ лето'!v2206-'[2]$ лето'!u2206-'[2]$ лето'!t2206-'[2]$ лето'!s2206-'[2]$ лето'!r2206-'[2]$ лето'!p2206-'[2]$ лето'!o2206-'[2]$ лето'!n2206-'[2]$ лето'!m2206-'[2]$ лето'!l2206+'[2]$ лето'!k2206+'[2]$ лето'!q2206+'[2]$ лето'!w2206+'[2]$ лето'!ac2206+'[2]$ лето'!ai2206+'[2]$ лето'!ao2206</f>
        <v>0</v>
      </c>
      <c r="I2206" s="109" t="n">
        <f aca="false">'[2]$ лето'!ay2206*1.05</f>
        <v>4025.7</v>
      </c>
    </row>
    <row r="2207" customFormat="false" ht="15" hidden="true" customHeight="false" outlineLevel="0" collapsed="false">
      <c r="A2207" s="115" t="s">
        <v>2771</v>
      </c>
      <c r="B2207" s="123" t="s">
        <v>2710</v>
      </c>
      <c r="C2207" s="116" t="s">
        <v>2778</v>
      </c>
      <c r="D2207" s="116"/>
      <c r="E2207" s="116"/>
      <c r="F2207" s="116"/>
      <c r="G2207" s="108"/>
      <c r="H2207" s="105" t="n">
        <f aca="false">'[2]$ лето'!j2207-'[2]$ лето'!au2207-'[2]$ лето'!at2207-'[2]$ лето'!as2207-'[2]$ лето'!ar2207-'[2]$ лето'!aq2207-'[2]$ лето'!ap2207-'[2]$ лето'!an2207-'[2]$ лето'!am2207-'[2]$ лето'!al2207-'[2]$ лето'!ak2207-'[2]$ лето'!aj2207-'[2]$ лето'!ah2207-'[2]$ лето'!ag2207-'[2]$ лето'!af2207-'[2]$ лето'!ae2207-'[2]$ лето'!ad2207-'[2]$ лето'!ab2207-'[2]$ лето'!aa2207-'[2]$ лето'!z2207-'[2]$ лето'!y2207-'[2]$ лето'!x2207-'[2]$ лето'!v2207-'[2]$ лето'!u2207-'[2]$ лето'!t2207-'[2]$ лето'!s2207-'[2]$ лето'!r2207-'[2]$ лето'!p2207-'[2]$ лето'!o2207-'[2]$ лето'!n2207-'[2]$ лето'!m2207-'[2]$ лето'!l2207+'[2]$ лето'!k2207+'[2]$ лето'!q2207+'[2]$ лето'!w2207+'[2]$ лето'!ac2207+'[2]$ лето'!ai2207+'[2]$ лето'!ao2207</f>
        <v>0</v>
      </c>
      <c r="I2207" s="109" t="n">
        <f aca="false">'[2]$ лето'!ay2207*1.05</f>
        <v>3832.5</v>
      </c>
    </row>
    <row r="2208" customFormat="false" ht="15" hidden="true" customHeight="false" outlineLevel="0" collapsed="false">
      <c r="A2208" s="115" t="s">
        <v>2771</v>
      </c>
      <c r="B2208" s="123" t="s">
        <v>2710</v>
      </c>
      <c r="C2208" s="116" t="s">
        <v>2779</v>
      </c>
      <c r="D2208" s="116"/>
      <c r="E2208" s="116"/>
      <c r="F2208" s="116"/>
      <c r="G2208" s="108"/>
      <c r="H2208" s="105" t="n">
        <f aca="false">'[2]$ лето'!j2208-'[2]$ лето'!au2208-'[2]$ лето'!at2208-'[2]$ лето'!as2208-'[2]$ лето'!ar2208-'[2]$ лето'!aq2208-'[2]$ лето'!ap2208-'[2]$ лето'!an2208-'[2]$ лето'!am2208-'[2]$ лето'!al2208-'[2]$ лето'!ak2208-'[2]$ лето'!aj2208-'[2]$ лето'!ah2208-'[2]$ лето'!ag2208-'[2]$ лето'!af2208-'[2]$ лето'!ae2208-'[2]$ лето'!ad2208-'[2]$ лето'!ab2208-'[2]$ лето'!aa2208-'[2]$ лето'!z2208-'[2]$ лето'!y2208-'[2]$ лето'!x2208-'[2]$ лето'!v2208-'[2]$ лето'!u2208-'[2]$ лето'!t2208-'[2]$ лето'!s2208-'[2]$ лето'!r2208-'[2]$ лето'!p2208-'[2]$ лето'!o2208-'[2]$ лето'!n2208-'[2]$ лето'!m2208-'[2]$ лето'!l2208+'[2]$ лето'!k2208+'[2]$ лето'!q2208+'[2]$ лето'!w2208+'[2]$ лето'!ac2208+'[2]$ лето'!ai2208+'[2]$ лето'!ao2208</f>
        <v>0</v>
      </c>
      <c r="I2208" s="109" t="n">
        <f aca="false">'[2]$ лето'!ay2208*1.05</f>
        <v>4473</v>
      </c>
    </row>
    <row r="2209" customFormat="false" ht="15" hidden="true" customHeight="false" outlineLevel="0" collapsed="false">
      <c r="A2209" s="115" t="s">
        <v>2771</v>
      </c>
      <c r="B2209" s="115" t="s">
        <v>707</v>
      </c>
      <c r="C2209" s="107" t="s">
        <v>2780</v>
      </c>
      <c r="D2209" s="107"/>
      <c r="E2209" s="107"/>
      <c r="F2209" s="107"/>
      <c r="G2209" s="108" t="s">
        <v>693</v>
      </c>
      <c r="H2209" s="105" t="n">
        <f aca="false">'[2]$ лето'!j2209-'[2]$ лето'!au2209-'[2]$ лето'!at2209-'[2]$ лето'!as2209-'[2]$ лето'!ar2209-'[2]$ лето'!aq2209-'[2]$ лето'!ap2209-'[2]$ лето'!an2209-'[2]$ лето'!am2209-'[2]$ лето'!al2209-'[2]$ лето'!ak2209-'[2]$ лето'!aj2209-'[2]$ лето'!ah2209-'[2]$ лето'!ag2209-'[2]$ лето'!af2209-'[2]$ лето'!ae2209-'[2]$ лето'!ad2209-'[2]$ лето'!ab2209-'[2]$ лето'!aa2209-'[2]$ лето'!z2209-'[2]$ лето'!y2209-'[2]$ лето'!x2209-'[2]$ лето'!v2209-'[2]$ лето'!u2209-'[2]$ лето'!t2209-'[2]$ лето'!s2209-'[2]$ лето'!r2209-'[2]$ лето'!p2209-'[2]$ лето'!o2209-'[2]$ лето'!n2209-'[2]$ лето'!m2209-'[2]$ лето'!l2209+'[2]$ лето'!k2209+'[2]$ лето'!q2209+'[2]$ лето'!w2209+'[2]$ лето'!ac2209+'[2]$ лето'!ai2209+'[2]$ лето'!ao2209</f>
        <v>0</v>
      </c>
      <c r="I2209" s="109" t="n">
        <f aca="false">'[2]$ лето'!ay2209*1.05</f>
        <v>6381.48</v>
      </c>
    </row>
    <row r="2210" customFormat="false" ht="15" hidden="true" customHeight="false" outlineLevel="0" collapsed="false">
      <c r="A2210" s="115" t="s">
        <v>2771</v>
      </c>
      <c r="B2210" s="115" t="s">
        <v>707</v>
      </c>
      <c r="C2210" s="107" t="s">
        <v>2781</v>
      </c>
      <c r="D2210" s="107"/>
      <c r="E2210" s="107"/>
      <c r="F2210" s="107"/>
      <c r="G2210" s="108"/>
      <c r="H2210" s="105" t="n">
        <f aca="false">'[2]$ лето'!j2210-'[2]$ лето'!au2210-'[2]$ лето'!at2210-'[2]$ лето'!as2210-'[2]$ лето'!ar2210-'[2]$ лето'!aq2210-'[2]$ лето'!ap2210-'[2]$ лето'!an2210-'[2]$ лето'!am2210-'[2]$ лето'!al2210-'[2]$ лето'!ak2210-'[2]$ лето'!aj2210-'[2]$ лето'!ah2210-'[2]$ лето'!ag2210-'[2]$ лето'!af2210-'[2]$ лето'!ae2210-'[2]$ лето'!ad2210-'[2]$ лето'!ab2210-'[2]$ лето'!aa2210-'[2]$ лето'!z2210-'[2]$ лето'!y2210-'[2]$ лето'!x2210-'[2]$ лето'!v2210-'[2]$ лето'!u2210-'[2]$ лето'!t2210-'[2]$ лето'!s2210-'[2]$ лето'!r2210-'[2]$ лето'!p2210-'[2]$ лето'!o2210-'[2]$ лето'!n2210-'[2]$ лето'!m2210-'[2]$ лето'!l2210+'[2]$ лето'!k2210+'[2]$ лето'!q2210+'[2]$ лето'!w2210+'[2]$ лето'!ac2210+'[2]$ лето'!ai2210+'[2]$ лето'!ao2210</f>
        <v>0</v>
      </c>
      <c r="I2210" s="109" t="n">
        <f aca="false">'[2]$ лето'!ay2210*1.05</f>
        <v>6321.84</v>
      </c>
    </row>
    <row r="2211" customFormat="false" ht="15" hidden="true" customHeight="false" outlineLevel="0" collapsed="false">
      <c r="A2211" s="115" t="s">
        <v>2771</v>
      </c>
      <c r="B2211" s="115" t="s">
        <v>2478</v>
      </c>
      <c r="C2211" s="107" t="s">
        <v>2759</v>
      </c>
      <c r="D2211" s="107"/>
      <c r="E2211" s="107"/>
      <c r="F2211" s="107"/>
      <c r="G2211" s="108"/>
      <c r="H2211" s="105" t="n">
        <f aca="false">'[2]$ лето'!j2211-'[2]$ лето'!au2211-'[2]$ лето'!at2211-'[2]$ лето'!as2211-'[2]$ лето'!ar2211-'[2]$ лето'!aq2211-'[2]$ лето'!ap2211-'[2]$ лето'!an2211-'[2]$ лето'!am2211-'[2]$ лето'!al2211-'[2]$ лето'!ak2211-'[2]$ лето'!aj2211-'[2]$ лето'!ah2211-'[2]$ лето'!ag2211-'[2]$ лето'!af2211-'[2]$ лето'!ae2211-'[2]$ лето'!ad2211-'[2]$ лето'!ab2211-'[2]$ лето'!aa2211-'[2]$ лето'!z2211-'[2]$ лето'!y2211-'[2]$ лето'!x2211-'[2]$ лето'!v2211-'[2]$ лето'!u2211-'[2]$ лето'!t2211-'[2]$ лето'!s2211-'[2]$ лето'!r2211-'[2]$ лето'!p2211-'[2]$ лето'!o2211-'[2]$ лето'!n2211-'[2]$ лето'!m2211-'[2]$ лето'!l2211+'[2]$ лето'!k2211+'[2]$ лето'!q2211+'[2]$ лето'!w2211+'[2]$ лето'!ac2211+'[2]$ лето'!ai2211+'[2]$ лето'!ao2211</f>
        <v>0</v>
      </c>
      <c r="I2211" s="109" t="n">
        <f aca="false">'[2]$ лето'!ay2211*1.05</f>
        <v>3202.5</v>
      </c>
      <c r="J2211" s="85" t="n">
        <v>2017</v>
      </c>
    </row>
    <row r="2212" customFormat="false" ht="15" hidden="false" customHeight="false" outlineLevel="0" collapsed="false">
      <c r="A2212" s="115" t="s">
        <v>2771</v>
      </c>
      <c r="B2212" s="115" t="s">
        <v>2782</v>
      </c>
      <c r="C2212" s="107" t="s">
        <v>2783</v>
      </c>
      <c r="D2212" s="107"/>
      <c r="E2212" s="116"/>
      <c r="F2212" s="116"/>
      <c r="G2212" s="108"/>
      <c r="H2212" s="105" t="n">
        <f aca="false">'[2]$ лето'!j2212-'[2]$ лето'!au2212-'[2]$ лето'!at2212-'[2]$ лето'!as2212-'[2]$ лето'!ar2212-'[2]$ лето'!aq2212-'[2]$ лето'!ap2212-'[2]$ лето'!an2212-'[2]$ лето'!am2212-'[2]$ лето'!al2212-'[2]$ лето'!ak2212-'[2]$ лето'!aj2212-'[2]$ лето'!ah2212-'[2]$ лето'!ag2212-'[2]$ лето'!af2212-'[2]$ лето'!ae2212-'[2]$ лето'!ad2212-'[2]$ лето'!ab2212-'[2]$ лето'!aa2212-'[2]$ лето'!z2212-'[2]$ лето'!y2212-'[2]$ лето'!x2212-'[2]$ лето'!v2212-'[2]$ лето'!u2212-'[2]$ лето'!t2212-'[2]$ лето'!s2212-'[2]$ лето'!r2212-'[2]$ лето'!p2212-'[2]$ лето'!o2212-'[2]$ лето'!n2212-'[2]$ лето'!m2212-'[2]$ лето'!l2212+'[2]$ лето'!k2212+'[2]$ лето'!q2212+'[2]$ лето'!w2212+'[2]$ лето'!ac2212+'[2]$ лето'!ai2212+'[2]$ лето'!ao2212</f>
        <v>4</v>
      </c>
      <c r="I2212" s="109" t="n">
        <f aca="false">'[2]$ лето'!ay2212*1.05</f>
        <v>3202.5</v>
      </c>
    </row>
    <row r="2213" customFormat="false" ht="15" hidden="false" customHeight="false" outlineLevel="0" collapsed="false">
      <c r="A2213" s="115" t="s">
        <v>2771</v>
      </c>
      <c r="B2213" s="115" t="s">
        <v>606</v>
      </c>
      <c r="C2213" s="107" t="s">
        <v>2784</v>
      </c>
      <c r="D2213" s="107"/>
      <c r="E2213" s="116"/>
      <c r="F2213" s="116"/>
      <c r="G2213" s="108" t="s">
        <v>609</v>
      </c>
      <c r="H2213" s="105" t="n">
        <f aca="false">'[2]$ лето'!j2213-'[2]$ лето'!au2213-'[2]$ лето'!at2213-'[2]$ лето'!as2213-'[2]$ лето'!ar2213-'[2]$ лето'!aq2213-'[2]$ лето'!ap2213-'[2]$ лето'!an2213-'[2]$ лето'!am2213-'[2]$ лето'!al2213-'[2]$ лето'!ak2213-'[2]$ лето'!aj2213-'[2]$ лето'!ah2213-'[2]$ лето'!ag2213-'[2]$ лето'!af2213-'[2]$ лето'!ae2213-'[2]$ лето'!ad2213-'[2]$ лето'!ab2213-'[2]$ лето'!aa2213-'[2]$ лето'!z2213-'[2]$ лето'!y2213-'[2]$ лето'!x2213-'[2]$ лето'!v2213-'[2]$ лето'!u2213-'[2]$ лето'!t2213-'[2]$ лето'!s2213-'[2]$ лето'!r2213-'[2]$ лето'!p2213-'[2]$ лето'!o2213-'[2]$ лето'!n2213-'[2]$ лето'!m2213-'[2]$ лето'!l2213+'[2]$ лето'!k2213+'[2]$ лето'!q2213+'[2]$ лето'!w2213+'[2]$ лето'!ac2213+'[2]$ лето'!ai2213+'[2]$ лето'!ao2213</f>
        <v>2</v>
      </c>
      <c r="I2213" s="109" t="n">
        <f aca="false">'[2]$ лето'!ay2213*1.05</f>
        <v>5197.5</v>
      </c>
      <c r="J2213" s="85" t="n">
        <v>2018</v>
      </c>
    </row>
    <row r="2214" customFormat="false" ht="15" hidden="true" customHeight="false" outlineLevel="0" collapsed="false">
      <c r="A2214" s="115" t="s">
        <v>2771</v>
      </c>
      <c r="B2214" s="115" t="s">
        <v>606</v>
      </c>
      <c r="C2214" s="107" t="s">
        <v>2720</v>
      </c>
      <c r="D2214" s="107"/>
      <c r="E2214" s="107"/>
      <c r="F2214" s="107"/>
      <c r="G2214" s="108"/>
      <c r="H2214" s="105" t="n">
        <f aca="false">'[2]$ лето'!j2214-'[2]$ лето'!au2214-'[2]$ лето'!at2214-'[2]$ лето'!as2214-'[2]$ лето'!ar2214-'[2]$ лето'!aq2214-'[2]$ лето'!ap2214-'[2]$ лето'!an2214-'[2]$ лето'!am2214-'[2]$ лето'!al2214-'[2]$ лето'!ak2214-'[2]$ лето'!aj2214-'[2]$ лето'!ah2214-'[2]$ лето'!ag2214-'[2]$ лето'!af2214-'[2]$ лето'!ae2214-'[2]$ лето'!ad2214-'[2]$ лето'!ab2214-'[2]$ лето'!aa2214-'[2]$ лето'!z2214-'[2]$ лето'!y2214-'[2]$ лето'!x2214-'[2]$ лето'!v2214-'[2]$ лето'!u2214-'[2]$ лето'!t2214-'[2]$ лето'!s2214-'[2]$ лето'!r2214-'[2]$ лето'!p2214-'[2]$ лето'!o2214-'[2]$ лето'!n2214-'[2]$ лето'!m2214-'[2]$ лето'!l2214+'[2]$ лето'!k2214+'[2]$ лето'!q2214+'[2]$ лето'!w2214+'[2]$ лето'!ac2214+'[2]$ лето'!ai2214+'[2]$ лето'!ao2214</f>
        <v>0</v>
      </c>
      <c r="I2214" s="109" t="n">
        <f aca="false">'[2]$ лето'!ay2214*1.05</f>
        <v>5145</v>
      </c>
      <c r="J2214" s="85" t="n">
        <v>2017</v>
      </c>
    </row>
    <row r="2215" customFormat="false" ht="15" hidden="true" customHeight="false" outlineLevel="0" collapsed="false">
      <c r="A2215" s="115" t="s">
        <v>2771</v>
      </c>
      <c r="B2215" s="115" t="s">
        <v>572</v>
      </c>
      <c r="C2215" s="107" t="s">
        <v>2785</v>
      </c>
      <c r="D2215" s="107"/>
      <c r="E2215" s="107"/>
      <c r="F2215" s="107"/>
      <c r="G2215" s="108"/>
      <c r="H2215" s="105" t="n">
        <f aca="false">'[2]$ лето'!j2215-'[2]$ лето'!au2215-'[2]$ лето'!at2215-'[2]$ лето'!as2215-'[2]$ лето'!ar2215-'[2]$ лето'!aq2215-'[2]$ лето'!ap2215-'[2]$ лето'!an2215-'[2]$ лето'!am2215-'[2]$ лето'!al2215-'[2]$ лето'!ak2215-'[2]$ лето'!aj2215-'[2]$ лето'!ah2215-'[2]$ лето'!ag2215-'[2]$ лето'!af2215-'[2]$ лето'!ae2215-'[2]$ лето'!ad2215-'[2]$ лето'!ab2215-'[2]$ лето'!aa2215-'[2]$ лето'!z2215-'[2]$ лето'!y2215-'[2]$ лето'!x2215-'[2]$ лето'!v2215-'[2]$ лето'!u2215-'[2]$ лето'!t2215-'[2]$ лето'!s2215-'[2]$ лето'!r2215-'[2]$ лето'!p2215-'[2]$ лето'!o2215-'[2]$ лето'!n2215-'[2]$ лето'!m2215-'[2]$ лето'!l2215+'[2]$ лето'!k2215+'[2]$ лето'!q2215+'[2]$ лето'!w2215+'[2]$ лето'!ac2215+'[2]$ лето'!ai2215+'[2]$ лето'!ao2215</f>
        <v>0</v>
      </c>
      <c r="I2215" s="109" t="n">
        <f aca="false">'[2]$ лето'!ay2215*1.05</f>
        <v>7455</v>
      </c>
    </row>
    <row r="2216" customFormat="false" ht="15" hidden="false" customHeight="false" outlineLevel="0" collapsed="false">
      <c r="A2216" s="115" t="s">
        <v>2771</v>
      </c>
      <c r="B2216" s="115" t="s">
        <v>574</v>
      </c>
      <c r="C2216" s="119" t="s">
        <v>2728</v>
      </c>
      <c r="D2216" s="116"/>
      <c r="E2216" s="116"/>
      <c r="F2216" s="116"/>
      <c r="G2216" s="108" t="s">
        <v>576</v>
      </c>
      <c r="H2216" s="105" t="n">
        <f aca="false">'[2]$ лето'!j2216-'[2]$ лето'!au2216-'[2]$ лето'!at2216-'[2]$ лето'!as2216-'[2]$ лето'!ar2216-'[2]$ лето'!aq2216-'[2]$ лето'!ap2216-'[2]$ лето'!an2216-'[2]$ лето'!am2216-'[2]$ лето'!al2216-'[2]$ лето'!ak2216-'[2]$ лето'!aj2216-'[2]$ лето'!ah2216-'[2]$ лето'!ag2216-'[2]$ лето'!af2216-'[2]$ лето'!ae2216-'[2]$ лето'!ad2216-'[2]$ лето'!ab2216-'[2]$ лето'!aa2216-'[2]$ лето'!z2216-'[2]$ лето'!y2216-'[2]$ лето'!x2216-'[2]$ лето'!v2216-'[2]$ лето'!u2216-'[2]$ лето'!t2216-'[2]$ лето'!s2216-'[2]$ лето'!r2216-'[2]$ лето'!p2216-'[2]$ лето'!o2216-'[2]$ лето'!n2216-'[2]$ лето'!m2216-'[2]$ лето'!l2216+'[2]$ лето'!k2216+'[2]$ лето'!q2216+'[2]$ лето'!w2216+'[2]$ лето'!ac2216+'[2]$ лето'!ai2216+'[2]$ лето'!ao2216</f>
        <v>4</v>
      </c>
      <c r="I2216" s="109" t="n">
        <f aca="false">'[2]$ лето'!ay2216*1.05</f>
        <v>4562.46</v>
      </c>
    </row>
    <row r="2217" customFormat="false" ht="15" hidden="false" customHeight="false" outlineLevel="0" collapsed="false">
      <c r="A2217" s="115" t="s">
        <v>2771</v>
      </c>
      <c r="B2217" s="115" t="s">
        <v>574</v>
      </c>
      <c r="C2217" s="119" t="s">
        <v>2786</v>
      </c>
      <c r="D2217" s="116"/>
      <c r="E2217" s="116"/>
      <c r="F2217" s="116"/>
      <c r="G2217" s="108" t="s">
        <v>576</v>
      </c>
      <c r="H2217" s="105" t="n">
        <f aca="false">'[2]$ лето'!j2217-'[2]$ лето'!au2217-'[2]$ лето'!at2217-'[2]$ лето'!as2217-'[2]$ лето'!ar2217-'[2]$ лето'!aq2217-'[2]$ лето'!ap2217-'[2]$ лето'!an2217-'[2]$ лето'!am2217-'[2]$ лето'!al2217-'[2]$ лето'!ak2217-'[2]$ лето'!aj2217-'[2]$ лето'!ah2217-'[2]$ лето'!ag2217-'[2]$ лето'!af2217-'[2]$ лето'!ae2217-'[2]$ лето'!ad2217-'[2]$ лето'!ab2217-'[2]$ лето'!aa2217-'[2]$ лето'!z2217-'[2]$ лето'!y2217-'[2]$ лето'!x2217-'[2]$ лето'!v2217-'[2]$ лето'!u2217-'[2]$ лето'!t2217-'[2]$ лето'!s2217-'[2]$ лето'!r2217-'[2]$ лето'!p2217-'[2]$ лето'!o2217-'[2]$ лето'!n2217-'[2]$ лето'!m2217-'[2]$ лето'!l2217+'[2]$ лето'!k2217+'[2]$ лето'!q2217+'[2]$ лето'!w2217+'[2]$ лето'!ac2217+'[2]$ лето'!ai2217+'[2]$ лето'!ao2217</f>
        <v>6</v>
      </c>
      <c r="I2217" s="109" t="n">
        <f aca="false">'[2]$ лето'!ay2217*1.05</f>
        <v>4562.46</v>
      </c>
    </row>
    <row r="2218" customFormat="false" ht="15" hidden="false" customHeight="false" outlineLevel="0" collapsed="false">
      <c r="A2218" s="115" t="s">
        <v>2771</v>
      </c>
      <c r="B2218" s="115" t="s">
        <v>574</v>
      </c>
      <c r="C2218" s="116" t="s">
        <v>2787</v>
      </c>
      <c r="D2218" s="116"/>
      <c r="E2218" s="116"/>
      <c r="F2218" s="116"/>
      <c r="G2218" s="108" t="s">
        <v>576</v>
      </c>
      <c r="H2218" s="105" t="n">
        <f aca="false">'[2]$ лето'!j2218-'[2]$ лето'!au2218-'[2]$ лето'!at2218-'[2]$ лето'!as2218-'[2]$ лето'!ar2218-'[2]$ лето'!aq2218-'[2]$ лето'!ap2218-'[2]$ лето'!an2218-'[2]$ лето'!am2218-'[2]$ лето'!al2218-'[2]$ лето'!ak2218-'[2]$ лето'!aj2218-'[2]$ лето'!ah2218-'[2]$ лето'!ag2218-'[2]$ лето'!af2218-'[2]$ лето'!ae2218-'[2]$ лето'!ad2218-'[2]$ лето'!ab2218-'[2]$ лето'!aa2218-'[2]$ лето'!z2218-'[2]$ лето'!y2218-'[2]$ лето'!x2218-'[2]$ лето'!v2218-'[2]$ лето'!u2218-'[2]$ лето'!t2218-'[2]$ лето'!s2218-'[2]$ лето'!r2218-'[2]$ лето'!p2218-'[2]$ лето'!o2218-'[2]$ лето'!n2218-'[2]$ лето'!m2218-'[2]$ лето'!l2218+'[2]$ лето'!k2218+'[2]$ лето'!q2218+'[2]$ лето'!w2218+'[2]$ лето'!ac2218+'[2]$ лето'!ai2218+'[2]$ лето'!ao2218</f>
        <v>20</v>
      </c>
      <c r="I2218" s="109" t="n">
        <f aca="false">'[2]$ лето'!ay2218*1.05</f>
        <v>4443.18</v>
      </c>
    </row>
    <row r="2219" customFormat="false" ht="15" hidden="true" customHeight="false" outlineLevel="0" collapsed="false">
      <c r="A2219" s="115" t="s">
        <v>2771</v>
      </c>
      <c r="B2219" s="115" t="s">
        <v>2724</v>
      </c>
      <c r="C2219" s="116" t="s">
        <v>2788</v>
      </c>
      <c r="D2219" s="116"/>
      <c r="E2219" s="116"/>
      <c r="F2219" s="116"/>
      <c r="G2219" s="108"/>
      <c r="H2219" s="105" t="n">
        <f aca="false">'[2]$ лето'!j2219-'[2]$ лето'!au2219-'[2]$ лето'!at2219-'[2]$ лето'!as2219-'[2]$ лето'!ar2219-'[2]$ лето'!aq2219-'[2]$ лето'!ap2219-'[2]$ лето'!an2219-'[2]$ лето'!am2219-'[2]$ лето'!al2219-'[2]$ лето'!ak2219-'[2]$ лето'!aj2219-'[2]$ лето'!ah2219-'[2]$ лето'!ag2219-'[2]$ лето'!af2219-'[2]$ лето'!ae2219-'[2]$ лето'!ad2219-'[2]$ лето'!ab2219-'[2]$ лето'!aa2219-'[2]$ лето'!z2219-'[2]$ лето'!y2219-'[2]$ лето'!x2219-'[2]$ лето'!v2219-'[2]$ лето'!u2219-'[2]$ лето'!t2219-'[2]$ лето'!s2219-'[2]$ лето'!r2219-'[2]$ лето'!p2219-'[2]$ лето'!o2219-'[2]$ лето'!n2219-'[2]$ лето'!m2219-'[2]$ лето'!l2219+'[2]$ лето'!k2219+'[2]$ лето'!q2219+'[2]$ лето'!w2219+'[2]$ лето'!ac2219+'[2]$ лето'!ai2219+'[2]$ лето'!ao2219</f>
        <v>0</v>
      </c>
      <c r="I2219" s="109" t="n">
        <f aca="false">'[2]$ лето'!ay2219*1.05</f>
        <v>3339.84</v>
      </c>
    </row>
    <row r="2220" customFormat="false" ht="15" hidden="true" customHeight="false" outlineLevel="0" collapsed="false">
      <c r="A2220" s="115" t="s">
        <v>2771</v>
      </c>
      <c r="B2220" s="115" t="s">
        <v>583</v>
      </c>
      <c r="C2220" s="116" t="s">
        <v>2789</v>
      </c>
      <c r="D2220" s="116"/>
      <c r="E2220" s="116"/>
      <c r="F2220" s="116"/>
      <c r="G2220" s="108"/>
      <c r="H2220" s="105" t="n">
        <f aca="false">'[2]$ лето'!j2220-'[2]$ лето'!au2220-'[2]$ лето'!at2220-'[2]$ лето'!as2220-'[2]$ лето'!ar2220-'[2]$ лето'!aq2220-'[2]$ лето'!ap2220-'[2]$ лето'!an2220-'[2]$ лето'!am2220-'[2]$ лето'!al2220-'[2]$ лето'!ak2220-'[2]$ лето'!aj2220-'[2]$ лето'!ah2220-'[2]$ лето'!ag2220-'[2]$ лето'!af2220-'[2]$ лето'!ae2220-'[2]$ лето'!ad2220-'[2]$ лето'!ab2220-'[2]$ лето'!aa2220-'[2]$ лето'!z2220-'[2]$ лето'!y2220-'[2]$ лето'!x2220-'[2]$ лето'!v2220-'[2]$ лето'!u2220-'[2]$ лето'!t2220-'[2]$ лето'!s2220-'[2]$ лето'!r2220-'[2]$ лето'!p2220-'[2]$ лето'!o2220-'[2]$ лето'!n2220-'[2]$ лето'!m2220-'[2]$ лето'!l2220+'[2]$ лето'!k2220+'[2]$ лето'!q2220+'[2]$ лето'!w2220+'[2]$ лето'!ac2220+'[2]$ лето'!ai2220+'[2]$ лето'!ao2220</f>
        <v>0</v>
      </c>
      <c r="I2220" s="109" t="n">
        <f aca="false">'[2]$ лето'!ay2220*1.05</f>
        <v>4383.54</v>
      </c>
    </row>
    <row r="2221" customFormat="false" ht="15" hidden="true" customHeight="false" outlineLevel="0" collapsed="false">
      <c r="A2221" s="115" t="s">
        <v>2771</v>
      </c>
      <c r="B2221" s="115" t="s">
        <v>583</v>
      </c>
      <c r="C2221" s="116" t="s">
        <v>2694</v>
      </c>
      <c r="D2221" s="116"/>
      <c r="E2221" s="116"/>
      <c r="F2221" s="116"/>
      <c r="G2221" s="108"/>
      <c r="H2221" s="105" t="n">
        <f aca="false">'[2]$ лето'!j2221-'[2]$ лето'!au2221-'[2]$ лето'!at2221-'[2]$ лето'!as2221-'[2]$ лето'!ar2221-'[2]$ лето'!aq2221-'[2]$ лето'!ap2221-'[2]$ лето'!an2221-'[2]$ лето'!am2221-'[2]$ лето'!al2221-'[2]$ лето'!ak2221-'[2]$ лето'!aj2221-'[2]$ лето'!ah2221-'[2]$ лето'!ag2221-'[2]$ лето'!af2221-'[2]$ лето'!ae2221-'[2]$ лето'!ad2221-'[2]$ лето'!ab2221-'[2]$ лето'!aa2221-'[2]$ лето'!z2221-'[2]$ лето'!y2221-'[2]$ лето'!x2221-'[2]$ лето'!v2221-'[2]$ лето'!u2221-'[2]$ лето'!t2221-'[2]$ лето'!s2221-'[2]$ лето'!r2221-'[2]$ лето'!p2221-'[2]$ лето'!o2221-'[2]$ лето'!n2221-'[2]$ лето'!m2221-'[2]$ лето'!l2221+'[2]$ лето'!k2221+'[2]$ лето'!q2221+'[2]$ лето'!w2221+'[2]$ лето'!ac2221+'[2]$ лето'!ai2221+'[2]$ лето'!ao2221</f>
        <v>0</v>
      </c>
      <c r="I2221" s="109" t="n">
        <f aca="false">'[2]$ лето'!ay2221*1.05</f>
        <v>4443.18</v>
      </c>
    </row>
    <row r="2222" customFormat="false" ht="15" hidden="true" customHeight="false" outlineLevel="0" collapsed="false">
      <c r="A2222" s="115" t="s">
        <v>2771</v>
      </c>
      <c r="B2222" s="115" t="s">
        <v>586</v>
      </c>
      <c r="C2222" s="116" t="s">
        <v>2790</v>
      </c>
      <c r="D2222" s="116"/>
      <c r="E2222" s="116"/>
      <c r="F2222" s="116"/>
      <c r="G2222" s="108" t="s">
        <v>520</v>
      </c>
      <c r="H2222" s="105" t="n">
        <f aca="false">'[2]$ лето'!j2222-'[2]$ лето'!au2222-'[2]$ лето'!at2222-'[2]$ лето'!as2222-'[2]$ лето'!ar2222-'[2]$ лето'!aq2222-'[2]$ лето'!ap2222-'[2]$ лето'!an2222-'[2]$ лето'!am2222-'[2]$ лето'!al2222-'[2]$ лето'!ak2222-'[2]$ лето'!aj2222-'[2]$ лето'!ah2222-'[2]$ лето'!ag2222-'[2]$ лето'!af2222-'[2]$ лето'!ae2222-'[2]$ лето'!ad2222-'[2]$ лето'!ab2222-'[2]$ лето'!aa2222-'[2]$ лето'!z2222-'[2]$ лето'!y2222-'[2]$ лето'!x2222-'[2]$ лето'!v2222-'[2]$ лето'!u2222-'[2]$ лето'!t2222-'[2]$ лето'!s2222-'[2]$ лето'!r2222-'[2]$ лето'!p2222-'[2]$ лето'!o2222-'[2]$ лето'!n2222-'[2]$ лето'!m2222-'[2]$ лето'!l2222+'[2]$ лето'!k2222+'[2]$ лето'!q2222+'[2]$ лето'!w2222+'[2]$ лето'!ac2222+'[2]$ лето'!ai2222+'[2]$ лето'!ao2222</f>
        <v>0</v>
      </c>
      <c r="I2222" s="109" t="n">
        <f aca="false">'[2]$ лето'!ay2222*1.05</f>
        <v>3131.1</v>
      </c>
      <c r="J2222" s="85" t="n">
        <v>2017</v>
      </c>
    </row>
    <row r="2223" customFormat="false" ht="15" hidden="true" customHeight="false" outlineLevel="0" collapsed="false">
      <c r="A2223" s="115" t="s">
        <v>2771</v>
      </c>
      <c r="B2223" s="115" t="s">
        <v>586</v>
      </c>
      <c r="C2223" s="116" t="s">
        <v>2791</v>
      </c>
      <c r="D2223" s="116"/>
      <c r="E2223" s="116"/>
      <c r="F2223" s="116"/>
      <c r="G2223" s="108" t="s">
        <v>520</v>
      </c>
      <c r="H2223" s="105" t="n">
        <f aca="false">'[2]$ лето'!j2223-'[2]$ лето'!au2223-'[2]$ лето'!at2223-'[2]$ лето'!as2223-'[2]$ лето'!ar2223-'[2]$ лето'!aq2223-'[2]$ лето'!ap2223-'[2]$ лето'!an2223-'[2]$ лето'!am2223-'[2]$ лето'!al2223-'[2]$ лето'!ak2223-'[2]$ лето'!aj2223-'[2]$ лето'!ah2223-'[2]$ лето'!ag2223-'[2]$ лето'!af2223-'[2]$ лето'!ae2223-'[2]$ лето'!ad2223-'[2]$ лето'!ab2223-'[2]$ лето'!aa2223-'[2]$ лето'!z2223-'[2]$ лето'!y2223-'[2]$ лето'!x2223-'[2]$ лето'!v2223-'[2]$ лето'!u2223-'[2]$ лето'!t2223-'[2]$ лето'!s2223-'[2]$ лето'!r2223-'[2]$ лето'!p2223-'[2]$ лето'!o2223-'[2]$ лето'!n2223-'[2]$ лето'!m2223-'[2]$ лето'!l2223+'[2]$ лето'!k2223+'[2]$ лето'!q2223+'[2]$ лето'!w2223+'[2]$ лето'!ac2223+'[2]$ лето'!ai2223+'[2]$ лето'!ao2223</f>
        <v>0</v>
      </c>
      <c r="I2223" s="109" t="n">
        <f aca="false">'[2]$ лето'!ay2223*1.05</f>
        <v>3131.1</v>
      </c>
    </row>
    <row r="2224" customFormat="false" ht="15" hidden="true" customHeight="false" outlineLevel="0" collapsed="false">
      <c r="A2224" s="115" t="s">
        <v>2771</v>
      </c>
      <c r="B2224" s="115" t="s">
        <v>677</v>
      </c>
      <c r="C2224" s="116" t="s">
        <v>2792</v>
      </c>
      <c r="D2224" s="116"/>
      <c r="E2224" s="116"/>
      <c r="F2224" s="116"/>
      <c r="G2224" s="108"/>
      <c r="H2224" s="105" t="n">
        <f aca="false">'[2]$ лето'!j2224-'[2]$ лето'!au2224-'[2]$ лето'!at2224-'[2]$ лето'!as2224-'[2]$ лето'!ar2224-'[2]$ лето'!aq2224-'[2]$ лето'!ap2224-'[2]$ лето'!an2224-'[2]$ лето'!am2224-'[2]$ лето'!al2224-'[2]$ лето'!ak2224-'[2]$ лето'!aj2224-'[2]$ лето'!ah2224-'[2]$ лето'!ag2224-'[2]$ лето'!af2224-'[2]$ лето'!ae2224-'[2]$ лето'!ad2224-'[2]$ лето'!ab2224-'[2]$ лето'!aa2224-'[2]$ лето'!z2224-'[2]$ лето'!y2224-'[2]$ лето'!x2224-'[2]$ лето'!v2224-'[2]$ лето'!u2224-'[2]$ лето'!t2224-'[2]$ лето'!s2224-'[2]$ лето'!r2224-'[2]$ лето'!p2224-'[2]$ лето'!o2224-'[2]$ лето'!n2224-'[2]$ лето'!m2224-'[2]$ лето'!l2224+'[2]$ лето'!k2224+'[2]$ лето'!q2224+'[2]$ лето'!w2224+'[2]$ лето'!ac2224+'[2]$ лето'!ai2224+'[2]$ лето'!ao2224</f>
        <v>0</v>
      </c>
      <c r="I2224" s="109" t="n">
        <f aca="false">'[2]$ лето'!ay2224*1.05</f>
        <v>3578.4</v>
      </c>
    </row>
    <row r="2225" customFormat="false" ht="15" hidden="true" customHeight="false" outlineLevel="0" collapsed="false">
      <c r="A2225" s="115" t="s">
        <v>2771</v>
      </c>
      <c r="B2225" s="115" t="s">
        <v>652</v>
      </c>
      <c r="C2225" s="116" t="s">
        <v>2793</v>
      </c>
      <c r="D2225" s="116"/>
      <c r="E2225" s="116"/>
      <c r="F2225" s="116"/>
      <c r="G2225" s="108"/>
      <c r="H2225" s="105" t="n">
        <f aca="false">'[2]$ лето'!j2225-'[2]$ лето'!au2225-'[2]$ лето'!at2225-'[2]$ лето'!as2225-'[2]$ лето'!ar2225-'[2]$ лето'!aq2225-'[2]$ лето'!ap2225-'[2]$ лето'!an2225-'[2]$ лето'!am2225-'[2]$ лето'!al2225-'[2]$ лето'!ak2225-'[2]$ лето'!aj2225-'[2]$ лето'!ah2225-'[2]$ лето'!ag2225-'[2]$ лето'!af2225-'[2]$ лето'!ae2225-'[2]$ лето'!ad2225-'[2]$ лето'!ab2225-'[2]$ лето'!aa2225-'[2]$ лето'!z2225-'[2]$ лето'!y2225-'[2]$ лето'!x2225-'[2]$ лето'!v2225-'[2]$ лето'!u2225-'[2]$ лето'!t2225-'[2]$ лето'!s2225-'[2]$ лето'!r2225-'[2]$ лето'!p2225-'[2]$ лето'!o2225-'[2]$ лето'!n2225-'[2]$ лето'!m2225-'[2]$ лето'!l2225+'[2]$ лето'!k2225+'[2]$ лето'!q2225+'[2]$ лето'!w2225+'[2]$ лето'!ac2225+'[2]$ лето'!ai2225+'[2]$ лето'!ao2225</f>
        <v>0</v>
      </c>
      <c r="I2225" s="109" t="n">
        <f aca="false">'[2]$ лето'!ay2225*1.05</f>
        <v>4890.48</v>
      </c>
    </row>
    <row r="2226" customFormat="false" ht="15" hidden="false" customHeight="false" outlineLevel="0" collapsed="false">
      <c r="A2226" s="115" t="s">
        <v>2771</v>
      </c>
      <c r="B2226" s="115" t="s">
        <v>2742</v>
      </c>
      <c r="C2226" s="116" t="s">
        <v>2794</v>
      </c>
      <c r="D2226" s="116"/>
      <c r="E2226" s="116"/>
      <c r="F2226" s="116"/>
      <c r="G2226" s="108"/>
      <c r="H2226" s="105" t="n">
        <f aca="false">'[2]$ лето'!j2226-'[2]$ лето'!au2226-'[2]$ лето'!at2226-'[2]$ лето'!as2226-'[2]$ лето'!ar2226-'[2]$ лето'!aq2226-'[2]$ лето'!ap2226-'[2]$ лето'!an2226-'[2]$ лето'!am2226-'[2]$ лето'!al2226-'[2]$ лето'!ak2226-'[2]$ лето'!aj2226-'[2]$ лето'!ah2226-'[2]$ лето'!ag2226-'[2]$ лето'!af2226-'[2]$ лето'!ae2226-'[2]$ лето'!ad2226-'[2]$ лето'!ab2226-'[2]$ лето'!aa2226-'[2]$ лето'!z2226-'[2]$ лето'!y2226-'[2]$ лето'!x2226-'[2]$ лето'!v2226-'[2]$ лето'!u2226-'[2]$ лето'!t2226-'[2]$ лето'!s2226-'[2]$ лето'!r2226-'[2]$ лето'!p2226-'[2]$ лето'!o2226-'[2]$ лето'!n2226-'[2]$ лето'!m2226-'[2]$ лето'!l2226+'[2]$ лето'!k2226+'[2]$ лето'!q2226+'[2]$ лето'!w2226+'[2]$ лето'!ac2226+'[2]$ лето'!ai2226+'[2]$ лето'!ao2226</f>
        <v>2</v>
      </c>
      <c r="I2226" s="109" t="n">
        <f aca="false">'[2]$ лето'!ay2226*1.05</f>
        <v>3202.5</v>
      </c>
    </row>
    <row r="2227" customFormat="false" ht="15" hidden="false" customHeight="false" outlineLevel="0" collapsed="false">
      <c r="A2227" s="115" t="s">
        <v>2771</v>
      </c>
      <c r="B2227" s="115" t="s">
        <v>564</v>
      </c>
      <c r="C2227" s="116" t="s">
        <v>2795</v>
      </c>
      <c r="D2227" s="116"/>
      <c r="E2227" s="116"/>
      <c r="F2227" s="116"/>
      <c r="G2227" s="108" t="s">
        <v>520</v>
      </c>
      <c r="H2227" s="105" t="n">
        <f aca="false">'[2]$ лето'!j2227-'[2]$ лето'!au2227-'[2]$ лето'!at2227-'[2]$ лето'!as2227-'[2]$ лето'!ar2227-'[2]$ лето'!aq2227-'[2]$ лето'!ap2227-'[2]$ лето'!an2227-'[2]$ лето'!am2227-'[2]$ лето'!al2227-'[2]$ лето'!ak2227-'[2]$ лето'!aj2227-'[2]$ лето'!ah2227-'[2]$ лето'!ag2227-'[2]$ лето'!af2227-'[2]$ лето'!ae2227-'[2]$ лето'!ad2227-'[2]$ лето'!ab2227-'[2]$ лето'!aa2227-'[2]$ лето'!z2227-'[2]$ лето'!y2227-'[2]$ лето'!x2227-'[2]$ лето'!v2227-'[2]$ лето'!u2227-'[2]$ лето'!t2227-'[2]$ лето'!s2227-'[2]$ лето'!r2227-'[2]$ лето'!p2227-'[2]$ лето'!o2227-'[2]$ лето'!n2227-'[2]$ лето'!m2227-'[2]$ лето'!l2227+'[2]$ лето'!k2227+'[2]$ лето'!q2227+'[2]$ лето'!w2227+'[2]$ лето'!ac2227+'[2]$ лето'!ai2227+'[2]$ лето'!ao2227</f>
        <v>6</v>
      </c>
      <c r="I2227" s="109" t="n">
        <f aca="false">'[2]$ лето'!ay2227*1.05</f>
        <v>3255</v>
      </c>
    </row>
    <row r="2228" customFormat="false" ht="15" hidden="false" customHeight="false" outlineLevel="0" collapsed="false">
      <c r="A2228" s="115" t="s">
        <v>2771</v>
      </c>
      <c r="B2228" s="115" t="s">
        <v>564</v>
      </c>
      <c r="C2228" s="116" t="s">
        <v>2796</v>
      </c>
      <c r="D2228" s="116"/>
      <c r="E2228" s="116"/>
      <c r="F2228" s="116"/>
      <c r="G2228" s="108" t="s">
        <v>520</v>
      </c>
      <c r="H2228" s="105" t="n">
        <f aca="false">'[2]$ лето'!j2228-'[2]$ лето'!au2228-'[2]$ лето'!at2228-'[2]$ лето'!as2228-'[2]$ лето'!ar2228-'[2]$ лето'!aq2228-'[2]$ лето'!ap2228-'[2]$ лето'!an2228-'[2]$ лето'!am2228-'[2]$ лето'!al2228-'[2]$ лето'!ak2228-'[2]$ лето'!aj2228-'[2]$ лето'!ah2228-'[2]$ лето'!ag2228-'[2]$ лето'!af2228-'[2]$ лето'!ae2228-'[2]$ лето'!ad2228-'[2]$ лето'!ab2228-'[2]$ лето'!aa2228-'[2]$ лето'!z2228-'[2]$ лето'!y2228-'[2]$ лето'!x2228-'[2]$ лето'!v2228-'[2]$ лето'!u2228-'[2]$ лето'!t2228-'[2]$ лето'!s2228-'[2]$ лето'!r2228-'[2]$ лето'!p2228-'[2]$ лето'!o2228-'[2]$ лето'!n2228-'[2]$ лето'!m2228-'[2]$ лето'!l2228+'[2]$ лето'!k2228+'[2]$ лето'!q2228+'[2]$ лето'!w2228+'[2]$ лето'!ac2228+'[2]$ лето'!ai2228+'[2]$ лето'!ao2228</f>
        <v>2</v>
      </c>
      <c r="I2228" s="109" t="n">
        <f aca="false">'[2]$ лето'!ay2228*1.05</f>
        <v>3255</v>
      </c>
    </row>
    <row r="2229" customFormat="false" ht="15" hidden="true" customHeight="false" outlineLevel="0" collapsed="false">
      <c r="A2229" s="115" t="s">
        <v>2771</v>
      </c>
      <c r="B2229" s="115" t="s">
        <v>2797</v>
      </c>
      <c r="C2229" s="116" t="s">
        <v>2798</v>
      </c>
      <c r="D2229" s="116"/>
      <c r="E2229" s="116"/>
      <c r="F2229" s="116"/>
      <c r="G2229" s="108"/>
      <c r="H2229" s="105" t="n">
        <f aca="false">'[2]$ лето'!j2229-'[2]$ лето'!au2229-'[2]$ лето'!at2229-'[2]$ лето'!as2229-'[2]$ лето'!ar2229-'[2]$ лето'!aq2229-'[2]$ лето'!ap2229-'[2]$ лето'!an2229-'[2]$ лето'!am2229-'[2]$ лето'!al2229-'[2]$ лето'!ak2229-'[2]$ лето'!aj2229-'[2]$ лето'!ah2229-'[2]$ лето'!ag2229-'[2]$ лето'!af2229-'[2]$ лето'!ae2229-'[2]$ лето'!ad2229-'[2]$ лето'!ab2229-'[2]$ лето'!aa2229-'[2]$ лето'!z2229-'[2]$ лето'!y2229-'[2]$ лето'!x2229-'[2]$ лето'!v2229-'[2]$ лето'!u2229-'[2]$ лето'!t2229-'[2]$ лето'!s2229-'[2]$ лето'!r2229-'[2]$ лето'!p2229-'[2]$ лето'!o2229-'[2]$ лето'!n2229-'[2]$ лето'!m2229-'[2]$ лето'!l2229+'[2]$ лето'!k2229+'[2]$ лето'!q2229+'[2]$ лето'!w2229+'[2]$ лето'!ac2229+'[2]$ лето'!ai2229+'[2]$ лето'!ao2229</f>
        <v>0</v>
      </c>
      <c r="I2229" s="109" t="n">
        <f aca="false">'[2]$ лето'!ay2229*1.05</f>
        <v>2892.54</v>
      </c>
    </row>
    <row r="2230" customFormat="false" ht="15" hidden="true" customHeight="false" outlineLevel="0" collapsed="false">
      <c r="A2230" s="115" t="s">
        <v>2799</v>
      </c>
      <c r="B2230" s="115" t="s">
        <v>2688</v>
      </c>
      <c r="C2230" s="116" t="s">
        <v>2800</v>
      </c>
      <c r="D2230" s="116"/>
      <c r="E2230" s="116"/>
      <c r="F2230" s="116"/>
      <c r="G2230" s="108"/>
      <c r="H2230" s="105" t="n">
        <f aca="false">'[2]$ лето'!j2230-'[2]$ лето'!au2230-'[2]$ лето'!at2230-'[2]$ лето'!as2230-'[2]$ лето'!ar2230-'[2]$ лето'!aq2230-'[2]$ лето'!ap2230-'[2]$ лето'!an2230-'[2]$ лето'!am2230-'[2]$ лето'!al2230-'[2]$ лето'!ak2230-'[2]$ лето'!aj2230-'[2]$ лето'!ah2230-'[2]$ лето'!ag2230-'[2]$ лето'!af2230-'[2]$ лето'!ae2230-'[2]$ лето'!ad2230-'[2]$ лето'!ab2230-'[2]$ лето'!aa2230-'[2]$ лето'!z2230-'[2]$ лето'!y2230-'[2]$ лето'!x2230-'[2]$ лето'!v2230-'[2]$ лето'!u2230-'[2]$ лето'!t2230-'[2]$ лето'!s2230-'[2]$ лето'!r2230-'[2]$ лето'!p2230-'[2]$ лето'!o2230-'[2]$ лето'!n2230-'[2]$ лето'!m2230-'[2]$ лето'!l2230+'[2]$ лето'!k2230+'[2]$ лето'!q2230+'[2]$ лето'!w2230+'[2]$ лето'!ac2230+'[2]$ лето'!ai2230+'[2]$ лето'!ao2230</f>
        <v>0</v>
      </c>
      <c r="I2230" s="109" t="n">
        <f aca="false">'[2]$ лето'!ay2230*1.05</f>
        <v>4055.52</v>
      </c>
    </row>
    <row r="2231" customFormat="false" ht="15" hidden="true" customHeight="false" outlineLevel="0" collapsed="false">
      <c r="A2231" s="115" t="s">
        <v>2799</v>
      </c>
      <c r="B2231" s="115" t="s">
        <v>2688</v>
      </c>
      <c r="C2231" s="116" t="s">
        <v>2801</v>
      </c>
      <c r="D2231" s="116"/>
      <c r="E2231" s="116"/>
      <c r="F2231" s="116"/>
      <c r="G2231" s="108"/>
      <c r="H2231" s="105" t="n">
        <f aca="false">'[2]$ лето'!j2231-'[2]$ лето'!au2231-'[2]$ лето'!at2231-'[2]$ лето'!as2231-'[2]$ лето'!ar2231-'[2]$ лето'!aq2231-'[2]$ лето'!ap2231-'[2]$ лето'!an2231-'[2]$ лето'!am2231-'[2]$ лето'!al2231-'[2]$ лето'!ak2231-'[2]$ лето'!aj2231-'[2]$ лето'!ah2231-'[2]$ лето'!ag2231-'[2]$ лето'!af2231-'[2]$ лето'!ae2231-'[2]$ лето'!ad2231-'[2]$ лето'!ab2231-'[2]$ лето'!aa2231-'[2]$ лето'!z2231-'[2]$ лето'!y2231-'[2]$ лето'!x2231-'[2]$ лето'!v2231-'[2]$ лето'!u2231-'[2]$ лето'!t2231-'[2]$ лето'!s2231-'[2]$ лето'!r2231-'[2]$ лето'!p2231-'[2]$ лето'!o2231-'[2]$ лето'!n2231-'[2]$ лето'!m2231-'[2]$ лето'!l2231+'[2]$ лето'!k2231+'[2]$ лето'!q2231+'[2]$ лето'!w2231+'[2]$ лето'!ac2231+'[2]$ лето'!ai2231+'[2]$ лето'!ao2231</f>
        <v>0</v>
      </c>
      <c r="I2231" s="109" t="n">
        <f aca="false">'[2]$ лето'!ay2231*1.05</f>
        <v>3360</v>
      </c>
    </row>
    <row r="2232" customFormat="false" ht="15" hidden="true" customHeight="false" outlineLevel="0" collapsed="false">
      <c r="A2232" s="115" t="s">
        <v>2799</v>
      </c>
      <c r="B2232" s="115" t="s">
        <v>707</v>
      </c>
      <c r="C2232" s="116" t="s">
        <v>2802</v>
      </c>
      <c r="D2232" s="116"/>
      <c r="E2232" s="116"/>
      <c r="F2232" s="116"/>
      <c r="G2232" s="108"/>
      <c r="H2232" s="105" t="n">
        <f aca="false">'[2]$ лето'!j2232-'[2]$ лето'!au2232-'[2]$ лето'!at2232-'[2]$ лето'!as2232-'[2]$ лето'!ar2232-'[2]$ лето'!aq2232-'[2]$ лето'!ap2232-'[2]$ лето'!an2232-'[2]$ лето'!am2232-'[2]$ лето'!al2232-'[2]$ лето'!ak2232-'[2]$ лето'!aj2232-'[2]$ лето'!ah2232-'[2]$ лето'!ag2232-'[2]$ лето'!af2232-'[2]$ лето'!ae2232-'[2]$ лето'!ad2232-'[2]$ лето'!ab2232-'[2]$ лето'!aa2232-'[2]$ лето'!z2232-'[2]$ лето'!y2232-'[2]$ лето'!x2232-'[2]$ лето'!v2232-'[2]$ лето'!u2232-'[2]$ лето'!t2232-'[2]$ лето'!s2232-'[2]$ лето'!r2232-'[2]$ лето'!p2232-'[2]$ лето'!o2232-'[2]$ лето'!n2232-'[2]$ лето'!m2232-'[2]$ лето'!l2232+'[2]$ лето'!k2232+'[2]$ лето'!q2232+'[2]$ лето'!w2232+'[2]$ лето'!ac2232+'[2]$ лето'!ai2232+'[2]$ лето'!ao2232</f>
        <v>0</v>
      </c>
      <c r="I2232" s="109" t="n">
        <f aca="false">'[2]$ лето'!ay2232*1.05</f>
        <v>6560.4</v>
      </c>
    </row>
    <row r="2233" customFormat="false" ht="15" hidden="true" customHeight="false" outlineLevel="0" collapsed="false">
      <c r="A2233" s="115" t="s">
        <v>2799</v>
      </c>
      <c r="B2233" s="115" t="s">
        <v>583</v>
      </c>
      <c r="C2233" s="116" t="s">
        <v>2803</v>
      </c>
      <c r="D2233" s="116"/>
      <c r="E2233" s="116"/>
      <c r="F2233" s="116"/>
      <c r="G2233" s="108" t="s">
        <v>570</v>
      </c>
      <c r="H2233" s="105" t="n">
        <f aca="false">'[2]$ лето'!j2233-'[2]$ лето'!au2233-'[2]$ лето'!at2233-'[2]$ лето'!as2233-'[2]$ лето'!ar2233-'[2]$ лето'!aq2233-'[2]$ лето'!ap2233-'[2]$ лето'!an2233-'[2]$ лето'!am2233-'[2]$ лето'!al2233-'[2]$ лето'!ak2233-'[2]$ лето'!aj2233-'[2]$ лето'!ah2233-'[2]$ лето'!ag2233-'[2]$ лето'!af2233-'[2]$ лето'!ae2233-'[2]$ лето'!ad2233-'[2]$ лето'!ab2233-'[2]$ лето'!aa2233-'[2]$ лето'!z2233-'[2]$ лето'!y2233-'[2]$ лето'!x2233-'[2]$ лето'!v2233-'[2]$ лето'!u2233-'[2]$ лето'!t2233-'[2]$ лето'!s2233-'[2]$ лето'!r2233-'[2]$ лето'!p2233-'[2]$ лето'!o2233-'[2]$ лето'!n2233-'[2]$ лето'!m2233-'[2]$ лето'!l2233+'[2]$ лето'!k2233+'[2]$ лето'!q2233+'[2]$ лето'!w2233+'[2]$ лето'!ac2233+'[2]$ лето'!ai2233+'[2]$ лето'!ao2233</f>
        <v>0</v>
      </c>
      <c r="I2233" s="109" t="n">
        <f aca="false">'[2]$ лето'!ay2233*1.05</f>
        <v>5397.42</v>
      </c>
      <c r="J2233" s="85" t="n">
        <v>2018</v>
      </c>
    </row>
    <row r="2234" customFormat="false" ht="15" hidden="false" customHeight="false" outlineLevel="0" collapsed="false">
      <c r="A2234" s="115" t="s">
        <v>2799</v>
      </c>
      <c r="B2234" s="115" t="s">
        <v>583</v>
      </c>
      <c r="C2234" s="116" t="s">
        <v>2804</v>
      </c>
      <c r="D2234" s="116"/>
      <c r="E2234" s="116"/>
      <c r="F2234" s="116"/>
      <c r="G2234" s="108" t="s">
        <v>570</v>
      </c>
      <c r="H2234" s="105" t="n">
        <f aca="false">'[2]$ лето'!j2234-'[2]$ лето'!au2234-'[2]$ лето'!at2234-'[2]$ лето'!as2234-'[2]$ лето'!ar2234-'[2]$ лето'!aq2234-'[2]$ лето'!ap2234-'[2]$ лето'!an2234-'[2]$ лето'!am2234-'[2]$ лето'!al2234-'[2]$ лето'!ak2234-'[2]$ лето'!aj2234-'[2]$ лето'!ah2234-'[2]$ лето'!ag2234-'[2]$ лето'!af2234-'[2]$ лето'!ae2234-'[2]$ лето'!ad2234-'[2]$ лето'!ab2234-'[2]$ лето'!aa2234-'[2]$ лето'!z2234-'[2]$ лето'!y2234-'[2]$ лето'!x2234-'[2]$ лето'!v2234-'[2]$ лето'!u2234-'[2]$ лето'!t2234-'[2]$ лето'!s2234-'[2]$ лето'!r2234-'[2]$ лето'!p2234-'[2]$ лето'!o2234-'[2]$ лето'!n2234-'[2]$ лето'!m2234-'[2]$ лето'!l2234+'[2]$ лето'!k2234+'[2]$ лето'!q2234+'[2]$ лето'!w2234+'[2]$ лето'!ac2234+'[2]$ лето'!ai2234+'[2]$ лето'!ao2234</f>
        <v>4</v>
      </c>
      <c r="I2234" s="109" t="n">
        <f aca="false">'[2]$ лето'!ay2234*1.05</f>
        <v>5486.88</v>
      </c>
      <c r="J2234" s="85" t="n">
        <v>2018</v>
      </c>
    </row>
    <row r="2235" customFormat="false" ht="15" hidden="false" customHeight="false" outlineLevel="0" collapsed="false">
      <c r="A2235" s="115" t="s">
        <v>2799</v>
      </c>
      <c r="B2235" s="115" t="s">
        <v>564</v>
      </c>
      <c r="C2235" s="116" t="s">
        <v>2805</v>
      </c>
      <c r="D2235" s="116"/>
      <c r="E2235" s="116"/>
      <c r="F2235" s="116"/>
      <c r="G2235" s="108" t="s">
        <v>520</v>
      </c>
      <c r="H2235" s="105" t="n">
        <f aca="false">'[2]$ лето'!j2235-'[2]$ лето'!au2235-'[2]$ лето'!at2235-'[2]$ лето'!as2235-'[2]$ лето'!ar2235-'[2]$ лето'!aq2235-'[2]$ лето'!ap2235-'[2]$ лето'!an2235-'[2]$ лето'!am2235-'[2]$ лето'!al2235-'[2]$ лето'!ak2235-'[2]$ лето'!aj2235-'[2]$ лето'!ah2235-'[2]$ лето'!ag2235-'[2]$ лето'!af2235-'[2]$ лето'!ae2235-'[2]$ лето'!ad2235-'[2]$ лето'!ab2235-'[2]$ лето'!aa2235-'[2]$ лето'!z2235-'[2]$ лето'!y2235-'[2]$ лето'!x2235-'[2]$ лето'!v2235-'[2]$ лето'!u2235-'[2]$ лето'!t2235-'[2]$ лето'!s2235-'[2]$ лето'!r2235-'[2]$ лето'!p2235-'[2]$ лето'!o2235-'[2]$ лето'!n2235-'[2]$ лето'!m2235-'[2]$ лето'!l2235+'[2]$ лето'!k2235+'[2]$ лето'!q2235+'[2]$ лето'!w2235+'[2]$ лето'!ac2235+'[2]$ лето'!ai2235+'[2]$ лето'!ao2235</f>
        <v>2</v>
      </c>
      <c r="I2235" s="109" t="n">
        <f aca="false">'[2]$ лето'!ay2235*1.05</f>
        <v>3578.4</v>
      </c>
      <c r="J2235" s="85" t="n">
        <v>2017</v>
      </c>
    </row>
    <row r="2236" customFormat="false" ht="15" hidden="false" customHeight="false" outlineLevel="0" collapsed="false">
      <c r="A2236" s="115" t="s">
        <v>2806</v>
      </c>
      <c r="B2236" s="115" t="s">
        <v>574</v>
      </c>
      <c r="C2236" s="116" t="s">
        <v>2807</v>
      </c>
      <c r="D2236" s="116"/>
      <c r="E2236" s="116"/>
      <c r="F2236" s="116"/>
      <c r="G2236" s="108" t="s">
        <v>576</v>
      </c>
      <c r="H2236" s="105" t="n">
        <f aca="false">'[2]$ лето'!j2236-'[2]$ лето'!au2236-'[2]$ лето'!at2236-'[2]$ лето'!as2236-'[2]$ лето'!ar2236-'[2]$ лето'!aq2236-'[2]$ лето'!ap2236-'[2]$ лето'!an2236-'[2]$ лето'!am2236-'[2]$ лето'!al2236-'[2]$ лето'!ak2236-'[2]$ лето'!aj2236-'[2]$ лето'!ah2236-'[2]$ лето'!ag2236-'[2]$ лето'!af2236-'[2]$ лето'!ae2236-'[2]$ лето'!ad2236-'[2]$ лето'!ab2236-'[2]$ лето'!aa2236-'[2]$ лето'!z2236-'[2]$ лето'!y2236-'[2]$ лето'!x2236-'[2]$ лето'!v2236-'[2]$ лето'!u2236-'[2]$ лето'!t2236-'[2]$ лето'!s2236-'[2]$ лето'!r2236-'[2]$ лето'!p2236-'[2]$ лето'!o2236-'[2]$ лето'!n2236-'[2]$ лето'!m2236-'[2]$ лето'!l2236+'[2]$ лето'!k2236+'[2]$ лето'!q2236+'[2]$ лето'!w2236+'[2]$ лето'!ac2236+'[2]$ лето'!ai2236+'[2]$ лето'!ao2236</f>
        <v>2</v>
      </c>
      <c r="I2236" s="109" t="n">
        <f aca="false">'[2]$ лето'!ay2236*1.05</f>
        <v>5145</v>
      </c>
    </row>
    <row r="2237" customFormat="false" ht="15" hidden="true" customHeight="false" outlineLevel="0" collapsed="false">
      <c r="A2237" s="115" t="s">
        <v>2806</v>
      </c>
      <c r="B2237" s="115" t="s">
        <v>574</v>
      </c>
      <c r="C2237" s="116" t="s">
        <v>2808</v>
      </c>
      <c r="D2237" s="116"/>
      <c r="E2237" s="116"/>
      <c r="F2237" s="116"/>
      <c r="G2237" s="108" t="s">
        <v>576</v>
      </c>
      <c r="H2237" s="105" t="n">
        <f aca="false">'[2]$ лето'!j2237-'[2]$ лето'!au2237-'[2]$ лето'!at2237-'[2]$ лето'!as2237-'[2]$ лето'!ar2237-'[2]$ лето'!aq2237-'[2]$ лето'!ap2237-'[2]$ лето'!an2237-'[2]$ лето'!am2237-'[2]$ лето'!al2237-'[2]$ лето'!ak2237-'[2]$ лето'!aj2237-'[2]$ лето'!ah2237-'[2]$ лето'!ag2237-'[2]$ лето'!af2237-'[2]$ лето'!ae2237-'[2]$ лето'!ad2237-'[2]$ лето'!ab2237-'[2]$ лето'!aa2237-'[2]$ лето'!z2237-'[2]$ лето'!y2237-'[2]$ лето'!x2237-'[2]$ лето'!v2237-'[2]$ лето'!u2237-'[2]$ лето'!t2237-'[2]$ лето'!s2237-'[2]$ лето'!r2237-'[2]$ лето'!p2237-'[2]$ лето'!o2237-'[2]$ лето'!n2237-'[2]$ лето'!m2237-'[2]$ лето'!l2237+'[2]$ лето'!k2237+'[2]$ лето'!q2237+'[2]$ лето'!w2237+'[2]$ лето'!ac2237+'[2]$ лето'!ai2237+'[2]$ лето'!ao2237</f>
        <v>0</v>
      </c>
      <c r="I2237" s="109" t="n">
        <f aca="false">'[2]$ лето'!ay2237*1.05</f>
        <v>6679.68</v>
      </c>
    </row>
    <row r="2238" customFormat="false" ht="15" hidden="false" customHeight="false" outlineLevel="0" collapsed="false">
      <c r="A2238" s="120" t="s">
        <v>2809</v>
      </c>
      <c r="B2238" s="121"/>
      <c r="C2238" s="122"/>
      <c r="D2238" s="122"/>
      <c r="E2238" s="122"/>
      <c r="F2238" s="122"/>
      <c r="G2238" s="104"/>
      <c r="H2238" s="105"/>
      <c r="I2238" s="105" t="n">
        <f aca="false">'[2]$ лето'!ay2238*1.05</f>
        <v>0</v>
      </c>
      <c r="J2238" s="113"/>
    </row>
    <row r="2239" customFormat="false" ht="15" hidden="true" customHeight="false" outlineLevel="0" collapsed="false">
      <c r="A2239" s="115" t="s">
        <v>2810</v>
      </c>
      <c r="B2239" s="115" t="s">
        <v>2688</v>
      </c>
      <c r="C2239" s="119" t="s">
        <v>2811</v>
      </c>
      <c r="D2239" s="119"/>
      <c r="E2239" s="119"/>
      <c r="F2239" s="119"/>
      <c r="G2239" s="108"/>
      <c r="H2239" s="105" t="n">
        <f aca="false">'[2]$ лето'!j2239-'[2]$ лето'!au2239-'[2]$ лето'!at2239-'[2]$ лето'!as2239-'[2]$ лето'!ar2239-'[2]$ лето'!aq2239-'[2]$ лето'!ap2239-'[2]$ лето'!an2239-'[2]$ лето'!am2239-'[2]$ лето'!al2239-'[2]$ лето'!ak2239-'[2]$ лето'!aj2239-'[2]$ лето'!ah2239-'[2]$ лето'!ag2239-'[2]$ лето'!af2239-'[2]$ лето'!ae2239-'[2]$ лето'!ad2239-'[2]$ лето'!ab2239-'[2]$ лето'!aa2239-'[2]$ лето'!z2239-'[2]$ лето'!y2239-'[2]$ лето'!x2239-'[2]$ лето'!v2239-'[2]$ лето'!u2239-'[2]$ лето'!t2239-'[2]$ лето'!s2239-'[2]$ лето'!r2239-'[2]$ лето'!p2239-'[2]$ лето'!o2239-'[2]$ лето'!n2239-'[2]$ лето'!m2239-'[2]$ лето'!l2239+'[2]$ лето'!k2239+'[2]$ лето'!q2239+'[2]$ лето'!w2239+'[2]$ лето'!ac2239+'[2]$ лето'!ai2239+'[2]$ лето'!ao2239</f>
        <v>0</v>
      </c>
      <c r="I2239" s="109" t="n">
        <f aca="false">'[2]$ лето'!ay2239*1.05</f>
        <v>3622.5</v>
      </c>
      <c r="J2239" s="113"/>
    </row>
    <row r="2240" customFormat="false" ht="15" hidden="true" customHeight="false" outlineLevel="0" collapsed="false">
      <c r="A2240" s="115" t="s">
        <v>2810</v>
      </c>
      <c r="B2240" s="115" t="s">
        <v>2688</v>
      </c>
      <c r="C2240" s="119" t="s">
        <v>2812</v>
      </c>
      <c r="D2240" s="119"/>
      <c r="E2240" s="119"/>
      <c r="F2240" s="119"/>
      <c r="G2240" s="108"/>
      <c r="H2240" s="105" t="n">
        <f aca="false">'[2]$ лето'!j2240-'[2]$ лето'!au2240-'[2]$ лето'!at2240-'[2]$ лето'!as2240-'[2]$ лето'!ar2240-'[2]$ лето'!aq2240-'[2]$ лето'!ap2240-'[2]$ лето'!an2240-'[2]$ лето'!am2240-'[2]$ лето'!al2240-'[2]$ лето'!ak2240-'[2]$ лето'!aj2240-'[2]$ лето'!ah2240-'[2]$ лето'!ag2240-'[2]$ лето'!af2240-'[2]$ лето'!ae2240-'[2]$ лето'!ad2240-'[2]$ лето'!ab2240-'[2]$ лето'!aa2240-'[2]$ лето'!z2240-'[2]$ лето'!y2240-'[2]$ лето'!x2240-'[2]$ лето'!v2240-'[2]$ лето'!u2240-'[2]$ лето'!t2240-'[2]$ лето'!s2240-'[2]$ лето'!r2240-'[2]$ лето'!p2240-'[2]$ лето'!o2240-'[2]$ лето'!n2240-'[2]$ лето'!m2240-'[2]$ лето'!l2240+'[2]$ лето'!k2240+'[2]$ лето'!q2240+'[2]$ лето'!w2240+'[2]$ лето'!ac2240+'[2]$ лето'!ai2240+'[2]$ лето'!ao2240</f>
        <v>0</v>
      </c>
      <c r="I2240" s="109" t="n">
        <f aca="false">'[2]$ лето'!ay2240*1.05</f>
        <v>3727.5</v>
      </c>
      <c r="J2240" s="113"/>
    </row>
    <row r="2241" customFormat="false" ht="15" hidden="false" customHeight="false" outlineLevel="0" collapsed="false">
      <c r="A2241" s="115" t="s">
        <v>2810</v>
      </c>
      <c r="B2241" s="115" t="s">
        <v>2813</v>
      </c>
      <c r="C2241" s="119" t="s">
        <v>2814</v>
      </c>
      <c r="D2241" s="119"/>
      <c r="E2241" s="119"/>
      <c r="F2241" s="119"/>
      <c r="G2241" s="108"/>
      <c r="H2241" s="105" t="n">
        <f aca="false">'[2]$ лето'!j2241-'[2]$ лето'!au2241-'[2]$ лето'!at2241-'[2]$ лето'!as2241-'[2]$ лето'!ar2241-'[2]$ лето'!aq2241-'[2]$ лето'!ap2241-'[2]$ лето'!an2241-'[2]$ лето'!am2241-'[2]$ лето'!al2241-'[2]$ лето'!ak2241-'[2]$ лето'!aj2241-'[2]$ лето'!ah2241-'[2]$ лето'!ag2241-'[2]$ лето'!af2241-'[2]$ лето'!ae2241-'[2]$ лето'!ad2241-'[2]$ лето'!ab2241-'[2]$ лето'!aa2241-'[2]$ лето'!z2241-'[2]$ лето'!y2241-'[2]$ лето'!x2241-'[2]$ лето'!v2241-'[2]$ лето'!u2241-'[2]$ лето'!t2241-'[2]$ лето'!s2241-'[2]$ лето'!r2241-'[2]$ лето'!p2241-'[2]$ лето'!o2241-'[2]$ лето'!n2241-'[2]$ лето'!m2241-'[2]$ лето'!l2241+'[2]$ лето'!k2241+'[2]$ лето'!q2241+'[2]$ лето'!w2241+'[2]$ лето'!ac2241+'[2]$ лето'!ai2241+'[2]$ лето'!ao2241</f>
        <v>8</v>
      </c>
      <c r="I2241" s="109" t="n">
        <f aca="false">'[2]$ лето'!ay2241*1.05</f>
        <v>3727.5</v>
      </c>
      <c r="J2241" s="113"/>
    </row>
    <row r="2242" customFormat="false" ht="15" hidden="false" customHeight="false" outlineLevel="0" collapsed="false">
      <c r="A2242" s="115" t="s">
        <v>2810</v>
      </c>
      <c r="B2242" s="115" t="s">
        <v>2478</v>
      </c>
      <c r="C2242" s="119" t="s">
        <v>2760</v>
      </c>
      <c r="D2242" s="119"/>
      <c r="E2242" s="119"/>
      <c r="F2242" s="119"/>
      <c r="G2242" s="108"/>
      <c r="H2242" s="105" t="n">
        <f aca="false">'[2]$ лето'!j2242-'[2]$ лето'!au2242-'[2]$ лето'!at2242-'[2]$ лето'!as2242-'[2]$ лето'!ar2242-'[2]$ лето'!aq2242-'[2]$ лето'!ap2242-'[2]$ лето'!an2242-'[2]$ лето'!am2242-'[2]$ лето'!al2242-'[2]$ лето'!ak2242-'[2]$ лето'!aj2242-'[2]$ лето'!ah2242-'[2]$ лето'!ag2242-'[2]$ лето'!af2242-'[2]$ лето'!ae2242-'[2]$ лето'!ad2242-'[2]$ лето'!ab2242-'[2]$ лето'!aa2242-'[2]$ лето'!z2242-'[2]$ лето'!y2242-'[2]$ лето'!x2242-'[2]$ лето'!v2242-'[2]$ лето'!u2242-'[2]$ лето'!t2242-'[2]$ лето'!s2242-'[2]$ лето'!r2242-'[2]$ лето'!p2242-'[2]$ лето'!o2242-'[2]$ лето'!n2242-'[2]$ лето'!m2242-'[2]$ лето'!l2242+'[2]$ лето'!k2242+'[2]$ лето'!q2242+'[2]$ лето'!w2242+'[2]$ лето'!ac2242+'[2]$ лето'!ai2242+'[2]$ лето'!ao2242</f>
        <v>4</v>
      </c>
      <c r="I2242" s="109" t="n">
        <f aca="false">'[2]$ лето'!ay2242*1.05</f>
        <v>3727.5</v>
      </c>
      <c r="J2242" s="113"/>
    </row>
    <row r="2243" customFormat="false" ht="15" hidden="false" customHeight="false" outlineLevel="0" collapsed="false">
      <c r="A2243" s="129" t="s">
        <v>2810</v>
      </c>
      <c r="B2243" s="129" t="s">
        <v>2688</v>
      </c>
      <c r="C2243" s="141" t="s">
        <v>2812</v>
      </c>
      <c r="D2243" s="141"/>
      <c r="E2243" s="141"/>
      <c r="F2243" s="141"/>
      <c r="G2243" s="132"/>
      <c r="H2243" s="105" t="n">
        <f aca="false">'[2]$ лето'!j2243-'[2]$ лето'!au2243-'[2]$ лето'!at2243-'[2]$ лето'!as2243-'[2]$ лето'!ar2243-'[2]$ лето'!aq2243-'[2]$ лето'!ap2243-'[2]$ лето'!an2243-'[2]$ лето'!am2243-'[2]$ лето'!al2243-'[2]$ лето'!ak2243-'[2]$ лето'!aj2243-'[2]$ лето'!ah2243-'[2]$ лето'!ag2243-'[2]$ лето'!af2243-'[2]$ лето'!ae2243-'[2]$ лето'!ad2243-'[2]$ лето'!ab2243-'[2]$ лето'!aa2243-'[2]$ лето'!z2243-'[2]$ лето'!y2243-'[2]$ лето'!x2243-'[2]$ лето'!v2243-'[2]$ лето'!u2243-'[2]$ лето'!t2243-'[2]$ лето'!s2243-'[2]$ лето'!r2243-'[2]$ лето'!p2243-'[2]$ лето'!o2243-'[2]$ лето'!n2243-'[2]$ лето'!m2243-'[2]$ лето'!l2243+'[2]$ лето'!k2243+'[2]$ лето'!q2243+'[2]$ лето'!w2243+'[2]$ лето'!ac2243+'[2]$ лето'!ai2243+'[2]$ лето'!ao2243</f>
        <v>2</v>
      </c>
      <c r="I2243" s="133" t="n">
        <f aca="false">'[2]$ лето'!ay2243*1.05</f>
        <v>3465</v>
      </c>
      <c r="J2243" s="166"/>
    </row>
    <row r="2244" customFormat="false" ht="15" hidden="false" customHeight="false" outlineLevel="0" collapsed="false">
      <c r="A2244" s="129" t="s">
        <v>2810</v>
      </c>
      <c r="B2244" s="129" t="s">
        <v>2688</v>
      </c>
      <c r="C2244" s="141" t="s">
        <v>2812</v>
      </c>
      <c r="D2244" s="141"/>
      <c r="E2244" s="141"/>
      <c r="F2244" s="141"/>
      <c r="G2244" s="132"/>
      <c r="H2244" s="105" t="n">
        <f aca="false">'[2]$ лето'!j2244-'[2]$ лето'!au2244-'[2]$ лето'!at2244-'[2]$ лето'!as2244-'[2]$ лето'!ar2244-'[2]$ лето'!aq2244-'[2]$ лето'!ap2244-'[2]$ лето'!an2244-'[2]$ лето'!am2244-'[2]$ лето'!al2244-'[2]$ лето'!ak2244-'[2]$ лето'!aj2244-'[2]$ лето'!ah2244-'[2]$ лето'!ag2244-'[2]$ лето'!af2244-'[2]$ лето'!ae2244-'[2]$ лето'!ad2244-'[2]$ лето'!ab2244-'[2]$ лето'!aa2244-'[2]$ лето'!z2244-'[2]$ лето'!y2244-'[2]$ лето'!x2244-'[2]$ лето'!v2244-'[2]$ лето'!u2244-'[2]$ лето'!t2244-'[2]$ лето'!s2244-'[2]$ лето'!r2244-'[2]$ лето'!p2244-'[2]$ лето'!o2244-'[2]$ лето'!n2244-'[2]$ лето'!m2244-'[2]$ лето'!l2244+'[2]$ лето'!k2244+'[2]$ лето'!q2244+'[2]$ лето'!w2244+'[2]$ лето'!ac2244+'[2]$ лето'!ai2244+'[2]$ лето'!ao2244</f>
        <v>2</v>
      </c>
      <c r="I2244" s="133" t="n">
        <f aca="false">'[2]$ лето'!ay2244*1.05</f>
        <v>2835</v>
      </c>
      <c r="J2244" s="166"/>
    </row>
    <row r="2245" customFormat="false" ht="15" hidden="false" customHeight="false" outlineLevel="0" collapsed="false">
      <c r="A2245" s="123" t="s">
        <v>2810</v>
      </c>
      <c r="B2245" s="123" t="s">
        <v>583</v>
      </c>
      <c r="C2245" s="116" t="s">
        <v>2815</v>
      </c>
      <c r="D2245" s="116"/>
      <c r="E2245" s="116"/>
      <c r="F2245" s="116"/>
      <c r="G2245" s="108"/>
      <c r="H2245" s="105" t="n">
        <f aca="false">'[2]$ лето'!j2245-'[2]$ лето'!au2245-'[2]$ лето'!at2245-'[2]$ лето'!as2245-'[2]$ лето'!ar2245-'[2]$ лето'!aq2245-'[2]$ лето'!ap2245-'[2]$ лето'!an2245-'[2]$ лето'!am2245-'[2]$ лето'!al2245-'[2]$ лето'!ak2245-'[2]$ лето'!aj2245-'[2]$ лето'!ah2245-'[2]$ лето'!ag2245-'[2]$ лето'!af2245-'[2]$ лето'!ae2245-'[2]$ лето'!ad2245-'[2]$ лето'!ab2245-'[2]$ лето'!aa2245-'[2]$ лето'!z2245-'[2]$ лето'!y2245-'[2]$ лето'!x2245-'[2]$ лето'!v2245-'[2]$ лето'!u2245-'[2]$ лето'!t2245-'[2]$ лето'!s2245-'[2]$ лето'!r2245-'[2]$ лето'!p2245-'[2]$ лето'!o2245-'[2]$ лето'!n2245-'[2]$ лето'!m2245-'[2]$ лето'!l2245+'[2]$ лето'!k2245+'[2]$ лето'!q2245+'[2]$ лето'!w2245+'[2]$ лето'!ac2245+'[2]$ лето'!ai2245+'[2]$ лето'!ao2245</f>
        <v>4</v>
      </c>
      <c r="I2245" s="109" t="n">
        <f aca="false">'[2]$ лето'!ay2245*1.05</f>
        <v>5606.16</v>
      </c>
      <c r="J2245" s="113"/>
    </row>
    <row r="2246" customFormat="false" ht="15" hidden="false" customHeight="false" outlineLevel="0" collapsed="false">
      <c r="A2246" s="123" t="s">
        <v>2810</v>
      </c>
      <c r="B2246" s="123" t="s">
        <v>583</v>
      </c>
      <c r="C2246" s="116" t="s">
        <v>2816</v>
      </c>
      <c r="D2246" s="116"/>
      <c r="E2246" s="116"/>
      <c r="F2246" s="116"/>
      <c r="G2246" s="108"/>
      <c r="H2246" s="105" t="n">
        <f aca="false">'[2]$ лето'!j2246-'[2]$ лето'!au2246-'[2]$ лето'!at2246-'[2]$ лето'!as2246-'[2]$ лето'!ar2246-'[2]$ лето'!aq2246-'[2]$ лето'!ap2246-'[2]$ лето'!an2246-'[2]$ лето'!am2246-'[2]$ лето'!al2246-'[2]$ лето'!ak2246-'[2]$ лето'!aj2246-'[2]$ лето'!ah2246-'[2]$ лето'!ag2246-'[2]$ лето'!af2246-'[2]$ лето'!ae2246-'[2]$ лето'!ad2246-'[2]$ лето'!ab2246-'[2]$ лето'!aa2246-'[2]$ лето'!z2246-'[2]$ лето'!y2246-'[2]$ лето'!x2246-'[2]$ лето'!v2246-'[2]$ лето'!u2246-'[2]$ лето'!t2246-'[2]$ лето'!s2246-'[2]$ лето'!r2246-'[2]$ лето'!p2246-'[2]$ лето'!o2246-'[2]$ лето'!n2246-'[2]$ лето'!m2246-'[2]$ лето'!l2246+'[2]$ лето'!k2246+'[2]$ лето'!q2246+'[2]$ лето'!w2246+'[2]$ лето'!ac2246+'[2]$ лето'!ai2246+'[2]$ лето'!ao2246</f>
        <v>4</v>
      </c>
      <c r="I2246" s="109" t="n">
        <f aca="false">'[2]$ лето'!ay2246*1.05</f>
        <v>5665.8</v>
      </c>
      <c r="J2246" s="113"/>
    </row>
    <row r="2247" customFormat="false" ht="15" hidden="false" customHeight="false" outlineLevel="0" collapsed="false">
      <c r="A2247" s="123" t="s">
        <v>2810</v>
      </c>
      <c r="B2247" s="123" t="s">
        <v>564</v>
      </c>
      <c r="C2247" s="116" t="s">
        <v>2817</v>
      </c>
      <c r="D2247" s="116"/>
      <c r="E2247" s="116"/>
      <c r="F2247" s="116"/>
      <c r="G2247" s="108" t="s">
        <v>520</v>
      </c>
      <c r="H2247" s="105" t="n">
        <f aca="false">'[2]$ лето'!j2247-'[2]$ лето'!au2247-'[2]$ лето'!at2247-'[2]$ лето'!as2247-'[2]$ лето'!ar2247-'[2]$ лето'!aq2247-'[2]$ лето'!ap2247-'[2]$ лето'!an2247-'[2]$ лето'!am2247-'[2]$ лето'!al2247-'[2]$ лето'!ak2247-'[2]$ лето'!aj2247-'[2]$ лето'!ah2247-'[2]$ лето'!ag2247-'[2]$ лето'!af2247-'[2]$ лето'!ae2247-'[2]$ лето'!ad2247-'[2]$ лето'!ab2247-'[2]$ лето'!aa2247-'[2]$ лето'!z2247-'[2]$ лето'!y2247-'[2]$ лето'!x2247-'[2]$ лето'!v2247-'[2]$ лето'!u2247-'[2]$ лето'!t2247-'[2]$ лето'!s2247-'[2]$ лето'!r2247-'[2]$ лето'!p2247-'[2]$ лето'!o2247-'[2]$ лето'!n2247-'[2]$ лето'!m2247-'[2]$ лето'!l2247+'[2]$ лето'!k2247+'[2]$ лето'!q2247+'[2]$ лето'!w2247+'[2]$ лето'!ac2247+'[2]$ лето'!ai2247+'[2]$ лето'!ao2247</f>
        <v>6</v>
      </c>
      <c r="I2247" s="109" t="n">
        <f aca="false">'[2]$ лето'!ay2247*1.05</f>
        <v>4085.34</v>
      </c>
      <c r="J2247" s="113" t="s">
        <v>1827</v>
      </c>
    </row>
    <row r="2248" customFormat="false" ht="15" hidden="true" customHeight="false" outlineLevel="0" collapsed="false">
      <c r="A2248" s="123" t="s">
        <v>2810</v>
      </c>
      <c r="B2248" s="123" t="s">
        <v>564</v>
      </c>
      <c r="C2248" s="116" t="s">
        <v>2818</v>
      </c>
      <c r="D2248" s="116"/>
      <c r="E2248" s="116"/>
      <c r="F2248" s="116"/>
      <c r="G2248" s="108" t="s">
        <v>520</v>
      </c>
      <c r="H2248" s="105" t="n">
        <f aca="false">'[2]$ лето'!j2248-'[2]$ лето'!au2248-'[2]$ лето'!at2248-'[2]$ лето'!as2248-'[2]$ лето'!ar2248-'[2]$ лето'!aq2248-'[2]$ лето'!ap2248-'[2]$ лето'!an2248-'[2]$ лето'!am2248-'[2]$ лето'!al2248-'[2]$ лето'!ak2248-'[2]$ лето'!aj2248-'[2]$ лето'!ah2248-'[2]$ лето'!ag2248-'[2]$ лето'!af2248-'[2]$ лето'!ae2248-'[2]$ лето'!ad2248-'[2]$ лето'!ab2248-'[2]$ лето'!aa2248-'[2]$ лето'!z2248-'[2]$ лето'!y2248-'[2]$ лето'!x2248-'[2]$ лето'!v2248-'[2]$ лето'!u2248-'[2]$ лето'!t2248-'[2]$ лето'!s2248-'[2]$ лето'!r2248-'[2]$ лето'!p2248-'[2]$ лето'!o2248-'[2]$ лето'!n2248-'[2]$ лето'!m2248-'[2]$ лето'!l2248+'[2]$ лето'!k2248+'[2]$ лето'!q2248+'[2]$ лето'!w2248+'[2]$ лето'!ac2248+'[2]$ лето'!ai2248+'[2]$ лето'!ao2248</f>
        <v>0</v>
      </c>
      <c r="I2248" s="109" t="n">
        <f aca="false">'[2]$ лето'!ay2248*1.05</f>
        <v>3876.6</v>
      </c>
      <c r="J2248" s="113"/>
    </row>
    <row r="2249" customFormat="false" ht="15" hidden="true" customHeight="false" outlineLevel="0" collapsed="false">
      <c r="A2249" s="123" t="s">
        <v>2819</v>
      </c>
      <c r="B2249" s="123" t="s">
        <v>2688</v>
      </c>
      <c r="C2249" s="116" t="s">
        <v>2820</v>
      </c>
      <c r="D2249" s="116"/>
      <c r="E2249" s="116"/>
      <c r="F2249" s="116"/>
      <c r="G2249" s="108"/>
      <c r="H2249" s="105" t="n">
        <f aca="false">'[2]$ лето'!j2249-'[2]$ лето'!au2249-'[2]$ лето'!at2249-'[2]$ лето'!as2249-'[2]$ лето'!ar2249-'[2]$ лето'!aq2249-'[2]$ лето'!ap2249-'[2]$ лето'!an2249-'[2]$ лето'!am2249-'[2]$ лето'!al2249-'[2]$ лето'!ak2249-'[2]$ лето'!aj2249-'[2]$ лето'!ah2249-'[2]$ лето'!ag2249-'[2]$ лето'!af2249-'[2]$ лето'!ae2249-'[2]$ лето'!ad2249-'[2]$ лето'!ab2249-'[2]$ лето'!aa2249-'[2]$ лето'!z2249-'[2]$ лето'!y2249-'[2]$ лето'!x2249-'[2]$ лето'!v2249-'[2]$ лето'!u2249-'[2]$ лето'!t2249-'[2]$ лето'!s2249-'[2]$ лето'!r2249-'[2]$ лето'!p2249-'[2]$ лето'!o2249-'[2]$ лето'!n2249-'[2]$ лето'!m2249-'[2]$ лето'!l2249+'[2]$ лето'!k2249+'[2]$ лето'!q2249+'[2]$ лето'!w2249+'[2]$ лето'!ac2249+'[2]$ лето'!ai2249+'[2]$ лето'!ao2249</f>
        <v>0</v>
      </c>
      <c r="I2249" s="109" t="n">
        <f aca="false">'[2]$ лето'!ay2249*1.05</f>
        <v>3727.5</v>
      </c>
      <c r="J2249" s="113"/>
    </row>
    <row r="2250" customFormat="false" ht="15" hidden="false" customHeight="false" outlineLevel="0" collapsed="false">
      <c r="A2250" s="123" t="s">
        <v>2819</v>
      </c>
      <c r="B2250" s="123" t="s">
        <v>2688</v>
      </c>
      <c r="C2250" s="116" t="s">
        <v>2821</v>
      </c>
      <c r="D2250" s="116"/>
      <c r="E2250" s="116"/>
      <c r="F2250" s="116"/>
      <c r="G2250" s="108"/>
      <c r="H2250" s="105" t="n">
        <f aca="false">'[2]$ лето'!j2250-'[2]$ лето'!au2250-'[2]$ лето'!at2250-'[2]$ лето'!as2250-'[2]$ лето'!ar2250-'[2]$ лето'!aq2250-'[2]$ лето'!ap2250-'[2]$ лето'!an2250-'[2]$ лето'!am2250-'[2]$ лето'!al2250-'[2]$ лето'!ak2250-'[2]$ лето'!aj2250-'[2]$ лето'!ah2250-'[2]$ лето'!ag2250-'[2]$ лето'!af2250-'[2]$ лето'!ae2250-'[2]$ лето'!ad2250-'[2]$ лето'!ab2250-'[2]$ лето'!aa2250-'[2]$ лето'!z2250-'[2]$ лето'!y2250-'[2]$ лето'!x2250-'[2]$ лето'!v2250-'[2]$ лето'!u2250-'[2]$ лето'!t2250-'[2]$ лето'!s2250-'[2]$ лето'!r2250-'[2]$ лето'!p2250-'[2]$ лето'!o2250-'[2]$ лето'!n2250-'[2]$ лето'!m2250-'[2]$ лето'!l2250+'[2]$ лето'!k2250+'[2]$ лето'!q2250+'[2]$ лето'!w2250+'[2]$ лето'!ac2250+'[2]$ лето'!ai2250+'[2]$ лето'!ao2250</f>
        <v>2</v>
      </c>
      <c r="I2250" s="109" t="n">
        <f aca="false">'[2]$ лето'!ay2250*1.05</f>
        <v>4174.8</v>
      </c>
      <c r="J2250" s="113" t="n">
        <v>2014</v>
      </c>
    </row>
    <row r="2251" customFormat="false" ht="15" hidden="false" customHeight="false" outlineLevel="0" collapsed="false">
      <c r="A2251" s="123" t="s">
        <v>2819</v>
      </c>
      <c r="B2251" s="123" t="s">
        <v>792</v>
      </c>
      <c r="C2251" s="116" t="s">
        <v>2822</v>
      </c>
      <c r="D2251" s="116"/>
      <c r="E2251" s="116"/>
      <c r="F2251" s="116"/>
      <c r="G2251" s="108" t="s">
        <v>1030</v>
      </c>
      <c r="H2251" s="105" t="n">
        <f aca="false">'[2]$ лето'!j2251-'[2]$ лето'!au2251-'[2]$ лето'!at2251-'[2]$ лето'!as2251-'[2]$ лето'!ar2251-'[2]$ лето'!aq2251-'[2]$ лето'!ap2251-'[2]$ лето'!an2251-'[2]$ лето'!am2251-'[2]$ лето'!al2251-'[2]$ лето'!ak2251-'[2]$ лето'!aj2251-'[2]$ лето'!ah2251-'[2]$ лето'!ag2251-'[2]$ лето'!af2251-'[2]$ лето'!ae2251-'[2]$ лето'!ad2251-'[2]$ лето'!ab2251-'[2]$ лето'!aa2251-'[2]$ лето'!z2251-'[2]$ лето'!y2251-'[2]$ лето'!x2251-'[2]$ лето'!v2251-'[2]$ лето'!u2251-'[2]$ лето'!t2251-'[2]$ лето'!s2251-'[2]$ лето'!r2251-'[2]$ лето'!p2251-'[2]$ лето'!o2251-'[2]$ лето'!n2251-'[2]$ лето'!m2251-'[2]$ лето'!l2251+'[2]$ лето'!k2251+'[2]$ лето'!q2251+'[2]$ лето'!w2251+'[2]$ лето'!ac2251+'[2]$ лето'!ai2251+'[2]$ лето'!ao2251</f>
        <v>2</v>
      </c>
      <c r="I2251" s="109" t="n">
        <f aca="false">'[2]$ лето'!ay2251*1.05</f>
        <v>4174.8</v>
      </c>
      <c r="J2251" s="113" t="n">
        <v>2018</v>
      </c>
    </row>
    <row r="2252" customFormat="false" ht="15" hidden="true" customHeight="false" outlineLevel="0" collapsed="false">
      <c r="A2252" s="123" t="s">
        <v>2819</v>
      </c>
      <c r="B2252" s="123" t="s">
        <v>707</v>
      </c>
      <c r="C2252" s="116" t="s">
        <v>2823</v>
      </c>
      <c r="D2252" s="116"/>
      <c r="E2252" s="116"/>
      <c r="F2252" s="116"/>
      <c r="G2252" s="108"/>
      <c r="H2252" s="105" t="n">
        <f aca="false">'[2]$ лето'!j2252-'[2]$ лето'!au2252-'[2]$ лето'!at2252-'[2]$ лето'!as2252-'[2]$ лето'!ar2252-'[2]$ лето'!aq2252-'[2]$ лето'!ap2252-'[2]$ лето'!an2252-'[2]$ лето'!am2252-'[2]$ лето'!al2252-'[2]$ лето'!ak2252-'[2]$ лето'!aj2252-'[2]$ лето'!ah2252-'[2]$ лето'!ag2252-'[2]$ лето'!af2252-'[2]$ лето'!ae2252-'[2]$ лето'!ad2252-'[2]$ лето'!ab2252-'[2]$ лето'!aa2252-'[2]$ лето'!z2252-'[2]$ лето'!y2252-'[2]$ лето'!x2252-'[2]$ лето'!v2252-'[2]$ лето'!u2252-'[2]$ лето'!t2252-'[2]$ лето'!s2252-'[2]$ лето'!r2252-'[2]$ лето'!p2252-'[2]$ лето'!o2252-'[2]$ лето'!n2252-'[2]$ лето'!m2252-'[2]$ лето'!l2252+'[2]$ лето'!k2252+'[2]$ лето'!q2252+'[2]$ лето'!w2252+'[2]$ лето'!ac2252+'[2]$ лето'!ai2252+'[2]$ лето'!ao2252</f>
        <v>0</v>
      </c>
      <c r="I2252" s="109" t="n">
        <f aca="false">'[2]$ лето'!ay2252*1.05</f>
        <v>7007.7</v>
      </c>
      <c r="J2252" s="113"/>
    </row>
    <row r="2253" customFormat="false" ht="15" hidden="true" customHeight="false" outlineLevel="0" collapsed="false">
      <c r="A2253" s="123" t="s">
        <v>2819</v>
      </c>
      <c r="B2253" s="123" t="s">
        <v>707</v>
      </c>
      <c r="C2253" s="116" t="s">
        <v>2824</v>
      </c>
      <c r="D2253" s="116"/>
      <c r="E2253" s="116"/>
      <c r="F2253" s="116"/>
      <c r="G2253" s="108"/>
      <c r="H2253" s="105" t="n">
        <f aca="false">'[2]$ лето'!j2253-'[2]$ лето'!au2253-'[2]$ лето'!at2253-'[2]$ лето'!as2253-'[2]$ лето'!ar2253-'[2]$ лето'!aq2253-'[2]$ лето'!ap2253-'[2]$ лето'!an2253-'[2]$ лето'!am2253-'[2]$ лето'!al2253-'[2]$ лето'!ak2253-'[2]$ лето'!aj2253-'[2]$ лето'!ah2253-'[2]$ лето'!ag2253-'[2]$ лето'!af2253-'[2]$ лето'!ae2253-'[2]$ лето'!ad2253-'[2]$ лето'!ab2253-'[2]$ лето'!aa2253-'[2]$ лето'!z2253-'[2]$ лето'!y2253-'[2]$ лето'!x2253-'[2]$ лето'!v2253-'[2]$ лето'!u2253-'[2]$ лето'!t2253-'[2]$ лето'!s2253-'[2]$ лето'!r2253-'[2]$ лето'!p2253-'[2]$ лето'!o2253-'[2]$ лето'!n2253-'[2]$ лето'!m2253-'[2]$ лето'!l2253+'[2]$ лето'!k2253+'[2]$ лето'!q2253+'[2]$ лето'!w2253+'[2]$ лето'!ac2253+'[2]$ лето'!ai2253+'[2]$ лето'!ao2253</f>
        <v>0</v>
      </c>
      <c r="I2253" s="109" t="n">
        <f aca="false">'[2]$ лето'!ay2253*1.05</f>
        <v>7156.8</v>
      </c>
      <c r="J2253" s="113"/>
    </row>
    <row r="2254" customFormat="false" ht="15" hidden="false" customHeight="false" outlineLevel="0" collapsed="false">
      <c r="A2254" s="123" t="s">
        <v>2819</v>
      </c>
      <c r="B2254" s="123" t="s">
        <v>2478</v>
      </c>
      <c r="C2254" s="116" t="s">
        <v>2759</v>
      </c>
      <c r="D2254" s="116"/>
      <c r="E2254" s="116"/>
      <c r="F2254" s="116"/>
      <c r="G2254" s="108" t="s">
        <v>520</v>
      </c>
      <c r="H2254" s="105" t="n">
        <f aca="false">'[2]$ лето'!j2254-'[2]$ лето'!au2254-'[2]$ лето'!at2254-'[2]$ лето'!as2254-'[2]$ лето'!ar2254-'[2]$ лето'!aq2254-'[2]$ лето'!ap2254-'[2]$ лето'!an2254-'[2]$ лето'!am2254-'[2]$ лето'!al2254-'[2]$ лето'!ak2254-'[2]$ лето'!aj2254-'[2]$ лето'!ah2254-'[2]$ лето'!ag2254-'[2]$ лето'!af2254-'[2]$ лето'!ae2254-'[2]$ лето'!ad2254-'[2]$ лето'!ab2254-'[2]$ лето'!aa2254-'[2]$ лето'!z2254-'[2]$ лето'!y2254-'[2]$ лето'!x2254-'[2]$ лето'!v2254-'[2]$ лето'!u2254-'[2]$ лето'!t2254-'[2]$ лето'!s2254-'[2]$ лето'!r2254-'[2]$ лето'!p2254-'[2]$ лето'!o2254-'[2]$ лето'!n2254-'[2]$ лето'!m2254-'[2]$ лето'!l2254+'[2]$ лето'!k2254+'[2]$ лето'!q2254+'[2]$ лето'!w2254+'[2]$ лето'!ac2254+'[2]$ лето'!ai2254+'[2]$ лето'!ao2254</f>
        <v>2</v>
      </c>
      <c r="I2254" s="109" t="n">
        <f aca="false">'[2]$ лето'!ay2254*1.05</f>
        <v>4095</v>
      </c>
      <c r="J2254" s="113" t="n">
        <v>2017</v>
      </c>
    </row>
    <row r="2255" customFormat="false" ht="15" hidden="false" customHeight="false" outlineLevel="0" collapsed="false">
      <c r="A2255" s="123" t="s">
        <v>2819</v>
      </c>
      <c r="B2255" s="123" t="s">
        <v>2478</v>
      </c>
      <c r="C2255" s="116" t="s">
        <v>2825</v>
      </c>
      <c r="D2255" s="116"/>
      <c r="E2255" s="116"/>
      <c r="F2255" s="116"/>
      <c r="G2255" s="108" t="s">
        <v>520</v>
      </c>
      <c r="H2255" s="105" t="n">
        <f aca="false">'[2]$ лето'!j2255-'[2]$ лето'!au2255-'[2]$ лето'!at2255-'[2]$ лето'!as2255-'[2]$ лето'!ar2255-'[2]$ лето'!aq2255-'[2]$ лето'!ap2255-'[2]$ лето'!an2255-'[2]$ лето'!am2255-'[2]$ лето'!al2255-'[2]$ лето'!ak2255-'[2]$ лето'!aj2255-'[2]$ лето'!ah2255-'[2]$ лето'!ag2255-'[2]$ лето'!af2255-'[2]$ лето'!ae2255-'[2]$ лето'!ad2255-'[2]$ лето'!ab2255-'[2]$ лето'!aa2255-'[2]$ лето'!z2255-'[2]$ лето'!y2255-'[2]$ лето'!x2255-'[2]$ лето'!v2255-'[2]$ лето'!u2255-'[2]$ лето'!t2255-'[2]$ лето'!s2255-'[2]$ лето'!r2255-'[2]$ лето'!p2255-'[2]$ лето'!o2255-'[2]$ лето'!n2255-'[2]$ лето'!m2255-'[2]$ лето'!l2255+'[2]$ лето'!k2255+'[2]$ лето'!q2255+'[2]$ лето'!w2255+'[2]$ лето'!ac2255+'[2]$ лето'!ai2255+'[2]$ лето'!ao2255</f>
        <v>4</v>
      </c>
      <c r="I2255" s="109" t="n">
        <f aca="false">'[2]$ лето'!ay2255*1.05</f>
        <v>4200</v>
      </c>
      <c r="J2255" s="113" t="n">
        <v>2017</v>
      </c>
    </row>
    <row r="2256" customFormat="false" ht="15" hidden="false" customHeight="false" outlineLevel="0" collapsed="false">
      <c r="A2256" s="123" t="s">
        <v>2819</v>
      </c>
      <c r="B2256" s="123" t="s">
        <v>583</v>
      </c>
      <c r="C2256" s="116" t="s">
        <v>2789</v>
      </c>
      <c r="D2256" s="116"/>
      <c r="E2256" s="116"/>
      <c r="F2256" s="116"/>
      <c r="G2256" s="108"/>
      <c r="H2256" s="105" t="n">
        <f aca="false">'[2]$ лето'!j2256-'[2]$ лето'!au2256-'[2]$ лето'!at2256-'[2]$ лето'!as2256-'[2]$ лето'!ar2256-'[2]$ лето'!aq2256-'[2]$ лето'!ap2256-'[2]$ лето'!an2256-'[2]$ лето'!am2256-'[2]$ лето'!al2256-'[2]$ лето'!ak2256-'[2]$ лето'!aj2256-'[2]$ лето'!ah2256-'[2]$ лето'!ag2256-'[2]$ лето'!af2256-'[2]$ лето'!ae2256-'[2]$ лето'!ad2256-'[2]$ лето'!ab2256-'[2]$ лето'!aa2256-'[2]$ лето'!z2256-'[2]$ лето'!y2256-'[2]$ лето'!x2256-'[2]$ лето'!v2256-'[2]$ лето'!u2256-'[2]$ лето'!t2256-'[2]$ лето'!s2256-'[2]$ лето'!r2256-'[2]$ лето'!p2256-'[2]$ лето'!o2256-'[2]$ лето'!n2256-'[2]$ лето'!m2256-'[2]$ лето'!l2256+'[2]$ лето'!k2256+'[2]$ лето'!q2256+'[2]$ лето'!w2256+'[2]$ лето'!ac2256+'[2]$ лето'!ai2256+'[2]$ лето'!ao2256</f>
        <v>1</v>
      </c>
      <c r="I2256" s="109" t="n">
        <f aca="false">'[2]$ лето'!ay2256*1.05</f>
        <v>5367.6</v>
      </c>
      <c r="J2256" s="113"/>
    </row>
    <row r="2257" customFormat="false" ht="15" hidden="true" customHeight="false" outlineLevel="0" collapsed="false">
      <c r="A2257" s="123" t="s">
        <v>2819</v>
      </c>
      <c r="B2257" s="123" t="s">
        <v>652</v>
      </c>
      <c r="C2257" s="116" t="s">
        <v>2826</v>
      </c>
      <c r="D2257" s="116"/>
      <c r="E2257" s="116"/>
      <c r="F2257" s="116"/>
      <c r="G2257" s="145" t="s">
        <v>2827</v>
      </c>
      <c r="H2257" s="105" t="n">
        <f aca="false">'[2]$ лето'!j2257-'[2]$ лето'!au2257-'[2]$ лето'!at2257-'[2]$ лето'!as2257-'[2]$ лето'!ar2257-'[2]$ лето'!aq2257-'[2]$ лето'!ap2257-'[2]$ лето'!an2257-'[2]$ лето'!am2257-'[2]$ лето'!al2257-'[2]$ лето'!ak2257-'[2]$ лето'!aj2257-'[2]$ лето'!ah2257-'[2]$ лето'!ag2257-'[2]$ лето'!af2257-'[2]$ лето'!ae2257-'[2]$ лето'!ad2257-'[2]$ лето'!ab2257-'[2]$ лето'!aa2257-'[2]$ лето'!z2257-'[2]$ лето'!y2257-'[2]$ лето'!x2257-'[2]$ лето'!v2257-'[2]$ лето'!u2257-'[2]$ лето'!t2257-'[2]$ лето'!s2257-'[2]$ лето'!r2257-'[2]$ лето'!p2257-'[2]$ лето'!o2257-'[2]$ лето'!n2257-'[2]$ лето'!m2257-'[2]$ лето'!l2257+'[2]$ лето'!k2257+'[2]$ лето'!q2257+'[2]$ лето'!w2257+'[2]$ лето'!ac2257+'[2]$ лето'!ai2257+'[2]$ лето'!ao2257</f>
        <v>0</v>
      </c>
      <c r="I2257" s="109" t="n">
        <f aca="false">'[2]$ лето'!ay2257*1.05</f>
        <v>5367.6</v>
      </c>
      <c r="J2257" s="167"/>
    </row>
    <row r="2258" customFormat="false" ht="15" hidden="true" customHeight="false" outlineLevel="0" collapsed="false">
      <c r="A2258" s="123" t="s">
        <v>2819</v>
      </c>
      <c r="B2258" s="123" t="s">
        <v>652</v>
      </c>
      <c r="C2258" s="116" t="s">
        <v>2828</v>
      </c>
      <c r="D2258" s="116"/>
      <c r="E2258" s="116"/>
      <c r="F2258" s="116"/>
      <c r="G2258" s="145" t="s">
        <v>2827</v>
      </c>
      <c r="H2258" s="105" t="n">
        <f aca="false">'[2]$ лето'!j2258-'[2]$ лето'!au2258-'[2]$ лето'!at2258-'[2]$ лето'!as2258-'[2]$ лето'!ar2258-'[2]$ лето'!aq2258-'[2]$ лето'!ap2258-'[2]$ лето'!an2258-'[2]$ лето'!am2258-'[2]$ лето'!al2258-'[2]$ лето'!ak2258-'[2]$ лето'!aj2258-'[2]$ лето'!ah2258-'[2]$ лето'!ag2258-'[2]$ лето'!af2258-'[2]$ лето'!ae2258-'[2]$ лето'!ad2258-'[2]$ лето'!ab2258-'[2]$ лето'!aa2258-'[2]$ лето'!z2258-'[2]$ лето'!y2258-'[2]$ лето'!x2258-'[2]$ лето'!v2258-'[2]$ лето'!u2258-'[2]$ лето'!t2258-'[2]$ лето'!s2258-'[2]$ лето'!r2258-'[2]$ лето'!p2258-'[2]$ лето'!o2258-'[2]$ лето'!n2258-'[2]$ лето'!m2258-'[2]$ лето'!l2258+'[2]$ лето'!k2258+'[2]$ лето'!q2258+'[2]$ лето'!w2258+'[2]$ лето'!ac2258+'[2]$ лето'!ai2258+'[2]$ лето'!ao2258</f>
        <v>0</v>
      </c>
      <c r="I2258" s="109" t="n">
        <f aca="false">'[2]$ лето'!ay2258*1.05</f>
        <v>5367.6</v>
      </c>
      <c r="J2258" s="167" t="s">
        <v>1827</v>
      </c>
    </row>
    <row r="2259" customFormat="false" ht="15" hidden="true" customHeight="false" outlineLevel="0" collapsed="false">
      <c r="A2259" s="123" t="s">
        <v>2819</v>
      </c>
      <c r="B2259" s="123" t="s">
        <v>564</v>
      </c>
      <c r="C2259" s="116" t="s">
        <v>2829</v>
      </c>
      <c r="D2259" s="116"/>
      <c r="E2259" s="116"/>
      <c r="F2259" s="116"/>
      <c r="G2259" s="108" t="s">
        <v>520</v>
      </c>
      <c r="H2259" s="105" t="n">
        <f aca="false">'[2]$ лето'!j2259-'[2]$ лето'!au2259-'[2]$ лето'!at2259-'[2]$ лето'!as2259-'[2]$ лето'!ar2259-'[2]$ лето'!aq2259-'[2]$ лето'!ap2259-'[2]$ лето'!an2259-'[2]$ лето'!am2259-'[2]$ лето'!al2259-'[2]$ лето'!ak2259-'[2]$ лето'!aj2259-'[2]$ лето'!ah2259-'[2]$ лето'!ag2259-'[2]$ лето'!af2259-'[2]$ лето'!ae2259-'[2]$ лето'!ad2259-'[2]$ лето'!ab2259-'[2]$ лето'!aa2259-'[2]$ лето'!z2259-'[2]$ лето'!y2259-'[2]$ лето'!x2259-'[2]$ лето'!v2259-'[2]$ лето'!u2259-'[2]$ лето'!t2259-'[2]$ лето'!s2259-'[2]$ лето'!r2259-'[2]$ лето'!p2259-'[2]$ лето'!o2259-'[2]$ лето'!n2259-'[2]$ лето'!m2259-'[2]$ лето'!l2259+'[2]$ лето'!k2259+'[2]$ лето'!q2259+'[2]$ лето'!w2259+'[2]$ лето'!ac2259+'[2]$ лето'!ai2259+'[2]$ лето'!ao2259</f>
        <v>0</v>
      </c>
      <c r="I2259" s="109" t="n">
        <f aca="false">'[2]$ лето'!ay2259*1.05</f>
        <v>4174.8</v>
      </c>
      <c r="J2259" s="167"/>
    </row>
    <row r="2260" customFormat="false" ht="15" hidden="false" customHeight="false" outlineLevel="0" collapsed="false">
      <c r="A2260" s="123" t="s">
        <v>2819</v>
      </c>
      <c r="B2260" s="123" t="s">
        <v>564</v>
      </c>
      <c r="C2260" s="116" t="s">
        <v>2830</v>
      </c>
      <c r="D2260" s="116"/>
      <c r="E2260" s="116"/>
      <c r="F2260" s="116"/>
      <c r="G2260" s="108" t="s">
        <v>520</v>
      </c>
      <c r="H2260" s="105" t="n">
        <f aca="false">'[2]$ лето'!j2260-'[2]$ лето'!au2260-'[2]$ лето'!at2260-'[2]$ лето'!as2260-'[2]$ лето'!ar2260-'[2]$ лето'!aq2260-'[2]$ лето'!ap2260-'[2]$ лето'!an2260-'[2]$ лето'!am2260-'[2]$ лето'!al2260-'[2]$ лето'!ak2260-'[2]$ лето'!aj2260-'[2]$ лето'!ah2260-'[2]$ лето'!ag2260-'[2]$ лето'!af2260-'[2]$ лето'!ae2260-'[2]$ лето'!ad2260-'[2]$ лето'!ab2260-'[2]$ лето'!aa2260-'[2]$ лето'!z2260-'[2]$ лето'!y2260-'[2]$ лето'!x2260-'[2]$ лето'!v2260-'[2]$ лето'!u2260-'[2]$ лето'!t2260-'[2]$ лето'!s2260-'[2]$ лето'!r2260-'[2]$ лето'!p2260-'[2]$ лето'!o2260-'[2]$ лето'!n2260-'[2]$ лето'!m2260-'[2]$ лето'!l2260+'[2]$ лето'!k2260+'[2]$ лето'!q2260+'[2]$ лето'!w2260+'[2]$ лето'!ac2260+'[2]$ лето'!ai2260+'[2]$ лето'!ao2260</f>
        <v>4</v>
      </c>
      <c r="I2260" s="109" t="n">
        <f aca="false">'[2]$ лето'!ay2260*1.05</f>
        <v>4413.36</v>
      </c>
      <c r="J2260" s="167"/>
    </row>
    <row r="2261" customFormat="false" ht="15" hidden="false" customHeight="false" outlineLevel="0" collapsed="false">
      <c r="A2261" s="123" t="s">
        <v>2831</v>
      </c>
      <c r="B2261" s="123" t="s">
        <v>991</v>
      </c>
      <c r="C2261" s="116" t="s">
        <v>2832</v>
      </c>
      <c r="D2261" s="116"/>
      <c r="E2261" s="116"/>
      <c r="F2261" s="116"/>
      <c r="G2261" s="108" t="s">
        <v>520</v>
      </c>
      <c r="H2261" s="105" t="n">
        <f aca="false">'[2]$ лето'!j2261-'[2]$ лето'!au2261-'[2]$ лето'!at2261-'[2]$ лето'!as2261-'[2]$ лето'!ar2261-'[2]$ лето'!aq2261-'[2]$ лето'!ap2261-'[2]$ лето'!an2261-'[2]$ лето'!am2261-'[2]$ лето'!al2261-'[2]$ лето'!ak2261-'[2]$ лето'!aj2261-'[2]$ лето'!ah2261-'[2]$ лето'!ag2261-'[2]$ лето'!af2261-'[2]$ лето'!ae2261-'[2]$ лето'!ad2261-'[2]$ лето'!ab2261-'[2]$ лето'!aa2261-'[2]$ лето'!z2261-'[2]$ лето'!y2261-'[2]$ лето'!x2261-'[2]$ лето'!v2261-'[2]$ лето'!u2261-'[2]$ лето'!t2261-'[2]$ лето'!s2261-'[2]$ лето'!r2261-'[2]$ лето'!p2261-'[2]$ лето'!o2261-'[2]$ лето'!n2261-'[2]$ лето'!m2261-'[2]$ лето'!l2261+'[2]$ лето'!k2261+'[2]$ лето'!q2261+'[2]$ лето'!w2261+'[2]$ лето'!ac2261+'[2]$ лето'!ai2261+'[2]$ лето'!ao2261</f>
        <v>1</v>
      </c>
      <c r="I2261" s="109" t="n">
        <f aca="false">'[2]$ лето'!ay2261*1.05</f>
        <v>5617.5</v>
      </c>
      <c r="J2261" s="167"/>
    </row>
    <row r="2262" customFormat="false" ht="15" hidden="false" customHeight="false" outlineLevel="0" collapsed="false">
      <c r="A2262" s="123" t="s">
        <v>2831</v>
      </c>
      <c r="B2262" s="123" t="s">
        <v>991</v>
      </c>
      <c r="C2262" s="116" t="s">
        <v>2833</v>
      </c>
      <c r="D2262" s="116"/>
      <c r="E2262" s="116"/>
      <c r="F2262" s="116"/>
      <c r="G2262" s="108" t="s">
        <v>520</v>
      </c>
      <c r="H2262" s="105" t="n">
        <f aca="false">'[2]$ лето'!j2262-'[2]$ лето'!au2262-'[2]$ лето'!at2262-'[2]$ лето'!as2262-'[2]$ лето'!ar2262-'[2]$ лето'!aq2262-'[2]$ лето'!ap2262-'[2]$ лето'!an2262-'[2]$ лето'!am2262-'[2]$ лето'!al2262-'[2]$ лето'!ak2262-'[2]$ лето'!aj2262-'[2]$ лето'!ah2262-'[2]$ лето'!ag2262-'[2]$ лето'!af2262-'[2]$ лето'!ae2262-'[2]$ лето'!ad2262-'[2]$ лето'!ab2262-'[2]$ лето'!aa2262-'[2]$ лето'!z2262-'[2]$ лето'!y2262-'[2]$ лето'!x2262-'[2]$ лето'!v2262-'[2]$ лето'!u2262-'[2]$ лето'!t2262-'[2]$ лето'!s2262-'[2]$ лето'!r2262-'[2]$ лето'!p2262-'[2]$ лето'!o2262-'[2]$ лето'!n2262-'[2]$ лето'!m2262-'[2]$ лето'!l2262+'[2]$ лето'!k2262+'[2]$ лето'!q2262+'[2]$ лето'!w2262+'[2]$ лето'!ac2262+'[2]$ лето'!ai2262+'[2]$ лето'!ao2262</f>
        <v>13</v>
      </c>
      <c r="I2262" s="109" t="n">
        <f aca="false">'[2]$ лето'!ay2262*1.05</f>
        <v>5722.5</v>
      </c>
      <c r="J2262" s="167"/>
    </row>
    <row r="2263" customFormat="false" ht="15" hidden="true" customHeight="false" outlineLevel="0" collapsed="false">
      <c r="A2263" s="123" t="s">
        <v>2831</v>
      </c>
      <c r="B2263" s="123" t="s">
        <v>707</v>
      </c>
      <c r="C2263" s="116" t="s">
        <v>2834</v>
      </c>
      <c r="D2263" s="116"/>
      <c r="E2263" s="116"/>
      <c r="F2263" s="116"/>
      <c r="G2263" s="145"/>
      <c r="H2263" s="105" t="n">
        <f aca="false">'[2]$ лето'!j2263-'[2]$ лето'!au2263-'[2]$ лето'!at2263-'[2]$ лето'!as2263-'[2]$ лето'!ar2263-'[2]$ лето'!aq2263-'[2]$ лето'!ap2263-'[2]$ лето'!an2263-'[2]$ лето'!am2263-'[2]$ лето'!al2263-'[2]$ лето'!ak2263-'[2]$ лето'!aj2263-'[2]$ лето'!ah2263-'[2]$ лето'!ag2263-'[2]$ лето'!af2263-'[2]$ лето'!ae2263-'[2]$ лето'!ad2263-'[2]$ лето'!ab2263-'[2]$ лето'!aa2263-'[2]$ лето'!z2263-'[2]$ лето'!y2263-'[2]$ лето'!x2263-'[2]$ лето'!v2263-'[2]$ лето'!u2263-'[2]$ лето'!t2263-'[2]$ лето'!s2263-'[2]$ лето'!r2263-'[2]$ лето'!p2263-'[2]$ лето'!o2263-'[2]$ лето'!n2263-'[2]$ лето'!m2263-'[2]$ лето'!l2263+'[2]$ лето'!k2263+'[2]$ лето'!q2263+'[2]$ лето'!w2263+'[2]$ лето'!ac2263+'[2]$ лето'!ai2263+'[2]$ лето'!ao2263</f>
        <v>0</v>
      </c>
      <c r="I2263" s="109" t="n">
        <f aca="false">'[2]$ лето'!ay2263*1.05</f>
        <v>8111.04</v>
      </c>
      <c r="J2263" s="167"/>
    </row>
    <row r="2264" customFormat="false" ht="15" hidden="true" customHeight="false" outlineLevel="0" collapsed="false">
      <c r="A2264" s="123" t="s">
        <v>2831</v>
      </c>
      <c r="B2264" s="123" t="s">
        <v>707</v>
      </c>
      <c r="C2264" s="116" t="s">
        <v>2835</v>
      </c>
      <c r="D2264" s="116"/>
      <c r="E2264" s="116"/>
      <c r="F2264" s="116"/>
      <c r="G2264" s="145" t="s">
        <v>2827</v>
      </c>
      <c r="H2264" s="105" t="n">
        <f aca="false">'[2]$ лето'!j2264-'[2]$ лето'!au2264-'[2]$ лето'!at2264-'[2]$ лето'!as2264-'[2]$ лето'!ar2264-'[2]$ лето'!aq2264-'[2]$ лето'!ap2264-'[2]$ лето'!an2264-'[2]$ лето'!am2264-'[2]$ лето'!al2264-'[2]$ лето'!ak2264-'[2]$ лето'!aj2264-'[2]$ лето'!ah2264-'[2]$ лето'!ag2264-'[2]$ лето'!af2264-'[2]$ лето'!ae2264-'[2]$ лето'!ad2264-'[2]$ лето'!ab2264-'[2]$ лето'!aa2264-'[2]$ лето'!z2264-'[2]$ лето'!y2264-'[2]$ лето'!x2264-'[2]$ лето'!v2264-'[2]$ лето'!u2264-'[2]$ лето'!t2264-'[2]$ лето'!s2264-'[2]$ лето'!r2264-'[2]$ лето'!p2264-'[2]$ лето'!o2264-'[2]$ лето'!n2264-'[2]$ лето'!m2264-'[2]$ лето'!l2264+'[2]$ лето'!k2264+'[2]$ лето'!q2264+'[2]$ лето'!w2264+'[2]$ лето'!ac2264+'[2]$ лето'!ai2264+'[2]$ лето'!ao2264</f>
        <v>0</v>
      </c>
      <c r="I2264" s="109" t="n">
        <f aca="false">'[2]$ лето'!ay2264*1.05</f>
        <v>8349.6</v>
      </c>
      <c r="J2264" s="167"/>
    </row>
    <row r="2265" customFormat="false" ht="15" hidden="true" customHeight="false" outlineLevel="0" collapsed="false">
      <c r="A2265" s="123" t="s">
        <v>2831</v>
      </c>
      <c r="B2265" s="123" t="s">
        <v>604</v>
      </c>
      <c r="C2265" s="116" t="s">
        <v>2836</v>
      </c>
      <c r="D2265" s="116"/>
      <c r="E2265" s="116"/>
      <c r="F2265" s="116"/>
      <c r="G2265" s="145"/>
      <c r="H2265" s="105" t="n">
        <f aca="false">'[2]$ лето'!j2265-'[2]$ лето'!au2265-'[2]$ лето'!at2265-'[2]$ лето'!as2265-'[2]$ лето'!ar2265-'[2]$ лето'!aq2265-'[2]$ лето'!ap2265-'[2]$ лето'!an2265-'[2]$ лето'!am2265-'[2]$ лето'!al2265-'[2]$ лето'!ak2265-'[2]$ лето'!aj2265-'[2]$ лето'!ah2265-'[2]$ лето'!ag2265-'[2]$ лето'!af2265-'[2]$ лето'!ae2265-'[2]$ лето'!ad2265-'[2]$ лето'!ab2265-'[2]$ лето'!aa2265-'[2]$ лето'!z2265-'[2]$ лето'!y2265-'[2]$ лето'!x2265-'[2]$ лето'!v2265-'[2]$ лето'!u2265-'[2]$ лето'!t2265-'[2]$ лето'!s2265-'[2]$ лето'!r2265-'[2]$ лето'!p2265-'[2]$ лето'!o2265-'[2]$ лето'!n2265-'[2]$ лето'!m2265-'[2]$ лето'!l2265+'[2]$ лето'!k2265+'[2]$ лето'!q2265+'[2]$ лето'!w2265+'[2]$ лето'!ac2265+'[2]$ лето'!ai2265+'[2]$ лето'!ao2265</f>
        <v>0</v>
      </c>
      <c r="I2265" s="109" t="n">
        <f aca="false">'[2]$ лето'!ay2265*1.05</f>
        <v>7455</v>
      </c>
      <c r="J2265" s="167"/>
    </row>
    <row r="2266" customFormat="false" ht="15" hidden="true" customHeight="false" outlineLevel="0" collapsed="false">
      <c r="A2266" s="123" t="s">
        <v>2831</v>
      </c>
      <c r="B2266" s="123" t="s">
        <v>2724</v>
      </c>
      <c r="C2266" s="116" t="s">
        <v>2837</v>
      </c>
      <c r="D2266" s="116"/>
      <c r="E2266" s="116"/>
      <c r="F2266" s="116"/>
      <c r="G2266" s="145"/>
      <c r="H2266" s="105" t="n">
        <f aca="false">'[2]$ лето'!j2266-'[2]$ лето'!au2266-'[2]$ лето'!at2266-'[2]$ лето'!as2266-'[2]$ лето'!ar2266-'[2]$ лето'!aq2266-'[2]$ лето'!ap2266-'[2]$ лето'!an2266-'[2]$ лето'!am2266-'[2]$ лето'!al2266-'[2]$ лето'!ak2266-'[2]$ лето'!aj2266-'[2]$ лето'!ah2266-'[2]$ лето'!ag2266-'[2]$ лето'!af2266-'[2]$ лето'!ae2266-'[2]$ лето'!ad2266-'[2]$ лето'!ab2266-'[2]$ лето'!aa2266-'[2]$ лето'!z2266-'[2]$ лето'!y2266-'[2]$ лето'!x2266-'[2]$ лето'!v2266-'[2]$ лето'!u2266-'[2]$ лето'!t2266-'[2]$ лето'!s2266-'[2]$ лето'!r2266-'[2]$ лето'!p2266-'[2]$ лето'!o2266-'[2]$ лето'!n2266-'[2]$ лето'!m2266-'[2]$ лето'!l2266+'[2]$ лето'!k2266+'[2]$ лето'!q2266+'[2]$ лето'!w2266+'[2]$ лето'!ac2266+'[2]$ лето'!ai2266+'[2]$ лето'!ao2266</f>
        <v>0</v>
      </c>
      <c r="I2266" s="109" t="n">
        <f aca="false">'[2]$ лето'!ay2266*1.05</f>
        <v>4681.74</v>
      </c>
      <c r="J2266" s="167"/>
    </row>
    <row r="2267" customFormat="false" ht="15" hidden="true" customHeight="false" outlineLevel="0" collapsed="false">
      <c r="A2267" s="123" t="s">
        <v>2831</v>
      </c>
      <c r="B2267" s="123" t="s">
        <v>583</v>
      </c>
      <c r="C2267" s="116" t="s">
        <v>2693</v>
      </c>
      <c r="D2267" s="116"/>
      <c r="E2267" s="116"/>
      <c r="F2267" s="116"/>
      <c r="G2267" s="108"/>
      <c r="H2267" s="105" t="n">
        <f aca="false">'[2]$ лето'!j2267-'[2]$ лето'!au2267-'[2]$ лето'!at2267-'[2]$ лето'!as2267-'[2]$ лето'!ar2267-'[2]$ лето'!aq2267-'[2]$ лето'!ap2267-'[2]$ лето'!an2267-'[2]$ лето'!am2267-'[2]$ лето'!al2267-'[2]$ лето'!ak2267-'[2]$ лето'!aj2267-'[2]$ лето'!ah2267-'[2]$ лето'!ag2267-'[2]$ лето'!af2267-'[2]$ лето'!ae2267-'[2]$ лето'!ad2267-'[2]$ лето'!ab2267-'[2]$ лето'!aa2267-'[2]$ лето'!z2267-'[2]$ лето'!y2267-'[2]$ лето'!x2267-'[2]$ лето'!v2267-'[2]$ лето'!u2267-'[2]$ лето'!t2267-'[2]$ лето'!s2267-'[2]$ лето'!r2267-'[2]$ лето'!p2267-'[2]$ лето'!o2267-'[2]$ лето'!n2267-'[2]$ лето'!m2267-'[2]$ лето'!l2267+'[2]$ лето'!k2267+'[2]$ лето'!q2267+'[2]$ лето'!w2267+'[2]$ лето'!ac2267+'[2]$ лето'!ai2267+'[2]$ лето'!ao2267</f>
        <v>0</v>
      </c>
      <c r="I2267" s="109" t="n">
        <f aca="false">'[2]$ лето'!ay2267*1.05</f>
        <v>6709.5</v>
      </c>
      <c r="J2267" s="113" t="s">
        <v>1030</v>
      </c>
    </row>
    <row r="2268" customFormat="false" ht="15" hidden="true" customHeight="false" outlineLevel="0" collapsed="false">
      <c r="A2268" s="123" t="s">
        <v>2831</v>
      </c>
      <c r="B2268" s="123" t="s">
        <v>583</v>
      </c>
      <c r="C2268" s="116" t="s">
        <v>2838</v>
      </c>
      <c r="D2268" s="116"/>
      <c r="E2268" s="116"/>
      <c r="F2268" s="116"/>
      <c r="G2268" s="108" t="s">
        <v>693</v>
      </c>
      <c r="H2268" s="105" t="n">
        <f aca="false">'[2]$ лето'!j2268-'[2]$ лето'!au2268-'[2]$ лето'!at2268-'[2]$ лето'!as2268-'[2]$ лето'!ar2268-'[2]$ лето'!aq2268-'[2]$ лето'!ap2268-'[2]$ лето'!an2268-'[2]$ лето'!am2268-'[2]$ лето'!al2268-'[2]$ лето'!ak2268-'[2]$ лето'!aj2268-'[2]$ лето'!ah2268-'[2]$ лето'!ag2268-'[2]$ лето'!af2268-'[2]$ лето'!ae2268-'[2]$ лето'!ad2268-'[2]$ лето'!ab2268-'[2]$ лето'!aa2268-'[2]$ лето'!z2268-'[2]$ лето'!y2268-'[2]$ лето'!x2268-'[2]$ лето'!v2268-'[2]$ лето'!u2268-'[2]$ лето'!t2268-'[2]$ лето'!s2268-'[2]$ лето'!r2268-'[2]$ лето'!p2268-'[2]$ лето'!o2268-'[2]$ лето'!n2268-'[2]$ лето'!m2268-'[2]$ лето'!l2268+'[2]$ лето'!k2268+'[2]$ лето'!q2268+'[2]$ лето'!w2268+'[2]$ лето'!ac2268+'[2]$ лето'!ai2268+'[2]$ лето'!ao2268</f>
        <v>0</v>
      </c>
      <c r="I2268" s="109" t="n">
        <f aca="false">'[2]$ лето'!ay2268*1.05</f>
        <v>6858.6</v>
      </c>
      <c r="J2268" s="113" t="n">
        <v>2018</v>
      </c>
    </row>
    <row r="2269" customFormat="false" ht="15" hidden="true" customHeight="false" outlineLevel="0" collapsed="false">
      <c r="A2269" s="123" t="s">
        <v>2831</v>
      </c>
      <c r="B2269" s="123" t="s">
        <v>583</v>
      </c>
      <c r="C2269" s="116" t="s">
        <v>2839</v>
      </c>
      <c r="D2269" s="116"/>
      <c r="E2269" s="116"/>
      <c r="F2269" s="116"/>
      <c r="G2269" s="108"/>
      <c r="H2269" s="105" t="n">
        <f aca="false">'[2]$ лето'!j2269-'[2]$ лето'!au2269-'[2]$ лето'!at2269-'[2]$ лето'!as2269-'[2]$ лето'!ar2269-'[2]$ лето'!aq2269-'[2]$ лето'!ap2269-'[2]$ лето'!an2269-'[2]$ лето'!am2269-'[2]$ лето'!al2269-'[2]$ лето'!ak2269-'[2]$ лето'!aj2269-'[2]$ лето'!ah2269-'[2]$ лето'!ag2269-'[2]$ лето'!af2269-'[2]$ лето'!ae2269-'[2]$ лето'!ad2269-'[2]$ лето'!ab2269-'[2]$ лето'!aa2269-'[2]$ лето'!z2269-'[2]$ лето'!y2269-'[2]$ лето'!x2269-'[2]$ лето'!v2269-'[2]$ лето'!u2269-'[2]$ лето'!t2269-'[2]$ лето'!s2269-'[2]$ лето'!r2269-'[2]$ лето'!p2269-'[2]$ лето'!o2269-'[2]$ лето'!n2269-'[2]$ лето'!m2269-'[2]$ лето'!l2269+'[2]$ лето'!k2269+'[2]$ лето'!q2269+'[2]$ лето'!w2269+'[2]$ лето'!ac2269+'[2]$ лето'!ai2269+'[2]$ лето'!ao2269</f>
        <v>0</v>
      </c>
      <c r="I2269" s="109" t="n">
        <f aca="false">'[2]$ лето'!ay2269*1.05</f>
        <v>6202.56</v>
      </c>
      <c r="J2269" s="113"/>
    </row>
    <row r="2270" customFormat="false" ht="15" hidden="true" customHeight="false" outlineLevel="0" collapsed="false">
      <c r="A2270" s="123" t="s">
        <v>2831</v>
      </c>
      <c r="B2270" s="123" t="s">
        <v>564</v>
      </c>
      <c r="C2270" s="116" t="s">
        <v>2840</v>
      </c>
      <c r="D2270" s="116"/>
      <c r="E2270" s="116"/>
      <c r="F2270" s="116"/>
      <c r="G2270" s="108" t="s">
        <v>520</v>
      </c>
      <c r="H2270" s="105" t="n">
        <f aca="false">'[2]$ лето'!j2270-'[2]$ лето'!au2270-'[2]$ лето'!at2270-'[2]$ лето'!as2270-'[2]$ лето'!ar2270-'[2]$ лето'!aq2270-'[2]$ лето'!ap2270-'[2]$ лето'!an2270-'[2]$ лето'!am2270-'[2]$ лето'!al2270-'[2]$ лето'!ak2270-'[2]$ лето'!aj2270-'[2]$ лето'!ah2270-'[2]$ лето'!ag2270-'[2]$ лето'!af2270-'[2]$ лето'!ae2270-'[2]$ лето'!ad2270-'[2]$ лето'!ab2270-'[2]$ лето'!aa2270-'[2]$ лето'!z2270-'[2]$ лето'!y2270-'[2]$ лето'!x2270-'[2]$ лето'!v2270-'[2]$ лето'!u2270-'[2]$ лето'!t2270-'[2]$ лето'!s2270-'[2]$ лето'!r2270-'[2]$ лето'!p2270-'[2]$ лето'!o2270-'[2]$ лето'!n2270-'[2]$ лето'!m2270-'[2]$ лето'!l2270+'[2]$ лето'!k2270+'[2]$ лето'!q2270+'[2]$ лето'!w2270+'[2]$ лето'!ac2270+'[2]$ лето'!ai2270+'[2]$ лето'!ao2270</f>
        <v>0</v>
      </c>
      <c r="I2270" s="109" t="n">
        <f aca="false">'[2]$ лето'!ay2270*1.05</f>
        <v>4920.3</v>
      </c>
      <c r="J2270" s="113"/>
    </row>
    <row r="2271" customFormat="false" ht="15" hidden="true" customHeight="false" outlineLevel="0" collapsed="false">
      <c r="A2271" s="123" t="s">
        <v>2841</v>
      </c>
      <c r="B2271" s="123" t="s">
        <v>2688</v>
      </c>
      <c r="C2271" s="116" t="s">
        <v>2842</v>
      </c>
      <c r="D2271" s="116"/>
      <c r="E2271" s="116"/>
      <c r="F2271" s="116"/>
      <c r="G2271" s="108"/>
      <c r="H2271" s="105" t="n">
        <f aca="false">'[2]$ лето'!j2271-'[2]$ лето'!au2271-'[2]$ лето'!at2271-'[2]$ лето'!as2271-'[2]$ лето'!ar2271-'[2]$ лето'!aq2271-'[2]$ лето'!ap2271-'[2]$ лето'!an2271-'[2]$ лето'!am2271-'[2]$ лето'!al2271-'[2]$ лето'!ak2271-'[2]$ лето'!aj2271-'[2]$ лето'!ah2271-'[2]$ лето'!ag2271-'[2]$ лето'!af2271-'[2]$ лето'!ae2271-'[2]$ лето'!ad2271-'[2]$ лето'!ab2271-'[2]$ лето'!aa2271-'[2]$ лето'!z2271-'[2]$ лето'!y2271-'[2]$ лето'!x2271-'[2]$ лето'!v2271-'[2]$ лето'!u2271-'[2]$ лето'!t2271-'[2]$ лето'!s2271-'[2]$ лето'!r2271-'[2]$ лето'!p2271-'[2]$ лето'!o2271-'[2]$ лето'!n2271-'[2]$ лето'!m2271-'[2]$ лето'!l2271+'[2]$ лето'!k2271+'[2]$ лето'!q2271+'[2]$ лето'!w2271+'[2]$ лето'!ac2271+'[2]$ лето'!ai2271+'[2]$ лето'!ao2271</f>
        <v>0</v>
      </c>
      <c r="I2271" s="109" t="n">
        <f aca="false">'[2]$ лето'!ay2271*1.05</f>
        <v>6262.2</v>
      </c>
      <c r="J2271" s="113"/>
    </row>
    <row r="2272" customFormat="false" ht="15" hidden="true" customHeight="false" outlineLevel="0" collapsed="false">
      <c r="A2272" s="123" t="s">
        <v>2841</v>
      </c>
      <c r="B2272" s="123" t="s">
        <v>2688</v>
      </c>
      <c r="C2272" s="116" t="s">
        <v>2843</v>
      </c>
      <c r="D2272" s="116"/>
      <c r="E2272" s="116"/>
      <c r="F2272" s="116"/>
      <c r="G2272" s="108"/>
      <c r="H2272" s="105" t="n">
        <f aca="false">'[2]$ лето'!j2272-'[2]$ лето'!au2272-'[2]$ лето'!at2272-'[2]$ лето'!as2272-'[2]$ лето'!ar2272-'[2]$ лето'!aq2272-'[2]$ лето'!ap2272-'[2]$ лето'!an2272-'[2]$ лето'!am2272-'[2]$ лето'!al2272-'[2]$ лето'!ak2272-'[2]$ лето'!aj2272-'[2]$ лето'!ah2272-'[2]$ лето'!ag2272-'[2]$ лето'!af2272-'[2]$ лето'!ae2272-'[2]$ лето'!ad2272-'[2]$ лето'!ab2272-'[2]$ лето'!aa2272-'[2]$ лето'!z2272-'[2]$ лето'!y2272-'[2]$ лето'!x2272-'[2]$ лето'!v2272-'[2]$ лето'!u2272-'[2]$ лето'!t2272-'[2]$ лето'!s2272-'[2]$ лето'!r2272-'[2]$ лето'!p2272-'[2]$ лето'!o2272-'[2]$ лето'!n2272-'[2]$ лето'!m2272-'[2]$ лето'!l2272+'[2]$ лето'!k2272+'[2]$ лето'!q2272+'[2]$ лето'!w2272+'[2]$ лето'!ac2272+'[2]$ лето'!ai2272+'[2]$ лето'!ao2272</f>
        <v>0</v>
      </c>
      <c r="I2272" s="109" t="n">
        <f aca="false">'[2]$ лето'!ay2272*1.05</f>
        <v>6769.14</v>
      </c>
      <c r="J2272" s="113"/>
    </row>
    <row r="2273" customFormat="false" ht="15" hidden="true" customHeight="false" outlineLevel="0" collapsed="false">
      <c r="A2273" s="123" t="s">
        <v>2841</v>
      </c>
      <c r="B2273" s="123" t="s">
        <v>572</v>
      </c>
      <c r="C2273" s="116" t="s">
        <v>2844</v>
      </c>
      <c r="D2273" s="116"/>
      <c r="E2273" s="116"/>
      <c r="F2273" s="116"/>
      <c r="G2273" s="108" t="s">
        <v>868</v>
      </c>
      <c r="H2273" s="105" t="n">
        <f aca="false">'[2]$ лето'!j2273-'[2]$ лето'!au2273-'[2]$ лето'!at2273-'[2]$ лето'!as2273-'[2]$ лето'!ar2273-'[2]$ лето'!aq2273-'[2]$ лето'!ap2273-'[2]$ лето'!an2273-'[2]$ лето'!am2273-'[2]$ лето'!al2273-'[2]$ лето'!ak2273-'[2]$ лето'!aj2273-'[2]$ лето'!ah2273-'[2]$ лето'!ag2273-'[2]$ лето'!af2273-'[2]$ лето'!ae2273-'[2]$ лето'!ad2273-'[2]$ лето'!ab2273-'[2]$ лето'!aa2273-'[2]$ лето'!z2273-'[2]$ лето'!y2273-'[2]$ лето'!x2273-'[2]$ лето'!v2273-'[2]$ лето'!u2273-'[2]$ лето'!t2273-'[2]$ лето'!s2273-'[2]$ лето'!r2273-'[2]$ лето'!p2273-'[2]$ лето'!o2273-'[2]$ лето'!n2273-'[2]$ лето'!m2273-'[2]$ лето'!l2273+'[2]$ лето'!k2273+'[2]$ лето'!q2273+'[2]$ лето'!w2273+'[2]$ лето'!ac2273+'[2]$ лето'!ai2273+'[2]$ лето'!ao2273</f>
        <v>0</v>
      </c>
      <c r="I2273" s="109" t="n">
        <f aca="false">'[2]$ лето'!ay2273*1.05</f>
        <v>8558.34</v>
      </c>
      <c r="J2273" s="113"/>
    </row>
    <row r="2274" customFormat="false" ht="15" hidden="true" customHeight="false" outlineLevel="0" collapsed="false">
      <c r="A2274" s="123" t="s">
        <v>2845</v>
      </c>
      <c r="B2274" s="123" t="s">
        <v>2846</v>
      </c>
      <c r="C2274" s="116" t="s">
        <v>2847</v>
      </c>
      <c r="D2274" s="116"/>
      <c r="E2274" s="116"/>
      <c r="F2274" s="116"/>
      <c r="G2274" s="108"/>
      <c r="H2274" s="105" t="n">
        <f aca="false">'[2]$ лето'!j2274-'[2]$ лето'!au2274-'[2]$ лето'!at2274-'[2]$ лето'!as2274-'[2]$ лето'!ar2274-'[2]$ лето'!aq2274-'[2]$ лето'!ap2274-'[2]$ лето'!an2274-'[2]$ лето'!am2274-'[2]$ лето'!al2274-'[2]$ лето'!ak2274-'[2]$ лето'!aj2274-'[2]$ лето'!ah2274-'[2]$ лето'!ag2274-'[2]$ лето'!af2274-'[2]$ лето'!ae2274-'[2]$ лето'!ad2274-'[2]$ лето'!ab2274-'[2]$ лето'!aa2274-'[2]$ лето'!z2274-'[2]$ лето'!y2274-'[2]$ лето'!x2274-'[2]$ лето'!v2274-'[2]$ лето'!u2274-'[2]$ лето'!t2274-'[2]$ лето'!s2274-'[2]$ лето'!r2274-'[2]$ лето'!p2274-'[2]$ лето'!o2274-'[2]$ лето'!n2274-'[2]$ лето'!m2274-'[2]$ лето'!l2274+'[2]$ лето'!k2274+'[2]$ лето'!q2274+'[2]$ лето'!w2274+'[2]$ лето'!ac2274+'[2]$ лето'!ai2274+'[2]$ лето'!ao2274</f>
        <v>0</v>
      </c>
      <c r="I2274" s="109" t="n">
        <f aca="false">'[2]$ лето'!ay2274*1.05</f>
        <v>8439.06</v>
      </c>
      <c r="J2274" s="113"/>
    </row>
    <row r="2275" customFormat="false" ht="15" hidden="true" customHeight="false" outlineLevel="0" collapsed="false">
      <c r="A2275" s="123" t="s">
        <v>2848</v>
      </c>
      <c r="B2275" s="123" t="s">
        <v>2849</v>
      </c>
      <c r="C2275" s="116" t="s">
        <v>2850</v>
      </c>
      <c r="D2275" s="116"/>
      <c r="E2275" s="116"/>
      <c r="F2275" s="116"/>
      <c r="G2275" s="108"/>
      <c r="H2275" s="105" t="n">
        <f aca="false">'[2]$ лето'!j2275-'[2]$ лето'!au2275-'[2]$ лето'!at2275-'[2]$ лето'!as2275-'[2]$ лето'!ar2275-'[2]$ лето'!aq2275-'[2]$ лето'!ap2275-'[2]$ лето'!an2275-'[2]$ лето'!am2275-'[2]$ лето'!al2275-'[2]$ лето'!ak2275-'[2]$ лето'!aj2275-'[2]$ лето'!ah2275-'[2]$ лето'!ag2275-'[2]$ лето'!af2275-'[2]$ лето'!ae2275-'[2]$ лето'!ad2275-'[2]$ лето'!ab2275-'[2]$ лето'!aa2275-'[2]$ лето'!z2275-'[2]$ лето'!y2275-'[2]$ лето'!x2275-'[2]$ лето'!v2275-'[2]$ лето'!u2275-'[2]$ лето'!t2275-'[2]$ лето'!s2275-'[2]$ лето'!r2275-'[2]$ лето'!p2275-'[2]$ лето'!o2275-'[2]$ лето'!n2275-'[2]$ лето'!m2275-'[2]$ лето'!l2275+'[2]$ лето'!k2275+'[2]$ лето'!q2275+'[2]$ лето'!w2275+'[2]$ лето'!ac2275+'[2]$ лето'!ai2275+'[2]$ лето'!ao2275</f>
        <v>0</v>
      </c>
      <c r="I2275" s="109" t="n">
        <f aca="false">'[2]$ лето'!ay2275*1.05</f>
        <v>8349.6</v>
      </c>
      <c r="J2275" s="113"/>
    </row>
    <row r="2276" customFormat="false" ht="15" hidden="false" customHeight="false" outlineLevel="0" collapsed="false">
      <c r="A2276" s="120" t="s">
        <v>2851</v>
      </c>
      <c r="B2276" s="121"/>
      <c r="C2276" s="122"/>
      <c r="D2276" s="122"/>
      <c r="E2276" s="122"/>
      <c r="F2276" s="122"/>
      <c r="G2276" s="104"/>
      <c r="H2276" s="105"/>
      <c r="I2276" s="105" t="n">
        <f aca="false">'[2]$ лето'!ay2276*1.05</f>
        <v>0</v>
      </c>
      <c r="J2276" s="113"/>
    </row>
    <row r="2277" customFormat="false" ht="15" hidden="false" customHeight="false" outlineLevel="0" collapsed="false">
      <c r="A2277" s="123" t="s">
        <v>2852</v>
      </c>
      <c r="B2277" s="115" t="s">
        <v>2688</v>
      </c>
      <c r="C2277" s="107" t="s">
        <v>2853</v>
      </c>
      <c r="D2277" s="107"/>
      <c r="E2277" s="116"/>
      <c r="F2277" s="116"/>
      <c r="G2277" s="108"/>
      <c r="H2277" s="105" t="n">
        <f aca="false">'[2]$ лето'!j2277-'[2]$ лето'!au2277-'[2]$ лето'!at2277-'[2]$ лето'!as2277-'[2]$ лето'!ar2277-'[2]$ лето'!aq2277-'[2]$ лето'!ap2277-'[2]$ лето'!an2277-'[2]$ лето'!am2277-'[2]$ лето'!al2277-'[2]$ лето'!ak2277-'[2]$ лето'!aj2277-'[2]$ лето'!ah2277-'[2]$ лето'!ag2277-'[2]$ лето'!af2277-'[2]$ лето'!ae2277-'[2]$ лето'!ad2277-'[2]$ лето'!ab2277-'[2]$ лето'!aa2277-'[2]$ лето'!z2277-'[2]$ лето'!y2277-'[2]$ лето'!x2277-'[2]$ лето'!v2277-'[2]$ лето'!u2277-'[2]$ лето'!t2277-'[2]$ лето'!s2277-'[2]$ лето'!r2277-'[2]$ лето'!p2277-'[2]$ лето'!o2277-'[2]$ лето'!n2277-'[2]$ лето'!m2277-'[2]$ лето'!l2277+'[2]$ лето'!k2277+'[2]$ лето'!q2277+'[2]$ лето'!w2277+'[2]$ лето'!ac2277+'[2]$ лето'!ai2277+'[2]$ лето'!ao2277</f>
        <v>8</v>
      </c>
      <c r="I2277" s="109" t="n">
        <f aca="false">'[2]$ лето'!ay2277*1.05</f>
        <v>4305</v>
      </c>
      <c r="J2277" s="113"/>
    </row>
    <row r="2278" customFormat="false" ht="15" hidden="false" customHeight="false" outlineLevel="0" collapsed="false">
      <c r="A2278" s="123" t="s">
        <v>2852</v>
      </c>
      <c r="B2278" s="115" t="s">
        <v>2854</v>
      </c>
      <c r="C2278" s="107" t="s">
        <v>2855</v>
      </c>
      <c r="D2278" s="107"/>
      <c r="E2278" s="116"/>
      <c r="F2278" s="116"/>
      <c r="G2278" s="108"/>
      <c r="H2278" s="105" t="n">
        <f aca="false">'[2]$ лето'!j2278-'[2]$ лето'!au2278-'[2]$ лето'!at2278-'[2]$ лето'!as2278-'[2]$ лето'!ar2278-'[2]$ лето'!aq2278-'[2]$ лето'!ap2278-'[2]$ лето'!an2278-'[2]$ лето'!am2278-'[2]$ лето'!al2278-'[2]$ лето'!ak2278-'[2]$ лето'!aj2278-'[2]$ лето'!ah2278-'[2]$ лето'!ag2278-'[2]$ лето'!af2278-'[2]$ лето'!ae2278-'[2]$ лето'!ad2278-'[2]$ лето'!ab2278-'[2]$ лето'!aa2278-'[2]$ лето'!z2278-'[2]$ лето'!y2278-'[2]$ лето'!x2278-'[2]$ лето'!v2278-'[2]$ лето'!u2278-'[2]$ лето'!t2278-'[2]$ лето'!s2278-'[2]$ лето'!r2278-'[2]$ лето'!p2278-'[2]$ лето'!o2278-'[2]$ лето'!n2278-'[2]$ лето'!m2278-'[2]$ лето'!l2278+'[2]$ лето'!k2278+'[2]$ лето'!q2278+'[2]$ лето'!w2278+'[2]$ лето'!ac2278+'[2]$ лето'!ai2278+'[2]$ лето'!ao2278</f>
        <v>8</v>
      </c>
      <c r="I2278" s="109" t="n">
        <f aca="false">'[2]$ лето'!ay2278*1.05</f>
        <v>4095</v>
      </c>
      <c r="J2278" s="113"/>
    </row>
    <row r="2279" customFormat="false" ht="15" hidden="true" customHeight="false" outlineLevel="0" collapsed="false">
      <c r="A2279" s="123" t="s">
        <v>2852</v>
      </c>
      <c r="B2279" s="115" t="s">
        <v>2710</v>
      </c>
      <c r="C2279" s="116" t="s">
        <v>2856</v>
      </c>
      <c r="D2279" s="116"/>
      <c r="E2279" s="116"/>
      <c r="F2279" s="116"/>
      <c r="G2279" s="108"/>
      <c r="H2279" s="105" t="n">
        <f aca="false">'[2]$ лето'!j2279-'[2]$ лето'!au2279-'[2]$ лето'!at2279-'[2]$ лето'!as2279-'[2]$ лето'!ar2279-'[2]$ лето'!aq2279-'[2]$ лето'!ap2279-'[2]$ лето'!an2279-'[2]$ лето'!am2279-'[2]$ лето'!al2279-'[2]$ лето'!ak2279-'[2]$ лето'!aj2279-'[2]$ лето'!ah2279-'[2]$ лето'!ag2279-'[2]$ лето'!af2279-'[2]$ лето'!ae2279-'[2]$ лето'!ad2279-'[2]$ лето'!ab2279-'[2]$ лето'!aa2279-'[2]$ лето'!z2279-'[2]$ лето'!y2279-'[2]$ лето'!x2279-'[2]$ лето'!v2279-'[2]$ лето'!u2279-'[2]$ лето'!t2279-'[2]$ лето'!s2279-'[2]$ лето'!r2279-'[2]$ лето'!p2279-'[2]$ лето'!o2279-'[2]$ лето'!n2279-'[2]$ лето'!m2279-'[2]$ лето'!l2279+'[2]$ лето'!k2279+'[2]$ лето'!q2279+'[2]$ лето'!w2279+'[2]$ лето'!ac2279+'[2]$ лето'!ai2279+'[2]$ лето'!ao2279</f>
        <v>0</v>
      </c>
      <c r="I2279" s="109" t="n">
        <f aca="false">'[2]$ лето'!ay2279*1.05</f>
        <v>3465</v>
      </c>
      <c r="J2279" s="113"/>
    </row>
    <row r="2280" customFormat="false" ht="15" hidden="false" customHeight="false" outlineLevel="0" collapsed="false">
      <c r="A2280" s="123" t="s">
        <v>2857</v>
      </c>
      <c r="B2280" s="115" t="s">
        <v>2688</v>
      </c>
      <c r="C2280" s="107" t="s">
        <v>2858</v>
      </c>
      <c r="D2280" s="107"/>
      <c r="E2280" s="116"/>
      <c r="F2280" s="116"/>
      <c r="G2280" s="108"/>
      <c r="H2280" s="105" t="n">
        <f aca="false">'[2]$ лето'!j2280-'[2]$ лето'!au2280-'[2]$ лето'!at2280-'[2]$ лето'!as2280-'[2]$ лето'!ar2280-'[2]$ лето'!aq2280-'[2]$ лето'!ap2280-'[2]$ лето'!an2280-'[2]$ лето'!am2280-'[2]$ лето'!al2280-'[2]$ лето'!ak2280-'[2]$ лето'!aj2280-'[2]$ лето'!ah2280-'[2]$ лето'!ag2280-'[2]$ лето'!af2280-'[2]$ лето'!ae2280-'[2]$ лето'!ad2280-'[2]$ лето'!ab2280-'[2]$ лето'!aa2280-'[2]$ лето'!z2280-'[2]$ лето'!y2280-'[2]$ лето'!x2280-'[2]$ лето'!v2280-'[2]$ лето'!u2280-'[2]$ лето'!t2280-'[2]$ лето'!s2280-'[2]$ лето'!r2280-'[2]$ лето'!p2280-'[2]$ лето'!o2280-'[2]$ лето'!n2280-'[2]$ лето'!m2280-'[2]$ лето'!l2280+'[2]$ лето'!k2280+'[2]$ лето'!q2280+'[2]$ лето'!w2280+'[2]$ лето'!ac2280+'[2]$ лето'!ai2280+'[2]$ лето'!ao2280</f>
        <v>5</v>
      </c>
      <c r="I2280" s="109" t="n">
        <f aca="false">'[2]$ лето'!ay2280*1.05</f>
        <v>4777.5</v>
      </c>
      <c r="J2280" s="113"/>
    </row>
    <row r="2281" customFormat="false" ht="15" hidden="true" customHeight="false" outlineLevel="0" collapsed="false">
      <c r="A2281" s="123" t="s">
        <v>2857</v>
      </c>
      <c r="B2281" s="115" t="s">
        <v>2688</v>
      </c>
      <c r="C2281" s="107" t="s">
        <v>2859</v>
      </c>
      <c r="D2281" s="107"/>
      <c r="E2281" s="107"/>
      <c r="F2281" s="107"/>
      <c r="G2281" s="108"/>
      <c r="H2281" s="105" t="n">
        <f aca="false">'[2]$ лето'!j2281-'[2]$ лето'!au2281-'[2]$ лето'!at2281-'[2]$ лето'!as2281-'[2]$ лето'!ar2281-'[2]$ лето'!aq2281-'[2]$ лето'!ap2281-'[2]$ лето'!an2281-'[2]$ лето'!am2281-'[2]$ лето'!al2281-'[2]$ лето'!ak2281-'[2]$ лето'!aj2281-'[2]$ лето'!ah2281-'[2]$ лето'!ag2281-'[2]$ лето'!af2281-'[2]$ лето'!ae2281-'[2]$ лето'!ad2281-'[2]$ лето'!ab2281-'[2]$ лето'!aa2281-'[2]$ лето'!z2281-'[2]$ лето'!y2281-'[2]$ лето'!x2281-'[2]$ лето'!v2281-'[2]$ лето'!u2281-'[2]$ лето'!t2281-'[2]$ лето'!s2281-'[2]$ лето'!r2281-'[2]$ лето'!p2281-'[2]$ лето'!o2281-'[2]$ лето'!n2281-'[2]$ лето'!m2281-'[2]$ лето'!l2281+'[2]$ лето'!k2281+'[2]$ лето'!q2281+'[2]$ лето'!w2281+'[2]$ лето'!ac2281+'[2]$ лето'!ai2281+'[2]$ лето'!ao2281</f>
        <v>0</v>
      </c>
      <c r="I2281" s="109" t="n">
        <f aca="false">'[2]$ лето'!ay2281*1.05</f>
        <v>4462.5</v>
      </c>
      <c r="J2281" s="113"/>
    </row>
    <row r="2282" customFormat="false" ht="15" hidden="false" customHeight="false" outlineLevel="0" collapsed="false">
      <c r="A2282" s="123" t="s">
        <v>2857</v>
      </c>
      <c r="B2282" s="115" t="s">
        <v>2860</v>
      </c>
      <c r="C2282" s="116" t="s">
        <v>2861</v>
      </c>
      <c r="D2282" s="116"/>
      <c r="E2282" s="116"/>
      <c r="F2282" s="116"/>
      <c r="G2282" s="108"/>
      <c r="H2282" s="105" t="n">
        <f aca="false">'[2]$ лето'!j2282-'[2]$ лето'!au2282-'[2]$ лето'!at2282-'[2]$ лето'!as2282-'[2]$ лето'!ar2282-'[2]$ лето'!aq2282-'[2]$ лето'!ap2282-'[2]$ лето'!an2282-'[2]$ лето'!am2282-'[2]$ лето'!al2282-'[2]$ лето'!ak2282-'[2]$ лето'!aj2282-'[2]$ лето'!ah2282-'[2]$ лето'!ag2282-'[2]$ лето'!af2282-'[2]$ лето'!ae2282-'[2]$ лето'!ad2282-'[2]$ лето'!ab2282-'[2]$ лето'!aa2282-'[2]$ лето'!z2282-'[2]$ лето'!y2282-'[2]$ лето'!x2282-'[2]$ лето'!v2282-'[2]$ лето'!u2282-'[2]$ лето'!t2282-'[2]$ лето'!s2282-'[2]$ лето'!r2282-'[2]$ лето'!p2282-'[2]$ лето'!o2282-'[2]$ лето'!n2282-'[2]$ лето'!m2282-'[2]$ лето'!l2282+'[2]$ лето'!k2282+'[2]$ лето'!q2282+'[2]$ лето'!w2282+'[2]$ лето'!ac2282+'[2]$ лето'!ai2282+'[2]$ лето'!ao2282</f>
        <v>8</v>
      </c>
      <c r="I2282" s="109" t="n">
        <f aca="false">'[2]$ лето'!ay2282*1.05</f>
        <v>4882.5</v>
      </c>
      <c r="J2282" s="113"/>
    </row>
    <row r="2283" customFormat="false" ht="15" hidden="true" customHeight="false" outlineLevel="0" collapsed="false">
      <c r="A2283" s="123" t="s">
        <v>2857</v>
      </c>
      <c r="B2283" s="115" t="s">
        <v>2862</v>
      </c>
      <c r="C2283" s="116" t="s">
        <v>2863</v>
      </c>
      <c r="D2283" s="116"/>
      <c r="E2283" s="116"/>
      <c r="F2283" s="116"/>
      <c r="G2283" s="108"/>
      <c r="H2283" s="105" t="n">
        <f aca="false">'[2]$ лето'!j2283-'[2]$ лето'!au2283-'[2]$ лето'!at2283-'[2]$ лето'!as2283-'[2]$ лето'!ar2283-'[2]$ лето'!aq2283-'[2]$ лето'!ap2283-'[2]$ лето'!an2283-'[2]$ лето'!am2283-'[2]$ лето'!al2283-'[2]$ лето'!ak2283-'[2]$ лето'!aj2283-'[2]$ лето'!ah2283-'[2]$ лето'!ag2283-'[2]$ лето'!af2283-'[2]$ лето'!ae2283-'[2]$ лето'!ad2283-'[2]$ лето'!ab2283-'[2]$ лето'!aa2283-'[2]$ лето'!z2283-'[2]$ лето'!y2283-'[2]$ лето'!x2283-'[2]$ лето'!v2283-'[2]$ лето'!u2283-'[2]$ лето'!t2283-'[2]$ лето'!s2283-'[2]$ лето'!r2283-'[2]$ лето'!p2283-'[2]$ лето'!o2283-'[2]$ лето'!n2283-'[2]$ лето'!m2283-'[2]$ лето'!l2283+'[2]$ лето'!k2283+'[2]$ лето'!q2283+'[2]$ лето'!w2283+'[2]$ лето'!ac2283+'[2]$ лето'!ai2283+'[2]$ лето'!ao2283</f>
        <v>0</v>
      </c>
      <c r="I2283" s="109" t="n">
        <f aca="false">'[2]$ лето'!ay2283*1.05</f>
        <v>4515</v>
      </c>
      <c r="J2283" s="113"/>
    </row>
    <row r="2284" customFormat="false" ht="15" hidden="false" customHeight="false" outlineLevel="0" collapsed="false">
      <c r="A2284" s="123" t="s">
        <v>2857</v>
      </c>
      <c r="B2284" s="115" t="s">
        <v>2423</v>
      </c>
      <c r="C2284" s="116" t="s">
        <v>2853</v>
      </c>
      <c r="D2284" s="116"/>
      <c r="E2284" s="116"/>
      <c r="F2284" s="116"/>
      <c r="G2284" s="108"/>
      <c r="H2284" s="105" t="n">
        <f aca="false">'[2]$ лето'!j2284-'[2]$ лето'!au2284-'[2]$ лето'!at2284-'[2]$ лето'!as2284-'[2]$ лето'!ar2284-'[2]$ лето'!aq2284-'[2]$ лето'!ap2284-'[2]$ лето'!an2284-'[2]$ лето'!am2284-'[2]$ лето'!al2284-'[2]$ лето'!ak2284-'[2]$ лето'!aj2284-'[2]$ лето'!ah2284-'[2]$ лето'!ag2284-'[2]$ лето'!af2284-'[2]$ лето'!ae2284-'[2]$ лето'!ad2284-'[2]$ лето'!ab2284-'[2]$ лето'!aa2284-'[2]$ лето'!z2284-'[2]$ лето'!y2284-'[2]$ лето'!x2284-'[2]$ лето'!v2284-'[2]$ лето'!u2284-'[2]$ лето'!t2284-'[2]$ лето'!s2284-'[2]$ лето'!r2284-'[2]$ лето'!p2284-'[2]$ лето'!o2284-'[2]$ лето'!n2284-'[2]$ лето'!m2284-'[2]$ лето'!l2284+'[2]$ лето'!k2284+'[2]$ лето'!q2284+'[2]$ лето'!w2284+'[2]$ лето'!ac2284+'[2]$ лето'!ai2284+'[2]$ лето'!ao2284</f>
        <v>21</v>
      </c>
      <c r="I2284" s="109" t="n">
        <f aca="false">'[2]$ лето'!ay2284*1.05</f>
        <v>4830</v>
      </c>
      <c r="J2284" s="113" t="s">
        <v>2864</v>
      </c>
    </row>
    <row r="2285" customFormat="false" ht="15" hidden="true" customHeight="false" outlineLevel="0" collapsed="false">
      <c r="A2285" s="123" t="s">
        <v>2857</v>
      </c>
      <c r="B2285" s="115" t="s">
        <v>586</v>
      </c>
      <c r="C2285" s="116" t="s">
        <v>2865</v>
      </c>
      <c r="D2285" s="116"/>
      <c r="E2285" s="116"/>
      <c r="F2285" s="116"/>
      <c r="G2285" s="108" t="s">
        <v>520</v>
      </c>
      <c r="H2285" s="105" t="n">
        <f aca="false">'[2]$ лето'!j2285-'[2]$ лето'!au2285-'[2]$ лето'!at2285-'[2]$ лето'!as2285-'[2]$ лето'!ar2285-'[2]$ лето'!aq2285-'[2]$ лето'!ap2285-'[2]$ лето'!an2285-'[2]$ лето'!am2285-'[2]$ лето'!al2285-'[2]$ лето'!ak2285-'[2]$ лето'!aj2285-'[2]$ лето'!ah2285-'[2]$ лето'!ag2285-'[2]$ лето'!af2285-'[2]$ лето'!ae2285-'[2]$ лето'!ad2285-'[2]$ лето'!ab2285-'[2]$ лето'!aa2285-'[2]$ лето'!z2285-'[2]$ лето'!y2285-'[2]$ лето'!x2285-'[2]$ лето'!v2285-'[2]$ лето'!u2285-'[2]$ лето'!t2285-'[2]$ лето'!s2285-'[2]$ лето'!r2285-'[2]$ лето'!p2285-'[2]$ лето'!o2285-'[2]$ лето'!n2285-'[2]$ лето'!m2285-'[2]$ лето'!l2285+'[2]$ лето'!k2285+'[2]$ лето'!q2285+'[2]$ лето'!w2285+'[2]$ лето'!ac2285+'[2]$ лето'!ai2285+'[2]$ лето'!ao2285</f>
        <v>0</v>
      </c>
      <c r="I2285" s="109" t="n">
        <f aca="false">'[2]$ лето'!ay2285*1.05</f>
        <v>4567.5</v>
      </c>
      <c r="J2285" s="113"/>
    </row>
    <row r="2286" customFormat="false" ht="15" hidden="true" customHeight="false" outlineLevel="0" collapsed="false">
      <c r="A2286" s="123" t="s">
        <v>2857</v>
      </c>
      <c r="B2286" s="115" t="s">
        <v>2866</v>
      </c>
      <c r="C2286" s="116" t="s">
        <v>2867</v>
      </c>
      <c r="D2286" s="116"/>
      <c r="E2286" s="116"/>
      <c r="F2286" s="116"/>
      <c r="G2286" s="108"/>
      <c r="H2286" s="105" t="n">
        <f aca="false">'[2]$ лето'!j2286-'[2]$ лето'!au2286-'[2]$ лето'!at2286-'[2]$ лето'!as2286-'[2]$ лето'!ar2286-'[2]$ лето'!aq2286-'[2]$ лето'!ap2286-'[2]$ лето'!an2286-'[2]$ лето'!am2286-'[2]$ лето'!al2286-'[2]$ лето'!ak2286-'[2]$ лето'!aj2286-'[2]$ лето'!ah2286-'[2]$ лето'!ag2286-'[2]$ лето'!af2286-'[2]$ лето'!ae2286-'[2]$ лето'!ad2286-'[2]$ лето'!ab2286-'[2]$ лето'!aa2286-'[2]$ лето'!z2286-'[2]$ лето'!y2286-'[2]$ лето'!x2286-'[2]$ лето'!v2286-'[2]$ лето'!u2286-'[2]$ лето'!t2286-'[2]$ лето'!s2286-'[2]$ лето'!r2286-'[2]$ лето'!p2286-'[2]$ лето'!o2286-'[2]$ лето'!n2286-'[2]$ лето'!m2286-'[2]$ лето'!l2286+'[2]$ лето'!k2286+'[2]$ лето'!q2286+'[2]$ лето'!w2286+'[2]$ лето'!ac2286+'[2]$ лето'!ai2286+'[2]$ лето'!ao2286</f>
        <v>0</v>
      </c>
      <c r="I2286" s="109" t="n">
        <f aca="false">'[2]$ лето'!ay2286*1.05</f>
        <v>5302.5</v>
      </c>
      <c r="J2286" s="113"/>
    </row>
    <row r="2287" customFormat="false" ht="15" hidden="false" customHeight="false" outlineLevel="0" collapsed="false">
      <c r="A2287" s="123" t="s">
        <v>2857</v>
      </c>
      <c r="B2287" s="115" t="s">
        <v>2866</v>
      </c>
      <c r="C2287" s="116" t="s">
        <v>2868</v>
      </c>
      <c r="D2287" s="116"/>
      <c r="E2287" s="116"/>
      <c r="F2287" s="116"/>
      <c r="G2287" s="108"/>
      <c r="H2287" s="105" t="n">
        <f aca="false">'[2]$ лето'!j2287-'[2]$ лето'!au2287-'[2]$ лето'!at2287-'[2]$ лето'!as2287-'[2]$ лето'!ar2287-'[2]$ лето'!aq2287-'[2]$ лето'!ap2287-'[2]$ лето'!an2287-'[2]$ лето'!am2287-'[2]$ лето'!al2287-'[2]$ лето'!ak2287-'[2]$ лето'!aj2287-'[2]$ лето'!ah2287-'[2]$ лето'!ag2287-'[2]$ лето'!af2287-'[2]$ лето'!ae2287-'[2]$ лето'!ad2287-'[2]$ лето'!ab2287-'[2]$ лето'!aa2287-'[2]$ лето'!z2287-'[2]$ лето'!y2287-'[2]$ лето'!x2287-'[2]$ лето'!v2287-'[2]$ лето'!u2287-'[2]$ лето'!t2287-'[2]$ лето'!s2287-'[2]$ лето'!r2287-'[2]$ лето'!p2287-'[2]$ лето'!o2287-'[2]$ лето'!n2287-'[2]$ лето'!m2287-'[2]$ лето'!l2287+'[2]$ лето'!k2287+'[2]$ лето'!q2287+'[2]$ лето'!w2287+'[2]$ лето'!ac2287+'[2]$ лето'!ai2287+'[2]$ лето'!ao2287</f>
        <v>48</v>
      </c>
      <c r="I2287" s="109" t="n">
        <f aca="false">'[2]$ лето'!ay2287*1.05</f>
        <v>4830</v>
      </c>
      <c r="J2287" s="113"/>
    </row>
    <row r="2288" customFormat="false" ht="15" hidden="false" customHeight="false" outlineLevel="0" collapsed="false">
      <c r="A2288" s="123" t="s">
        <v>2857</v>
      </c>
      <c r="B2288" s="115" t="s">
        <v>2742</v>
      </c>
      <c r="C2288" s="116" t="s">
        <v>2869</v>
      </c>
      <c r="D2288" s="116"/>
      <c r="E2288" s="116"/>
      <c r="F2288" s="116"/>
      <c r="G2288" s="108"/>
      <c r="H2288" s="105" t="n">
        <f aca="false">'[2]$ лето'!j2288-'[2]$ лето'!au2288-'[2]$ лето'!at2288-'[2]$ лето'!as2288-'[2]$ лето'!ar2288-'[2]$ лето'!aq2288-'[2]$ лето'!ap2288-'[2]$ лето'!an2288-'[2]$ лето'!am2288-'[2]$ лето'!al2288-'[2]$ лето'!ak2288-'[2]$ лето'!aj2288-'[2]$ лето'!ah2288-'[2]$ лето'!ag2288-'[2]$ лето'!af2288-'[2]$ лето'!ae2288-'[2]$ лето'!ad2288-'[2]$ лето'!ab2288-'[2]$ лето'!aa2288-'[2]$ лето'!z2288-'[2]$ лето'!y2288-'[2]$ лето'!x2288-'[2]$ лето'!v2288-'[2]$ лето'!u2288-'[2]$ лето'!t2288-'[2]$ лето'!s2288-'[2]$ лето'!r2288-'[2]$ лето'!p2288-'[2]$ лето'!o2288-'[2]$ лето'!n2288-'[2]$ лето'!m2288-'[2]$ лето'!l2288+'[2]$ лето'!k2288+'[2]$ лето'!q2288+'[2]$ лето'!w2288+'[2]$ лето'!ac2288+'[2]$ лето'!ai2288+'[2]$ лето'!ao2288</f>
        <v>16</v>
      </c>
      <c r="I2288" s="109" t="n">
        <f aca="false">'[2]$ лето'!ay2288*1.05</f>
        <v>5250</v>
      </c>
      <c r="J2288" s="113"/>
    </row>
    <row r="2289" customFormat="false" ht="15" hidden="true" customHeight="false" outlineLevel="0" collapsed="false">
      <c r="A2289" s="123" t="s">
        <v>2870</v>
      </c>
      <c r="B2289" s="115" t="s">
        <v>2710</v>
      </c>
      <c r="C2289" s="107" t="s">
        <v>2871</v>
      </c>
      <c r="D2289" s="107"/>
      <c r="E2289" s="107"/>
      <c r="F2289" s="107"/>
      <c r="G2289" s="108"/>
      <c r="H2289" s="105" t="n">
        <f aca="false">'[2]$ лето'!j2289-'[2]$ лето'!au2289-'[2]$ лето'!at2289-'[2]$ лето'!as2289-'[2]$ лето'!ar2289-'[2]$ лето'!aq2289-'[2]$ лето'!ap2289-'[2]$ лето'!an2289-'[2]$ лето'!am2289-'[2]$ лето'!al2289-'[2]$ лето'!ak2289-'[2]$ лето'!aj2289-'[2]$ лето'!ah2289-'[2]$ лето'!ag2289-'[2]$ лето'!af2289-'[2]$ лето'!ae2289-'[2]$ лето'!ad2289-'[2]$ лето'!ab2289-'[2]$ лето'!aa2289-'[2]$ лето'!z2289-'[2]$ лето'!y2289-'[2]$ лето'!x2289-'[2]$ лето'!v2289-'[2]$ лето'!u2289-'[2]$ лето'!t2289-'[2]$ лето'!s2289-'[2]$ лето'!r2289-'[2]$ лето'!p2289-'[2]$ лето'!o2289-'[2]$ лето'!n2289-'[2]$ лето'!m2289-'[2]$ лето'!l2289+'[2]$ лето'!k2289+'[2]$ лето'!q2289+'[2]$ лето'!w2289+'[2]$ лето'!ac2289+'[2]$ лето'!ai2289+'[2]$ лето'!ao2289</f>
        <v>0</v>
      </c>
      <c r="I2289" s="109" t="n">
        <f aca="false">'[2]$ лето'!ay2289*1.05</f>
        <v>4935</v>
      </c>
      <c r="J2289" s="113"/>
    </row>
    <row r="2290" customFormat="false" ht="15" hidden="true" customHeight="false" outlineLevel="0" collapsed="false">
      <c r="A2290" s="123" t="s">
        <v>2870</v>
      </c>
      <c r="B2290" s="115" t="s">
        <v>2872</v>
      </c>
      <c r="C2290" s="116" t="s">
        <v>2873</v>
      </c>
      <c r="D2290" s="116"/>
      <c r="E2290" s="116"/>
      <c r="F2290" s="116"/>
      <c r="G2290" s="108"/>
      <c r="H2290" s="105" t="n">
        <f aca="false">'[2]$ лето'!j2290-'[2]$ лето'!au2290-'[2]$ лето'!at2290-'[2]$ лето'!as2290-'[2]$ лето'!ar2290-'[2]$ лето'!aq2290-'[2]$ лето'!ap2290-'[2]$ лето'!an2290-'[2]$ лето'!am2290-'[2]$ лето'!al2290-'[2]$ лето'!ak2290-'[2]$ лето'!aj2290-'[2]$ лето'!ah2290-'[2]$ лето'!ag2290-'[2]$ лето'!af2290-'[2]$ лето'!ae2290-'[2]$ лето'!ad2290-'[2]$ лето'!ab2290-'[2]$ лето'!aa2290-'[2]$ лето'!z2290-'[2]$ лето'!y2290-'[2]$ лето'!x2290-'[2]$ лето'!v2290-'[2]$ лето'!u2290-'[2]$ лето'!t2290-'[2]$ лето'!s2290-'[2]$ лето'!r2290-'[2]$ лето'!p2290-'[2]$ лето'!o2290-'[2]$ лето'!n2290-'[2]$ лето'!m2290-'[2]$ лето'!l2290+'[2]$ лето'!k2290+'[2]$ лето'!q2290+'[2]$ лето'!w2290+'[2]$ лето'!ac2290+'[2]$ лето'!ai2290+'[2]$ лето'!ao2290</f>
        <v>0</v>
      </c>
      <c r="I2290" s="109" t="n">
        <f aca="false">'[2]$ лето'!ay2290*1.05</f>
        <v>4252.5</v>
      </c>
      <c r="J2290" s="113"/>
    </row>
    <row r="2291" customFormat="false" ht="15" hidden="false" customHeight="false" outlineLevel="0" collapsed="false">
      <c r="A2291" s="123" t="s">
        <v>2870</v>
      </c>
      <c r="B2291" s="115" t="s">
        <v>2713</v>
      </c>
      <c r="C2291" s="116" t="s">
        <v>2874</v>
      </c>
      <c r="D2291" s="116"/>
      <c r="E2291" s="116"/>
      <c r="F2291" s="116"/>
      <c r="G2291" s="108" t="s">
        <v>520</v>
      </c>
      <c r="H2291" s="105" t="n">
        <f aca="false">'[2]$ лето'!j2291-'[2]$ лето'!au2291-'[2]$ лето'!at2291-'[2]$ лето'!as2291-'[2]$ лето'!ar2291-'[2]$ лето'!aq2291-'[2]$ лето'!ap2291-'[2]$ лето'!an2291-'[2]$ лето'!am2291-'[2]$ лето'!al2291-'[2]$ лето'!ak2291-'[2]$ лето'!aj2291-'[2]$ лето'!ah2291-'[2]$ лето'!ag2291-'[2]$ лето'!af2291-'[2]$ лето'!ae2291-'[2]$ лето'!ad2291-'[2]$ лето'!ab2291-'[2]$ лето'!aa2291-'[2]$ лето'!z2291-'[2]$ лето'!y2291-'[2]$ лето'!x2291-'[2]$ лето'!v2291-'[2]$ лето'!u2291-'[2]$ лето'!t2291-'[2]$ лето'!s2291-'[2]$ лето'!r2291-'[2]$ лето'!p2291-'[2]$ лето'!o2291-'[2]$ лето'!n2291-'[2]$ лето'!m2291-'[2]$ лето'!l2291+'[2]$ лето'!k2291+'[2]$ лето'!q2291+'[2]$ лето'!w2291+'[2]$ лето'!ac2291+'[2]$ лето'!ai2291+'[2]$ лето'!ao2291</f>
        <v>18</v>
      </c>
      <c r="I2291" s="109" t="n">
        <f aca="false">'[2]$ лето'!ay2291*1.05</f>
        <v>5250</v>
      </c>
      <c r="J2291" s="113" t="s">
        <v>2875</v>
      </c>
    </row>
    <row r="2292" customFormat="false" ht="15" hidden="true" customHeight="false" outlineLevel="0" collapsed="false">
      <c r="A2292" s="123" t="s">
        <v>2870</v>
      </c>
      <c r="B2292" s="115" t="s">
        <v>2862</v>
      </c>
      <c r="C2292" s="116" t="s">
        <v>2853</v>
      </c>
      <c r="D2292" s="116"/>
      <c r="E2292" s="116"/>
      <c r="F2292" s="116"/>
      <c r="G2292" s="108"/>
      <c r="H2292" s="105" t="n">
        <f aca="false">'[2]$ лето'!j2292-'[2]$ лето'!au2292-'[2]$ лето'!at2292-'[2]$ лето'!as2292-'[2]$ лето'!ar2292-'[2]$ лето'!aq2292-'[2]$ лето'!ap2292-'[2]$ лето'!an2292-'[2]$ лето'!am2292-'[2]$ лето'!al2292-'[2]$ лето'!ak2292-'[2]$ лето'!aj2292-'[2]$ лето'!ah2292-'[2]$ лето'!ag2292-'[2]$ лето'!af2292-'[2]$ лето'!ae2292-'[2]$ лето'!ad2292-'[2]$ лето'!ab2292-'[2]$ лето'!aa2292-'[2]$ лето'!z2292-'[2]$ лето'!y2292-'[2]$ лето'!x2292-'[2]$ лето'!v2292-'[2]$ лето'!u2292-'[2]$ лето'!t2292-'[2]$ лето'!s2292-'[2]$ лето'!r2292-'[2]$ лето'!p2292-'[2]$ лето'!o2292-'[2]$ лето'!n2292-'[2]$ лето'!m2292-'[2]$ лето'!l2292+'[2]$ лето'!k2292+'[2]$ лето'!q2292+'[2]$ лето'!w2292+'[2]$ лето'!ac2292+'[2]$ лето'!ai2292+'[2]$ лето'!ao2292</f>
        <v>0</v>
      </c>
      <c r="I2292" s="109" t="n">
        <f aca="false">'[2]$ лето'!ay2292*1.05</f>
        <v>4935</v>
      </c>
      <c r="J2292" s="113"/>
    </row>
    <row r="2293" customFormat="false" ht="15" hidden="false" customHeight="false" outlineLevel="0" collapsed="false">
      <c r="A2293" s="123" t="s">
        <v>2870</v>
      </c>
      <c r="B2293" s="115" t="s">
        <v>586</v>
      </c>
      <c r="C2293" s="116" t="s">
        <v>2865</v>
      </c>
      <c r="D2293" s="168" t="s">
        <v>2876</v>
      </c>
      <c r="E2293" s="116"/>
      <c r="F2293" s="116"/>
      <c r="G2293" s="108" t="s">
        <v>520</v>
      </c>
      <c r="H2293" s="105" t="n">
        <f aca="false">'[2]$ лето'!j2293-'[2]$ лето'!au2293-'[2]$ лето'!at2293-'[2]$ лето'!as2293-'[2]$ лето'!ar2293-'[2]$ лето'!aq2293-'[2]$ лето'!ap2293-'[2]$ лето'!an2293-'[2]$ лето'!am2293-'[2]$ лето'!al2293-'[2]$ лето'!ak2293-'[2]$ лето'!aj2293-'[2]$ лето'!ah2293-'[2]$ лето'!ag2293-'[2]$ лето'!af2293-'[2]$ лето'!ae2293-'[2]$ лето'!ad2293-'[2]$ лето'!ab2293-'[2]$ лето'!aa2293-'[2]$ лето'!z2293-'[2]$ лето'!y2293-'[2]$ лето'!x2293-'[2]$ лето'!v2293-'[2]$ лето'!u2293-'[2]$ лето'!t2293-'[2]$ лето'!s2293-'[2]$ лето'!r2293-'[2]$ лето'!p2293-'[2]$ лето'!o2293-'[2]$ лето'!n2293-'[2]$ лето'!m2293-'[2]$ лето'!l2293+'[2]$ лето'!k2293+'[2]$ лето'!q2293+'[2]$ лето'!w2293+'[2]$ лето'!ac2293+'[2]$ лето'!ai2293+'[2]$ лето'!ao2293</f>
        <v>23</v>
      </c>
      <c r="I2293" s="109" t="n">
        <f aca="false">'[2]$ лето'!ay2293*1.05</f>
        <v>5302.5</v>
      </c>
      <c r="J2293" s="113"/>
    </row>
    <row r="2294" customFormat="false" ht="15" hidden="false" customHeight="false" outlineLevel="0" collapsed="false">
      <c r="A2294" s="123" t="s">
        <v>2870</v>
      </c>
      <c r="B2294" s="115" t="s">
        <v>2866</v>
      </c>
      <c r="C2294" s="116" t="s">
        <v>2868</v>
      </c>
      <c r="D2294" s="116"/>
      <c r="E2294" s="116"/>
      <c r="F2294" s="116"/>
      <c r="G2294" s="108"/>
      <c r="H2294" s="105" t="n">
        <f aca="false">'[2]$ лето'!j2294-'[2]$ лето'!au2294-'[2]$ лето'!at2294-'[2]$ лето'!as2294-'[2]$ лето'!ar2294-'[2]$ лето'!aq2294-'[2]$ лето'!ap2294-'[2]$ лето'!an2294-'[2]$ лето'!am2294-'[2]$ лето'!al2294-'[2]$ лето'!ak2294-'[2]$ лето'!aj2294-'[2]$ лето'!ah2294-'[2]$ лето'!ag2294-'[2]$ лето'!af2294-'[2]$ лето'!ae2294-'[2]$ лето'!ad2294-'[2]$ лето'!ab2294-'[2]$ лето'!aa2294-'[2]$ лето'!z2294-'[2]$ лето'!y2294-'[2]$ лето'!x2294-'[2]$ лето'!v2294-'[2]$ лето'!u2294-'[2]$ лето'!t2294-'[2]$ лето'!s2294-'[2]$ лето'!r2294-'[2]$ лето'!p2294-'[2]$ лето'!o2294-'[2]$ лето'!n2294-'[2]$ лето'!m2294-'[2]$ лето'!l2294+'[2]$ лето'!k2294+'[2]$ лето'!q2294+'[2]$ лето'!w2294+'[2]$ лето'!ac2294+'[2]$ лето'!ai2294+'[2]$ лето'!ao2294</f>
        <v>4</v>
      </c>
      <c r="I2294" s="109" t="n">
        <f aca="false">'[2]$ лето'!ay2294*1.05</f>
        <v>5250</v>
      </c>
      <c r="J2294" s="113"/>
    </row>
    <row r="2295" customFormat="false" ht="15" hidden="true" customHeight="false" outlineLevel="0" collapsed="false">
      <c r="A2295" s="123" t="s">
        <v>2870</v>
      </c>
      <c r="B2295" s="115" t="s">
        <v>2866</v>
      </c>
      <c r="C2295" s="116" t="s">
        <v>2877</v>
      </c>
      <c r="D2295" s="116"/>
      <c r="E2295" s="116"/>
      <c r="F2295" s="116"/>
      <c r="G2295" s="108"/>
      <c r="H2295" s="105" t="n">
        <f aca="false">'[2]$ лето'!j2295-'[2]$ лето'!au2295-'[2]$ лето'!at2295-'[2]$ лето'!as2295-'[2]$ лето'!ar2295-'[2]$ лето'!aq2295-'[2]$ лето'!ap2295-'[2]$ лето'!an2295-'[2]$ лето'!am2295-'[2]$ лето'!al2295-'[2]$ лето'!ak2295-'[2]$ лето'!aj2295-'[2]$ лето'!ah2295-'[2]$ лето'!ag2295-'[2]$ лето'!af2295-'[2]$ лето'!ae2295-'[2]$ лето'!ad2295-'[2]$ лето'!ab2295-'[2]$ лето'!aa2295-'[2]$ лето'!z2295-'[2]$ лето'!y2295-'[2]$ лето'!x2295-'[2]$ лето'!v2295-'[2]$ лето'!u2295-'[2]$ лето'!t2295-'[2]$ лето'!s2295-'[2]$ лето'!r2295-'[2]$ лето'!p2295-'[2]$ лето'!o2295-'[2]$ лето'!n2295-'[2]$ лето'!m2295-'[2]$ лето'!l2295+'[2]$ лето'!k2295+'[2]$ лето'!q2295+'[2]$ лето'!w2295+'[2]$ лето'!ac2295+'[2]$ лето'!ai2295+'[2]$ лето'!ao2295</f>
        <v>0</v>
      </c>
      <c r="I2295" s="109" t="n">
        <f aca="false">'[2]$ лето'!ay2295*1.05</f>
        <v>4987.5</v>
      </c>
      <c r="J2295" s="113" t="s">
        <v>2878</v>
      </c>
    </row>
    <row r="2296" customFormat="false" ht="15" hidden="true" customHeight="false" outlineLevel="0" collapsed="false">
      <c r="A2296" s="123" t="s">
        <v>2870</v>
      </c>
      <c r="B2296" s="115" t="s">
        <v>2866</v>
      </c>
      <c r="C2296" s="116" t="s">
        <v>2879</v>
      </c>
      <c r="D2296" s="116"/>
      <c r="E2296" s="116"/>
      <c r="F2296" s="116"/>
      <c r="G2296" s="108"/>
      <c r="H2296" s="105" t="n">
        <f aca="false">'[2]$ лето'!j2296-'[2]$ лето'!au2296-'[2]$ лето'!at2296-'[2]$ лето'!as2296-'[2]$ лето'!ar2296-'[2]$ лето'!aq2296-'[2]$ лето'!ap2296-'[2]$ лето'!an2296-'[2]$ лето'!am2296-'[2]$ лето'!al2296-'[2]$ лето'!ak2296-'[2]$ лето'!aj2296-'[2]$ лето'!ah2296-'[2]$ лето'!ag2296-'[2]$ лето'!af2296-'[2]$ лето'!ae2296-'[2]$ лето'!ad2296-'[2]$ лето'!ab2296-'[2]$ лето'!aa2296-'[2]$ лето'!z2296-'[2]$ лето'!y2296-'[2]$ лето'!x2296-'[2]$ лето'!v2296-'[2]$ лето'!u2296-'[2]$ лето'!t2296-'[2]$ лето'!s2296-'[2]$ лето'!r2296-'[2]$ лето'!p2296-'[2]$ лето'!o2296-'[2]$ лето'!n2296-'[2]$ лето'!m2296-'[2]$ лето'!l2296+'[2]$ лето'!k2296+'[2]$ лето'!q2296+'[2]$ лето'!w2296+'[2]$ лето'!ac2296+'[2]$ лето'!ai2296+'[2]$ лето'!ao2296</f>
        <v>0</v>
      </c>
      <c r="I2296" s="109" t="n">
        <f aca="false">'[2]$ лето'!ay2296*1.05</f>
        <v>5407.5</v>
      </c>
      <c r="J2296" s="113" t="s">
        <v>2880</v>
      </c>
    </row>
    <row r="2297" customFormat="false" ht="15" hidden="true" customHeight="false" outlineLevel="0" collapsed="false">
      <c r="A2297" s="123" t="s">
        <v>2870</v>
      </c>
      <c r="B2297" s="115" t="s">
        <v>2881</v>
      </c>
      <c r="C2297" s="116" t="s">
        <v>2882</v>
      </c>
      <c r="D2297" s="116"/>
      <c r="E2297" s="116"/>
      <c r="F2297" s="116"/>
      <c r="G2297" s="108"/>
      <c r="H2297" s="105" t="n">
        <f aca="false">'[2]$ лето'!j2297-'[2]$ лето'!au2297-'[2]$ лето'!at2297-'[2]$ лето'!as2297-'[2]$ лето'!ar2297-'[2]$ лето'!aq2297-'[2]$ лето'!ap2297-'[2]$ лето'!an2297-'[2]$ лето'!am2297-'[2]$ лето'!al2297-'[2]$ лето'!ak2297-'[2]$ лето'!aj2297-'[2]$ лето'!ah2297-'[2]$ лето'!ag2297-'[2]$ лето'!af2297-'[2]$ лето'!ae2297-'[2]$ лето'!ad2297-'[2]$ лето'!ab2297-'[2]$ лето'!aa2297-'[2]$ лето'!z2297-'[2]$ лето'!y2297-'[2]$ лето'!x2297-'[2]$ лето'!v2297-'[2]$ лето'!u2297-'[2]$ лето'!t2297-'[2]$ лето'!s2297-'[2]$ лето'!r2297-'[2]$ лето'!p2297-'[2]$ лето'!o2297-'[2]$ лето'!n2297-'[2]$ лето'!m2297-'[2]$ лето'!l2297+'[2]$ лето'!k2297+'[2]$ лето'!q2297+'[2]$ лето'!w2297+'[2]$ лето'!ac2297+'[2]$ лето'!ai2297+'[2]$ лето'!ao2297</f>
        <v>0</v>
      </c>
      <c r="I2297" s="109" t="n">
        <f aca="false">'[2]$ лето'!ay2297*1.05</f>
        <v>5040</v>
      </c>
      <c r="J2297" s="113"/>
    </row>
    <row r="2298" customFormat="false" ht="15" hidden="true" customHeight="false" outlineLevel="0" collapsed="false">
      <c r="A2298" s="123" t="s">
        <v>2870</v>
      </c>
      <c r="B2298" s="115" t="s">
        <v>2860</v>
      </c>
      <c r="C2298" s="116" t="s">
        <v>2883</v>
      </c>
      <c r="D2298" s="116"/>
      <c r="E2298" s="116"/>
      <c r="F2298" s="116"/>
      <c r="G2298" s="108"/>
      <c r="H2298" s="105" t="n">
        <f aca="false">'[2]$ лето'!j2298-'[2]$ лето'!au2298-'[2]$ лето'!at2298-'[2]$ лето'!as2298-'[2]$ лето'!ar2298-'[2]$ лето'!aq2298-'[2]$ лето'!ap2298-'[2]$ лето'!an2298-'[2]$ лето'!am2298-'[2]$ лето'!al2298-'[2]$ лето'!ak2298-'[2]$ лето'!aj2298-'[2]$ лето'!ah2298-'[2]$ лето'!ag2298-'[2]$ лето'!af2298-'[2]$ лето'!ae2298-'[2]$ лето'!ad2298-'[2]$ лето'!ab2298-'[2]$ лето'!aa2298-'[2]$ лето'!z2298-'[2]$ лето'!y2298-'[2]$ лето'!x2298-'[2]$ лето'!v2298-'[2]$ лето'!u2298-'[2]$ лето'!t2298-'[2]$ лето'!s2298-'[2]$ лето'!r2298-'[2]$ лето'!p2298-'[2]$ лето'!o2298-'[2]$ лето'!n2298-'[2]$ лето'!m2298-'[2]$ лето'!l2298+'[2]$ лето'!k2298+'[2]$ лето'!q2298+'[2]$ лето'!w2298+'[2]$ лето'!ac2298+'[2]$ лето'!ai2298+'[2]$ лето'!ao2298</f>
        <v>0</v>
      </c>
      <c r="I2298" s="109" t="n">
        <f aca="false">'[2]$ лето'!ay2298*1.05</f>
        <v>5092.5</v>
      </c>
      <c r="J2298" s="113"/>
    </row>
    <row r="2299" customFormat="false" ht="15" hidden="true" customHeight="false" outlineLevel="0" collapsed="false">
      <c r="A2299" s="123" t="s">
        <v>2870</v>
      </c>
      <c r="B2299" s="115" t="s">
        <v>2742</v>
      </c>
      <c r="C2299" s="116" t="s">
        <v>2884</v>
      </c>
      <c r="D2299" s="116"/>
      <c r="E2299" s="116"/>
      <c r="F2299" s="116"/>
      <c r="G2299" s="108"/>
      <c r="H2299" s="105" t="n">
        <f aca="false">'[2]$ лето'!j2299-'[2]$ лето'!au2299-'[2]$ лето'!at2299-'[2]$ лето'!as2299-'[2]$ лето'!ar2299-'[2]$ лето'!aq2299-'[2]$ лето'!ap2299-'[2]$ лето'!an2299-'[2]$ лето'!am2299-'[2]$ лето'!al2299-'[2]$ лето'!ak2299-'[2]$ лето'!aj2299-'[2]$ лето'!ah2299-'[2]$ лето'!ag2299-'[2]$ лето'!af2299-'[2]$ лето'!ae2299-'[2]$ лето'!ad2299-'[2]$ лето'!ab2299-'[2]$ лето'!aa2299-'[2]$ лето'!z2299-'[2]$ лето'!y2299-'[2]$ лето'!x2299-'[2]$ лето'!v2299-'[2]$ лето'!u2299-'[2]$ лето'!t2299-'[2]$ лето'!s2299-'[2]$ лето'!r2299-'[2]$ лето'!p2299-'[2]$ лето'!o2299-'[2]$ лето'!n2299-'[2]$ лето'!m2299-'[2]$ лето'!l2299+'[2]$ лето'!k2299+'[2]$ лето'!q2299+'[2]$ лето'!w2299+'[2]$ лето'!ac2299+'[2]$ лето'!ai2299+'[2]$ лето'!ao2299</f>
        <v>0</v>
      </c>
      <c r="I2299" s="109" t="n">
        <f aca="false">'[2]$ лето'!ay2299*1.05</f>
        <v>5040</v>
      </c>
      <c r="J2299" s="113"/>
    </row>
    <row r="2300" customFormat="false" ht="15" hidden="true" customHeight="false" outlineLevel="0" collapsed="false">
      <c r="A2300" s="123" t="s">
        <v>2885</v>
      </c>
      <c r="B2300" s="115" t="s">
        <v>2886</v>
      </c>
      <c r="C2300" s="116" t="s">
        <v>2887</v>
      </c>
      <c r="D2300" s="116"/>
      <c r="E2300" s="116"/>
      <c r="F2300" s="116"/>
      <c r="G2300" s="108"/>
      <c r="H2300" s="105" t="n">
        <f aca="false">'[2]$ лето'!j2300-'[2]$ лето'!au2300-'[2]$ лето'!at2300-'[2]$ лето'!as2300-'[2]$ лето'!ar2300-'[2]$ лето'!aq2300-'[2]$ лето'!ap2300-'[2]$ лето'!an2300-'[2]$ лето'!am2300-'[2]$ лето'!al2300-'[2]$ лето'!ak2300-'[2]$ лето'!aj2300-'[2]$ лето'!ah2300-'[2]$ лето'!ag2300-'[2]$ лето'!af2300-'[2]$ лето'!ae2300-'[2]$ лето'!ad2300-'[2]$ лето'!ab2300-'[2]$ лето'!aa2300-'[2]$ лето'!z2300-'[2]$ лето'!y2300-'[2]$ лето'!x2300-'[2]$ лето'!v2300-'[2]$ лето'!u2300-'[2]$ лето'!t2300-'[2]$ лето'!s2300-'[2]$ лето'!r2300-'[2]$ лето'!p2300-'[2]$ лето'!o2300-'[2]$ лето'!n2300-'[2]$ лето'!m2300-'[2]$ лето'!l2300+'[2]$ лето'!k2300+'[2]$ лето'!q2300+'[2]$ лето'!w2300+'[2]$ лето'!ac2300+'[2]$ лето'!ai2300+'[2]$ лето'!ao2300</f>
        <v>0</v>
      </c>
      <c r="I2300" s="109" t="n">
        <f aca="false">'[2]$ лето'!ay2300*1.05</f>
        <v>6037.5</v>
      </c>
      <c r="J2300" s="113"/>
    </row>
    <row r="2301" customFormat="false" ht="15" hidden="true" customHeight="false" outlineLevel="0" collapsed="false">
      <c r="A2301" s="123" t="s">
        <v>2885</v>
      </c>
      <c r="B2301" s="115" t="s">
        <v>586</v>
      </c>
      <c r="C2301" s="116" t="s">
        <v>2865</v>
      </c>
      <c r="D2301" s="116"/>
      <c r="E2301" s="116"/>
      <c r="F2301" s="116"/>
      <c r="G2301" s="108" t="s">
        <v>520</v>
      </c>
      <c r="H2301" s="105" t="n">
        <f aca="false">'[2]$ лето'!j2301-'[2]$ лето'!au2301-'[2]$ лето'!at2301-'[2]$ лето'!as2301-'[2]$ лето'!ar2301-'[2]$ лето'!aq2301-'[2]$ лето'!ap2301-'[2]$ лето'!an2301-'[2]$ лето'!am2301-'[2]$ лето'!al2301-'[2]$ лето'!ak2301-'[2]$ лето'!aj2301-'[2]$ лето'!ah2301-'[2]$ лето'!ag2301-'[2]$ лето'!af2301-'[2]$ лето'!ae2301-'[2]$ лето'!ad2301-'[2]$ лето'!ab2301-'[2]$ лето'!aa2301-'[2]$ лето'!z2301-'[2]$ лето'!y2301-'[2]$ лето'!x2301-'[2]$ лето'!v2301-'[2]$ лето'!u2301-'[2]$ лето'!t2301-'[2]$ лето'!s2301-'[2]$ лето'!r2301-'[2]$ лето'!p2301-'[2]$ лето'!o2301-'[2]$ лето'!n2301-'[2]$ лето'!m2301-'[2]$ лето'!l2301+'[2]$ лето'!k2301+'[2]$ лето'!q2301+'[2]$ лето'!w2301+'[2]$ лето'!ac2301+'[2]$ лето'!ai2301+'[2]$ лето'!ao2301</f>
        <v>0</v>
      </c>
      <c r="I2301" s="109" t="n">
        <f aca="false">'[2]$ лето'!ay2301*1.05</f>
        <v>5775</v>
      </c>
      <c r="J2301" s="113"/>
    </row>
    <row r="2302" customFormat="false" ht="15" hidden="false" customHeight="false" outlineLevel="0" collapsed="false">
      <c r="A2302" s="123" t="s">
        <v>2885</v>
      </c>
      <c r="B2302" s="115" t="s">
        <v>2888</v>
      </c>
      <c r="C2302" s="116" t="s">
        <v>2882</v>
      </c>
      <c r="D2302" s="116"/>
      <c r="E2302" s="116"/>
      <c r="F2302" s="116"/>
      <c r="G2302" s="108"/>
      <c r="H2302" s="105" t="n">
        <f aca="false">'[2]$ лето'!j2302-'[2]$ лето'!au2302-'[2]$ лето'!at2302-'[2]$ лето'!as2302-'[2]$ лето'!ar2302-'[2]$ лето'!aq2302-'[2]$ лето'!ap2302-'[2]$ лето'!an2302-'[2]$ лето'!am2302-'[2]$ лето'!al2302-'[2]$ лето'!ak2302-'[2]$ лето'!aj2302-'[2]$ лето'!ah2302-'[2]$ лето'!ag2302-'[2]$ лето'!af2302-'[2]$ лето'!ae2302-'[2]$ лето'!ad2302-'[2]$ лето'!ab2302-'[2]$ лето'!aa2302-'[2]$ лето'!z2302-'[2]$ лето'!y2302-'[2]$ лето'!x2302-'[2]$ лето'!v2302-'[2]$ лето'!u2302-'[2]$ лето'!t2302-'[2]$ лето'!s2302-'[2]$ лето'!r2302-'[2]$ лето'!p2302-'[2]$ лето'!o2302-'[2]$ лето'!n2302-'[2]$ лето'!m2302-'[2]$ лето'!l2302+'[2]$ лето'!k2302+'[2]$ лето'!q2302+'[2]$ лето'!w2302+'[2]$ лето'!ac2302+'[2]$ лето'!ai2302+'[2]$ лето'!ao2302</f>
        <v>4</v>
      </c>
      <c r="I2302" s="109" t="n">
        <f aca="false">'[2]$ лето'!ay2302*1.05</f>
        <v>6090</v>
      </c>
      <c r="J2302" s="113"/>
    </row>
    <row r="2303" customFormat="false" ht="15" hidden="true" customHeight="false" outlineLevel="0" collapsed="false">
      <c r="A2303" s="123" t="s">
        <v>2889</v>
      </c>
      <c r="B2303" s="115" t="s">
        <v>2688</v>
      </c>
      <c r="C2303" s="116" t="s">
        <v>2890</v>
      </c>
      <c r="D2303" s="116"/>
      <c r="E2303" s="116"/>
      <c r="F2303" s="116"/>
      <c r="G2303" s="108"/>
      <c r="H2303" s="105" t="n">
        <f aca="false">'[2]$ лето'!j2303-'[2]$ лето'!au2303-'[2]$ лето'!at2303-'[2]$ лето'!as2303-'[2]$ лето'!ar2303-'[2]$ лето'!aq2303-'[2]$ лето'!ap2303-'[2]$ лето'!an2303-'[2]$ лето'!am2303-'[2]$ лето'!al2303-'[2]$ лето'!ak2303-'[2]$ лето'!aj2303-'[2]$ лето'!ah2303-'[2]$ лето'!ag2303-'[2]$ лето'!af2303-'[2]$ лето'!ae2303-'[2]$ лето'!ad2303-'[2]$ лето'!ab2303-'[2]$ лето'!aa2303-'[2]$ лето'!z2303-'[2]$ лето'!y2303-'[2]$ лето'!x2303-'[2]$ лето'!v2303-'[2]$ лето'!u2303-'[2]$ лето'!t2303-'[2]$ лето'!s2303-'[2]$ лето'!r2303-'[2]$ лето'!p2303-'[2]$ лето'!o2303-'[2]$ лето'!n2303-'[2]$ лето'!m2303-'[2]$ лето'!l2303+'[2]$ лето'!k2303+'[2]$ лето'!q2303+'[2]$ лето'!w2303+'[2]$ лето'!ac2303+'[2]$ лето'!ai2303+'[2]$ лето'!ao2303</f>
        <v>0</v>
      </c>
      <c r="I2303" s="109" t="n">
        <f aca="false">'[2]$ лето'!ay2303*1.05</f>
        <v>4935</v>
      </c>
      <c r="J2303" s="113"/>
    </row>
    <row r="2304" customFormat="false" ht="15" hidden="true" customHeight="false" outlineLevel="0" collapsed="false">
      <c r="A2304" s="123" t="s">
        <v>2889</v>
      </c>
      <c r="B2304" s="115" t="s">
        <v>2891</v>
      </c>
      <c r="C2304" s="116" t="s">
        <v>2892</v>
      </c>
      <c r="D2304" s="116"/>
      <c r="E2304" s="116"/>
      <c r="F2304" s="116"/>
      <c r="G2304" s="108"/>
      <c r="H2304" s="105" t="n">
        <f aca="false">'[2]$ лето'!j2304-'[2]$ лето'!au2304-'[2]$ лето'!at2304-'[2]$ лето'!as2304-'[2]$ лето'!ar2304-'[2]$ лето'!aq2304-'[2]$ лето'!ap2304-'[2]$ лето'!an2304-'[2]$ лето'!am2304-'[2]$ лето'!al2304-'[2]$ лето'!ak2304-'[2]$ лето'!aj2304-'[2]$ лето'!ah2304-'[2]$ лето'!ag2304-'[2]$ лето'!af2304-'[2]$ лето'!ae2304-'[2]$ лето'!ad2304-'[2]$ лето'!ab2304-'[2]$ лето'!aa2304-'[2]$ лето'!z2304-'[2]$ лето'!y2304-'[2]$ лето'!x2304-'[2]$ лето'!v2304-'[2]$ лето'!u2304-'[2]$ лето'!t2304-'[2]$ лето'!s2304-'[2]$ лето'!r2304-'[2]$ лето'!p2304-'[2]$ лето'!o2304-'[2]$ лето'!n2304-'[2]$ лето'!m2304-'[2]$ лето'!l2304+'[2]$ лето'!k2304+'[2]$ лето'!q2304+'[2]$ лето'!w2304+'[2]$ лето'!ac2304+'[2]$ лето'!ai2304+'[2]$ лето'!ao2304</f>
        <v>0</v>
      </c>
      <c r="I2304" s="109" t="n">
        <f aca="false">'[2]$ лето'!ay2304*1.05</f>
        <v>6405</v>
      </c>
      <c r="J2304" s="113"/>
    </row>
    <row r="2305" customFormat="false" ht="15" hidden="false" customHeight="false" outlineLevel="0" collapsed="false">
      <c r="A2305" s="120" t="s">
        <v>2893</v>
      </c>
      <c r="B2305" s="121"/>
      <c r="C2305" s="122"/>
      <c r="D2305" s="122"/>
      <c r="E2305" s="122"/>
      <c r="F2305" s="122"/>
      <c r="G2305" s="104"/>
      <c r="H2305" s="105"/>
      <c r="I2305" s="105" t="n">
        <f aca="false">'[2]$ лето'!ay2305*1.05</f>
        <v>0</v>
      </c>
    </row>
    <row r="2306" customFormat="false" ht="15" hidden="true" customHeight="false" outlineLevel="0" collapsed="false">
      <c r="A2306" s="115" t="s">
        <v>2894</v>
      </c>
      <c r="B2306" s="123" t="s">
        <v>2688</v>
      </c>
      <c r="C2306" s="107" t="s">
        <v>2895</v>
      </c>
      <c r="D2306" s="107"/>
      <c r="E2306" s="107"/>
      <c r="F2306" s="107"/>
      <c r="G2306" s="108"/>
      <c r="H2306" s="105" t="n">
        <f aca="false">'[2]$ лето'!j2306-'[2]$ лето'!au2306-'[2]$ лето'!at2306-'[2]$ лето'!as2306-'[2]$ лето'!ar2306-'[2]$ лето'!aq2306-'[2]$ лето'!ap2306-'[2]$ лето'!an2306-'[2]$ лето'!am2306-'[2]$ лето'!al2306-'[2]$ лето'!ak2306-'[2]$ лето'!aj2306-'[2]$ лето'!ah2306-'[2]$ лето'!ag2306-'[2]$ лето'!af2306-'[2]$ лето'!ae2306-'[2]$ лето'!ad2306-'[2]$ лето'!ab2306-'[2]$ лето'!aa2306-'[2]$ лето'!z2306-'[2]$ лето'!y2306-'[2]$ лето'!x2306-'[2]$ лето'!v2306-'[2]$ лето'!u2306-'[2]$ лето'!t2306-'[2]$ лето'!s2306-'[2]$ лето'!r2306-'[2]$ лето'!p2306-'[2]$ лето'!o2306-'[2]$ лето'!n2306-'[2]$ лето'!m2306-'[2]$ лето'!l2306+'[2]$ лето'!k2306+'[2]$ лето'!q2306+'[2]$ лето'!w2306+'[2]$ лето'!ac2306+'[2]$ лето'!ai2306+'[2]$ лето'!ao2306</f>
        <v>0</v>
      </c>
      <c r="I2306" s="109" t="n">
        <f aca="false">'[2]$ лето'!ay2306*1.05</f>
        <v>4620</v>
      </c>
    </row>
    <row r="2307" customFormat="false" ht="15" hidden="true" customHeight="false" outlineLevel="0" collapsed="false">
      <c r="A2307" s="115" t="s">
        <v>2894</v>
      </c>
      <c r="B2307" s="123" t="s">
        <v>2688</v>
      </c>
      <c r="C2307" s="107" t="s">
        <v>2896</v>
      </c>
      <c r="D2307" s="107"/>
      <c r="E2307" s="107"/>
      <c r="F2307" s="107"/>
      <c r="G2307" s="108"/>
      <c r="H2307" s="105" t="n">
        <f aca="false">'[2]$ лето'!j2307-'[2]$ лето'!au2307-'[2]$ лето'!at2307-'[2]$ лето'!as2307-'[2]$ лето'!ar2307-'[2]$ лето'!aq2307-'[2]$ лето'!ap2307-'[2]$ лето'!an2307-'[2]$ лето'!am2307-'[2]$ лето'!al2307-'[2]$ лето'!ak2307-'[2]$ лето'!aj2307-'[2]$ лето'!ah2307-'[2]$ лето'!ag2307-'[2]$ лето'!af2307-'[2]$ лето'!ae2307-'[2]$ лето'!ad2307-'[2]$ лето'!ab2307-'[2]$ лето'!aa2307-'[2]$ лето'!z2307-'[2]$ лето'!y2307-'[2]$ лето'!x2307-'[2]$ лето'!v2307-'[2]$ лето'!u2307-'[2]$ лето'!t2307-'[2]$ лето'!s2307-'[2]$ лето'!r2307-'[2]$ лето'!p2307-'[2]$ лето'!o2307-'[2]$ лето'!n2307-'[2]$ лето'!m2307-'[2]$ лето'!l2307+'[2]$ лето'!k2307+'[2]$ лето'!q2307+'[2]$ лето'!w2307+'[2]$ лето'!ac2307+'[2]$ лето'!ai2307+'[2]$ лето'!ao2307</f>
        <v>0</v>
      </c>
      <c r="I2307" s="109" t="n">
        <f aca="false">'[2]$ лето'!ay2307*1.05</f>
        <v>4620</v>
      </c>
    </row>
    <row r="2308" customFormat="false" ht="15" hidden="true" customHeight="false" outlineLevel="0" collapsed="false">
      <c r="A2308" s="115" t="s">
        <v>2894</v>
      </c>
      <c r="B2308" s="123" t="s">
        <v>991</v>
      </c>
      <c r="C2308" s="107" t="s">
        <v>2897</v>
      </c>
      <c r="D2308" s="107"/>
      <c r="E2308" s="107"/>
      <c r="F2308" s="107"/>
      <c r="G2308" s="108" t="s">
        <v>520</v>
      </c>
      <c r="H2308" s="105" t="n">
        <f aca="false">'[2]$ лето'!j2308-'[2]$ лето'!au2308-'[2]$ лето'!at2308-'[2]$ лето'!as2308-'[2]$ лето'!ar2308-'[2]$ лето'!aq2308-'[2]$ лето'!ap2308-'[2]$ лето'!an2308-'[2]$ лето'!am2308-'[2]$ лето'!al2308-'[2]$ лето'!ak2308-'[2]$ лето'!aj2308-'[2]$ лето'!ah2308-'[2]$ лето'!ag2308-'[2]$ лето'!af2308-'[2]$ лето'!ae2308-'[2]$ лето'!ad2308-'[2]$ лето'!ab2308-'[2]$ лето'!aa2308-'[2]$ лето'!z2308-'[2]$ лето'!y2308-'[2]$ лето'!x2308-'[2]$ лето'!v2308-'[2]$ лето'!u2308-'[2]$ лето'!t2308-'[2]$ лето'!s2308-'[2]$ лето'!r2308-'[2]$ лето'!p2308-'[2]$ лето'!o2308-'[2]$ лето'!n2308-'[2]$ лето'!m2308-'[2]$ лето'!l2308+'[2]$ лето'!k2308+'[2]$ лето'!q2308+'[2]$ лето'!w2308+'[2]$ лето'!ac2308+'[2]$ лето'!ai2308+'[2]$ лето'!ao2308</f>
        <v>0</v>
      </c>
      <c r="I2308" s="109" t="n">
        <f aca="false">'[2]$ лето'!ay2308*1.05</f>
        <v>6247.5</v>
      </c>
    </row>
    <row r="2309" customFormat="false" ht="15" hidden="false" customHeight="false" outlineLevel="0" collapsed="false">
      <c r="A2309" s="115" t="s">
        <v>2894</v>
      </c>
      <c r="B2309" s="123" t="s">
        <v>2898</v>
      </c>
      <c r="C2309" s="107" t="s">
        <v>2899</v>
      </c>
      <c r="D2309" s="107"/>
      <c r="E2309" s="116"/>
      <c r="F2309" s="116"/>
      <c r="G2309" s="108"/>
      <c r="H2309" s="105" t="n">
        <f aca="false">'[2]$ лето'!j2309-'[2]$ лето'!au2309-'[2]$ лето'!at2309-'[2]$ лето'!as2309-'[2]$ лето'!ar2309-'[2]$ лето'!aq2309-'[2]$ лето'!ap2309-'[2]$ лето'!an2309-'[2]$ лето'!am2309-'[2]$ лето'!al2309-'[2]$ лето'!ak2309-'[2]$ лето'!aj2309-'[2]$ лето'!ah2309-'[2]$ лето'!ag2309-'[2]$ лето'!af2309-'[2]$ лето'!ae2309-'[2]$ лето'!ad2309-'[2]$ лето'!ab2309-'[2]$ лето'!aa2309-'[2]$ лето'!z2309-'[2]$ лето'!y2309-'[2]$ лето'!x2309-'[2]$ лето'!v2309-'[2]$ лето'!u2309-'[2]$ лето'!t2309-'[2]$ лето'!s2309-'[2]$ лето'!r2309-'[2]$ лето'!p2309-'[2]$ лето'!o2309-'[2]$ лето'!n2309-'[2]$ лето'!m2309-'[2]$ лето'!l2309+'[2]$ лето'!k2309+'[2]$ лето'!q2309+'[2]$ лето'!w2309+'[2]$ лето'!ac2309+'[2]$ лето'!ai2309+'[2]$ лето'!ao2309</f>
        <v>4</v>
      </c>
      <c r="I2309" s="109" t="n">
        <f aca="false">'[2]$ лето'!ay2309*1.05</f>
        <v>5367.6</v>
      </c>
      <c r="J2309" s="85" t="n">
        <v>2017</v>
      </c>
    </row>
    <row r="2310" customFormat="false" ht="15" hidden="true" customHeight="false" outlineLevel="0" collapsed="false">
      <c r="A2310" s="115" t="s">
        <v>2894</v>
      </c>
      <c r="B2310" s="123" t="s">
        <v>583</v>
      </c>
      <c r="C2310" s="107" t="s">
        <v>2693</v>
      </c>
      <c r="D2310" s="107"/>
      <c r="E2310" s="107"/>
      <c r="F2310" s="107"/>
      <c r="G2310" s="108"/>
      <c r="H2310" s="105" t="n">
        <f aca="false">'[2]$ лето'!j2310-'[2]$ лето'!au2310-'[2]$ лето'!at2310-'[2]$ лето'!as2310-'[2]$ лето'!ar2310-'[2]$ лето'!aq2310-'[2]$ лето'!ap2310-'[2]$ лето'!an2310-'[2]$ лето'!am2310-'[2]$ лето'!al2310-'[2]$ лето'!ak2310-'[2]$ лето'!aj2310-'[2]$ лето'!ah2310-'[2]$ лето'!ag2310-'[2]$ лето'!af2310-'[2]$ лето'!ae2310-'[2]$ лето'!ad2310-'[2]$ лето'!ab2310-'[2]$ лето'!aa2310-'[2]$ лето'!z2310-'[2]$ лето'!y2310-'[2]$ лето'!x2310-'[2]$ лето'!v2310-'[2]$ лето'!u2310-'[2]$ лето'!t2310-'[2]$ лето'!s2310-'[2]$ лето'!r2310-'[2]$ лето'!p2310-'[2]$ лето'!o2310-'[2]$ лето'!n2310-'[2]$ лето'!m2310-'[2]$ лето'!l2310+'[2]$ лето'!k2310+'[2]$ лето'!q2310+'[2]$ лето'!w2310+'[2]$ лето'!ac2310+'[2]$ лето'!ai2310+'[2]$ лето'!ao2310</f>
        <v>0</v>
      </c>
      <c r="I2310" s="109" t="n">
        <f aca="false">'[2]$ лето'!ay2310*1.05</f>
        <v>7216.44</v>
      </c>
    </row>
    <row r="2311" customFormat="false" ht="15" hidden="true" customHeight="false" outlineLevel="0" collapsed="false">
      <c r="A2311" s="115" t="s">
        <v>2894</v>
      </c>
      <c r="B2311" s="123" t="s">
        <v>583</v>
      </c>
      <c r="C2311" s="107" t="s">
        <v>2900</v>
      </c>
      <c r="D2311" s="107"/>
      <c r="E2311" s="107"/>
      <c r="F2311" s="107"/>
      <c r="G2311" s="108"/>
      <c r="H2311" s="105" t="n">
        <f aca="false">'[2]$ лето'!j2311-'[2]$ лето'!au2311-'[2]$ лето'!at2311-'[2]$ лето'!as2311-'[2]$ лето'!ar2311-'[2]$ лето'!aq2311-'[2]$ лето'!ap2311-'[2]$ лето'!an2311-'[2]$ лето'!am2311-'[2]$ лето'!al2311-'[2]$ лето'!ak2311-'[2]$ лето'!aj2311-'[2]$ лето'!ah2311-'[2]$ лето'!ag2311-'[2]$ лето'!af2311-'[2]$ лето'!ae2311-'[2]$ лето'!ad2311-'[2]$ лето'!ab2311-'[2]$ лето'!aa2311-'[2]$ лето'!z2311-'[2]$ лето'!y2311-'[2]$ лето'!x2311-'[2]$ лето'!v2311-'[2]$ лето'!u2311-'[2]$ лето'!t2311-'[2]$ лето'!s2311-'[2]$ лето'!r2311-'[2]$ лето'!p2311-'[2]$ лето'!o2311-'[2]$ лето'!n2311-'[2]$ лето'!m2311-'[2]$ лето'!l2311+'[2]$ лето'!k2311+'[2]$ лето'!q2311+'[2]$ лето'!w2311+'[2]$ лето'!ac2311+'[2]$ лето'!ai2311+'[2]$ лето'!ao2311</f>
        <v>0</v>
      </c>
      <c r="I2311" s="109" t="n">
        <f aca="false">'[2]$ лето'!ay2311*1.05</f>
        <v>7305.9</v>
      </c>
    </row>
    <row r="2312" customFormat="false" ht="15" hidden="false" customHeight="false" outlineLevel="0" collapsed="false">
      <c r="A2312" s="115" t="s">
        <v>2894</v>
      </c>
      <c r="B2312" s="123" t="s">
        <v>564</v>
      </c>
      <c r="C2312" s="107" t="s">
        <v>2901</v>
      </c>
      <c r="D2312" s="107"/>
      <c r="E2312" s="116"/>
      <c r="F2312" s="116"/>
      <c r="G2312" s="108" t="s">
        <v>520</v>
      </c>
      <c r="H2312" s="105" t="n">
        <f aca="false">'[2]$ лето'!j2312-'[2]$ лето'!au2312-'[2]$ лето'!at2312-'[2]$ лето'!as2312-'[2]$ лето'!ar2312-'[2]$ лето'!aq2312-'[2]$ лето'!ap2312-'[2]$ лето'!an2312-'[2]$ лето'!am2312-'[2]$ лето'!al2312-'[2]$ лето'!ak2312-'[2]$ лето'!aj2312-'[2]$ лето'!ah2312-'[2]$ лето'!ag2312-'[2]$ лето'!af2312-'[2]$ лето'!ae2312-'[2]$ лето'!ad2312-'[2]$ лето'!ab2312-'[2]$ лето'!aa2312-'[2]$ лето'!z2312-'[2]$ лето'!y2312-'[2]$ лето'!x2312-'[2]$ лето'!v2312-'[2]$ лето'!u2312-'[2]$ лето'!t2312-'[2]$ лето'!s2312-'[2]$ лето'!r2312-'[2]$ лето'!p2312-'[2]$ лето'!o2312-'[2]$ лето'!n2312-'[2]$ лето'!m2312-'[2]$ лето'!l2312+'[2]$ лето'!k2312+'[2]$ лето'!q2312+'[2]$ лето'!w2312+'[2]$ лето'!ac2312+'[2]$ лето'!ai2312+'[2]$ лето'!ao2312</f>
        <v>4</v>
      </c>
      <c r="I2312" s="109" t="n">
        <f aca="false">'[2]$ лето'!ay2312*1.05</f>
        <v>5665.8</v>
      </c>
    </row>
    <row r="2313" customFormat="false" ht="15" hidden="true" customHeight="false" outlineLevel="0" collapsed="false">
      <c r="A2313" s="115" t="s">
        <v>2894</v>
      </c>
      <c r="B2313" s="123" t="s">
        <v>564</v>
      </c>
      <c r="C2313" s="107" t="s">
        <v>2884</v>
      </c>
      <c r="D2313" s="107"/>
      <c r="E2313" s="107"/>
      <c r="F2313" s="107"/>
      <c r="G2313" s="108" t="s">
        <v>520</v>
      </c>
      <c r="H2313" s="105" t="n">
        <f aca="false">'[2]$ лето'!j2313-'[2]$ лето'!au2313-'[2]$ лето'!at2313-'[2]$ лето'!as2313-'[2]$ лето'!ar2313-'[2]$ лето'!aq2313-'[2]$ лето'!ap2313-'[2]$ лето'!an2313-'[2]$ лето'!am2313-'[2]$ лето'!al2313-'[2]$ лето'!ak2313-'[2]$ лето'!aj2313-'[2]$ лето'!ah2313-'[2]$ лето'!ag2313-'[2]$ лето'!af2313-'[2]$ лето'!ae2313-'[2]$ лето'!ad2313-'[2]$ лето'!ab2313-'[2]$ лето'!aa2313-'[2]$ лето'!z2313-'[2]$ лето'!y2313-'[2]$ лето'!x2313-'[2]$ лето'!v2313-'[2]$ лето'!u2313-'[2]$ лето'!t2313-'[2]$ лето'!s2313-'[2]$ лето'!r2313-'[2]$ лето'!p2313-'[2]$ лето'!o2313-'[2]$ лето'!n2313-'[2]$ лето'!m2313-'[2]$ лето'!l2313+'[2]$ лето'!k2313+'[2]$ лето'!q2313+'[2]$ лето'!w2313+'[2]$ лето'!ac2313+'[2]$ лето'!ai2313+'[2]$ лето'!ao2313</f>
        <v>0</v>
      </c>
      <c r="I2313" s="109" t="n">
        <f aca="false">'[2]$ лето'!ay2313*1.05</f>
        <v>4920.3</v>
      </c>
    </row>
    <row r="2314" customFormat="false" ht="15" hidden="false" customHeight="false" outlineLevel="0" collapsed="false">
      <c r="A2314" s="115" t="s">
        <v>2902</v>
      </c>
      <c r="B2314" s="115" t="s">
        <v>583</v>
      </c>
      <c r="C2314" s="116" t="s">
        <v>2903</v>
      </c>
      <c r="D2314" s="116"/>
      <c r="E2314" s="116"/>
      <c r="F2314" s="116"/>
      <c r="G2314" s="108" t="s">
        <v>585</v>
      </c>
      <c r="H2314" s="105" t="n">
        <f aca="false">'[2]$ лето'!j2314-'[2]$ лето'!au2314-'[2]$ лето'!at2314-'[2]$ лето'!as2314-'[2]$ лето'!ar2314-'[2]$ лето'!aq2314-'[2]$ лето'!ap2314-'[2]$ лето'!an2314-'[2]$ лето'!am2314-'[2]$ лето'!al2314-'[2]$ лето'!ak2314-'[2]$ лето'!aj2314-'[2]$ лето'!ah2314-'[2]$ лето'!ag2314-'[2]$ лето'!af2314-'[2]$ лето'!ae2314-'[2]$ лето'!ad2314-'[2]$ лето'!ab2314-'[2]$ лето'!aa2314-'[2]$ лето'!z2314-'[2]$ лето'!y2314-'[2]$ лето'!x2314-'[2]$ лето'!v2314-'[2]$ лето'!u2314-'[2]$ лето'!t2314-'[2]$ лето'!s2314-'[2]$ лето'!r2314-'[2]$ лето'!p2314-'[2]$ лето'!o2314-'[2]$ лето'!n2314-'[2]$ лето'!m2314-'[2]$ лето'!l2314+'[2]$ лето'!k2314+'[2]$ лето'!q2314+'[2]$ лето'!w2314+'[2]$ лето'!ac2314+'[2]$ лето'!ai2314+'[2]$ лето'!ao2314</f>
        <v>2</v>
      </c>
      <c r="I2314" s="109" t="n">
        <f aca="false">'[2]$ лето'!ay2314*1.05</f>
        <v>9095.1</v>
      </c>
      <c r="J2314" s="85" t="n">
        <v>2017</v>
      </c>
    </row>
    <row r="2315" customFormat="false" ht="15" hidden="false" customHeight="false" outlineLevel="0" collapsed="false">
      <c r="A2315" s="115" t="s">
        <v>2904</v>
      </c>
      <c r="B2315" s="115" t="s">
        <v>2705</v>
      </c>
      <c r="C2315" s="116" t="s">
        <v>2905</v>
      </c>
      <c r="D2315" s="116"/>
      <c r="E2315" s="116"/>
      <c r="F2315" s="116"/>
      <c r="G2315" s="108"/>
      <c r="H2315" s="105" t="n">
        <f aca="false">'[2]$ лето'!j2315-'[2]$ лето'!au2315-'[2]$ лето'!at2315-'[2]$ лето'!as2315-'[2]$ лето'!ar2315-'[2]$ лето'!aq2315-'[2]$ лето'!ap2315-'[2]$ лето'!an2315-'[2]$ лето'!am2315-'[2]$ лето'!al2315-'[2]$ лето'!ak2315-'[2]$ лето'!aj2315-'[2]$ лето'!ah2315-'[2]$ лето'!ag2315-'[2]$ лето'!af2315-'[2]$ лето'!ae2315-'[2]$ лето'!ad2315-'[2]$ лето'!ab2315-'[2]$ лето'!aa2315-'[2]$ лето'!z2315-'[2]$ лето'!y2315-'[2]$ лето'!x2315-'[2]$ лето'!v2315-'[2]$ лето'!u2315-'[2]$ лето'!t2315-'[2]$ лето'!s2315-'[2]$ лето'!r2315-'[2]$ лето'!p2315-'[2]$ лето'!o2315-'[2]$ лето'!n2315-'[2]$ лето'!m2315-'[2]$ лето'!l2315+'[2]$ лето'!k2315+'[2]$ лето'!q2315+'[2]$ лето'!w2315+'[2]$ лето'!ac2315+'[2]$ лето'!ai2315+'[2]$ лето'!ao2315</f>
        <v>4</v>
      </c>
      <c r="I2315" s="109" t="n">
        <f aca="false">'[2]$ лето'!ay2315*1.05</f>
        <v>5302.5</v>
      </c>
    </row>
    <row r="2316" customFormat="false" ht="15" hidden="true" customHeight="false" outlineLevel="0" collapsed="false">
      <c r="A2316" s="115" t="s">
        <v>2904</v>
      </c>
      <c r="B2316" s="123" t="s">
        <v>2688</v>
      </c>
      <c r="C2316" s="107" t="s">
        <v>2906</v>
      </c>
      <c r="D2316" s="107"/>
      <c r="E2316" s="107"/>
      <c r="F2316" s="107"/>
      <c r="G2316" s="108"/>
      <c r="H2316" s="105" t="n">
        <f aca="false">'[2]$ лето'!j2316-'[2]$ лето'!au2316-'[2]$ лето'!at2316-'[2]$ лето'!as2316-'[2]$ лето'!ar2316-'[2]$ лето'!aq2316-'[2]$ лето'!ap2316-'[2]$ лето'!an2316-'[2]$ лето'!am2316-'[2]$ лето'!al2316-'[2]$ лето'!ak2316-'[2]$ лето'!aj2316-'[2]$ лето'!ah2316-'[2]$ лето'!ag2316-'[2]$ лето'!af2316-'[2]$ лето'!ae2316-'[2]$ лето'!ad2316-'[2]$ лето'!ab2316-'[2]$ лето'!aa2316-'[2]$ лето'!z2316-'[2]$ лето'!y2316-'[2]$ лето'!x2316-'[2]$ лето'!v2316-'[2]$ лето'!u2316-'[2]$ лето'!t2316-'[2]$ лето'!s2316-'[2]$ лето'!r2316-'[2]$ лето'!p2316-'[2]$ лето'!o2316-'[2]$ лето'!n2316-'[2]$ лето'!m2316-'[2]$ лето'!l2316+'[2]$ лето'!k2316+'[2]$ лето'!q2316+'[2]$ лето'!w2316+'[2]$ лето'!ac2316+'[2]$ лето'!ai2316+'[2]$ лето'!ao2316</f>
        <v>0</v>
      </c>
      <c r="I2316" s="109" t="n">
        <f aca="false">'[2]$ лето'!ay2316*1.05</f>
        <v>5250</v>
      </c>
    </row>
    <row r="2317" customFormat="false" ht="15" hidden="true" customHeight="false" outlineLevel="0" collapsed="false">
      <c r="A2317" s="115" t="s">
        <v>2904</v>
      </c>
      <c r="B2317" s="123" t="s">
        <v>2688</v>
      </c>
      <c r="C2317" s="107" t="s">
        <v>2907</v>
      </c>
      <c r="D2317" s="107"/>
      <c r="E2317" s="107"/>
      <c r="F2317" s="107"/>
      <c r="G2317" s="108"/>
      <c r="H2317" s="105" t="n">
        <f aca="false">'[2]$ лето'!j2317-'[2]$ лето'!au2317-'[2]$ лето'!at2317-'[2]$ лето'!as2317-'[2]$ лето'!ar2317-'[2]$ лето'!aq2317-'[2]$ лето'!ap2317-'[2]$ лето'!an2317-'[2]$ лето'!am2317-'[2]$ лето'!al2317-'[2]$ лето'!ak2317-'[2]$ лето'!aj2317-'[2]$ лето'!ah2317-'[2]$ лето'!ag2317-'[2]$ лето'!af2317-'[2]$ лето'!ae2317-'[2]$ лето'!ad2317-'[2]$ лето'!ab2317-'[2]$ лето'!aa2317-'[2]$ лето'!z2317-'[2]$ лето'!y2317-'[2]$ лето'!x2317-'[2]$ лето'!v2317-'[2]$ лето'!u2317-'[2]$ лето'!t2317-'[2]$ лето'!s2317-'[2]$ лето'!r2317-'[2]$ лето'!p2317-'[2]$ лето'!o2317-'[2]$ лето'!n2317-'[2]$ лето'!m2317-'[2]$ лето'!l2317+'[2]$ лето'!k2317+'[2]$ лето'!q2317+'[2]$ лето'!w2317+'[2]$ лето'!ac2317+'[2]$ лето'!ai2317+'[2]$ лето'!ao2317</f>
        <v>0</v>
      </c>
      <c r="I2317" s="109" t="n">
        <f aca="false">'[2]$ лето'!ay2317*1.05</f>
        <v>5302.5</v>
      </c>
    </row>
    <row r="2318" customFormat="false" ht="15" hidden="true" customHeight="false" outlineLevel="0" collapsed="false">
      <c r="A2318" s="115" t="s">
        <v>2904</v>
      </c>
      <c r="B2318" s="123" t="s">
        <v>2688</v>
      </c>
      <c r="C2318" s="107" t="s">
        <v>2908</v>
      </c>
      <c r="D2318" s="107"/>
      <c r="E2318" s="107"/>
      <c r="F2318" s="107"/>
      <c r="G2318" s="108"/>
      <c r="H2318" s="105" t="n">
        <f aca="false">'[2]$ лето'!j2318-'[2]$ лето'!au2318-'[2]$ лето'!at2318-'[2]$ лето'!as2318-'[2]$ лето'!ar2318-'[2]$ лето'!aq2318-'[2]$ лето'!ap2318-'[2]$ лето'!an2318-'[2]$ лето'!am2318-'[2]$ лето'!al2318-'[2]$ лето'!ak2318-'[2]$ лето'!aj2318-'[2]$ лето'!ah2318-'[2]$ лето'!ag2318-'[2]$ лето'!af2318-'[2]$ лето'!ae2318-'[2]$ лето'!ad2318-'[2]$ лето'!ab2318-'[2]$ лето'!aa2318-'[2]$ лето'!z2318-'[2]$ лето'!y2318-'[2]$ лето'!x2318-'[2]$ лето'!v2318-'[2]$ лето'!u2318-'[2]$ лето'!t2318-'[2]$ лето'!s2318-'[2]$ лето'!r2318-'[2]$ лето'!p2318-'[2]$ лето'!o2318-'[2]$ лето'!n2318-'[2]$ лето'!m2318-'[2]$ лето'!l2318+'[2]$ лето'!k2318+'[2]$ лето'!q2318+'[2]$ лето'!w2318+'[2]$ лето'!ac2318+'[2]$ лето'!ai2318+'[2]$ лето'!ao2318</f>
        <v>0</v>
      </c>
      <c r="I2318" s="109" t="n">
        <f aca="false">'[2]$ лето'!ay2318*1.05</f>
        <v>4830</v>
      </c>
    </row>
    <row r="2319" customFormat="false" ht="15" hidden="true" customHeight="false" outlineLevel="0" collapsed="false">
      <c r="A2319" s="115" t="s">
        <v>2904</v>
      </c>
      <c r="B2319" s="123" t="s">
        <v>2909</v>
      </c>
      <c r="C2319" s="107" t="s">
        <v>2910</v>
      </c>
      <c r="D2319" s="107"/>
      <c r="E2319" s="107"/>
      <c r="F2319" s="107"/>
      <c r="G2319" s="108"/>
      <c r="H2319" s="105" t="n">
        <f aca="false">'[2]$ лето'!j2319-'[2]$ лето'!au2319-'[2]$ лето'!at2319-'[2]$ лето'!as2319-'[2]$ лето'!ar2319-'[2]$ лето'!aq2319-'[2]$ лето'!ap2319-'[2]$ лето'!an2319-'[2]$ лето'!am2319-'[2]$ лето'!al2319-'[2]$ лето'!ak2319-'[2]$ лето'!aj2319-'[2]$ лето'!ah2319-'[2]$ лето'!ag2319-'[2]$ лето'!af2319-'[2]$ лето'!ae2319-'[2]$ лето'!ad2319-'[2]$ лето'!ab2319-'[2]$ лето'!aa2319-'[2]$ лето'!z2319-'[2]$ лето'!y2319-'[2]$ лето'!x2319-'[2]$ лето'!v2319-'[2]$ лето'!u2319-'[2]$ лето'!t2319-'[2]$ лето'!s2319-'[2]$ лето'!r2319-'[2]$ лето'!p2319-'[2]$ лето'!o2319-'[2]$ лето'!n2319-'[2]$ лето'!m2319-'[2]$ лето'!l2319+'[2]$ лето'!k2319+'[2]$ лето'!q2319+'[2]$ лето'!w2319+'[2]$ лето'!ac2319+'[2]$ лето'!ai2319+'[2]$ лето'!ao2319</f>
        <v>0</v>
      </c>
      <c r="I2319" s="109" t="n">
        <f aca="false">'[2]$ лето'!ay2319*1.05</f>
        <v>5880</v>
      </c>
    </row>
    <row r="2320" customFormat="false" ht="15" hidden="true" customHeight="false" outlineLevel="0" collapsed="false">
      <c r="A2320" s="115" t="s">
        <v>2904</v>
      </c>
      <c r="B2320" s="123" t="s">
        <v>2909</v>
      </c>
      <c r="C2320" s="107" t="s">
        <v>2911</v>
      </c>
      <c r="D2320" s="107"/>
      <c r="E2320" s="107"/>
      <c r="F2320" s="107"/>
      <c r="G2320" s="108"/>
      <c r="H2320" s="105" t="n">
        <f aca="false">'[2]$ лето'!j2320-'[2]$ лето'!au2320-'[2]$ лето'!at2320-'[2]$ лето'!as2320-'[2]$ лето'!ar2320-'[2]$ лето'!aq2320-'[2]$ лето'!ap2320-'[2]$ лето'!an2320-'[2]$ лето'!am2320-'[2]$ лето'!al2320-'[2]$ лето'!ak2320-'[2]$ лето'!aj2320-'[2]$ лето'!ah2320-'[2]$ лето'!ag2320-'[2]$ лето'!af2320-'[2]$ лето'!ae2320-'[2]$ лето'!ad2320-'[2]$ лето'!ab2320-'[2]$ лето'!aa2320-'[2]$ лето'!z2320-'[2]$ лето'!y2320-'[2]$ лето'!x2320-'[2]$ лето'!v2320-'[2]$ лето'!u2320-'[2]$ лето'!t2320-'[2]$ лето'!s2320-'[2]$ лето'!r2320-'[2]$ лето'!p2320-'[2]$ лето'!o2320-'[2]$ лето'!n2320-'[2]$ лето'!m2320-'[2]$ лето'!l2320+'[2]$ лето'!k2320+'[2]$ лето'!q2320+'[2]$ лето'!w2320+'[2]$ лето'!ac2320+'[2]$ лето'!ai2320+'[2]$ лето'!ao2320</f>
        <v>0</v>
      </c>
      <c r="I2320" s="109" t="n">
        <f aca="false">'[2]$ лето'!ay2320*1.05</f>
        <v>5985</v>
      </c>
    </row>
    <row r="2321" customFormat="false" ht="15" hidden="true" customHeight="false" outlineLevel="0" collapsed="false">
      <c r="A2321" s="115" t="s">
        <v>2904</v>
      </c>
      <c r="B2321" s="123" t="s">
        <v>601</v>
      </c>
      <c r="C2321" s="107" t="s">
        <v>2912</v>
      </c>
      <c r="D2321" s="107"/>
      <c r="E2321" s="107"/>
      <c r="F2321" s="107"/>
      <c r="G2321" s="108" t="s">
        <v>1954</v>
      </c>
      <c r="H2321" s="105" t="n">
        <f aca="false">'[2]$ лето'!j2321-'[2]$ лето'!au2321-'[2]$ лето'!at2321-'[2]$ лето'!as2321-'[2]$ лето'!ar2321-'[2]$ лето'!aq2321-'[2]$ лето'!ap2321-'[2]$ лето'!an2321-'[2]$ лето'!am2321-'[2]$ лето'!al2321-'[2]$ лето'!ak2321-'[2]$ лето'!aj2321-'[2]$ лето'!ah2321-'[2]$ лето'!ag2321-'[2]$ лето'!af2321-'[2]$ лето'!ae2321-'[2]$ лето'!ad2321-'[2]$ лето'!ab2321-'[2]$ лето'!aa2321-'[2]$ лето'!z2321-'[2]$ лето'!y2321-'[2]$ лето'!x2321-'[2]$ лето'!v2321-'[2]$ лето'!u2321-'[2]$ лето'!t2321-'[2]$ лето'!s2321-'[2]$ лето'!r2321-'[2]$ лето'!p2321-'[2]$ лето'!o2321-'[2]$ лето'!n2321-'[2]$ лето'!m2321-'[2]$ лето'!l2321+'[2]$ лето'!k2321+'[2]$ лето'!q2321+'[2]$ лето'!w2321+'[2]$ лето'!ac2321+'[2]$ лето'!ai2321+'[2]$ лето'!ao2321</f>
        <v>0</v>
      </c>
      <c r="I2321" s="109" t="n">
        <f aca="false">'[2]$ лето'!ay2321*1.05</f>
        <v>10884.3</v>
      </c>
    </row>
    <row r="2322" customFormat="false" ht="15" hidden="false" customHeight="false" outlineLevel="0" collapsed="false">
      <c r="A2322" s="115" t="s">
        <v>2904</v>
      </c>
      <c r="B2322" s="123" t="s">
        <v>2813</v>
      </c>
      <c r="C2322" s="107" t="s">
        <v>2913</v>
      </c>
      <c r="D2322" s="107"/>
      <c r="E2322" s="116"/>
      <c r="F2322" s="116"/>
      <c r="G2322" s="108"/>
      <c r="H2322" s="105" t="n">
        <f aca="false">'[2]$ лето'!j2322-'[2]$ лето'!au2322-'[2]$ лето'!at2322-'[2]$ лето'!as2322-'[2]$ лето'!ar2322-'[2]$ лето'!aq2322-'[2]$ лето'!ap2322-'[2]$ лето'!an2322-'[2]$ лето'!am2322-'[2]$ лето'!al2322-'[2]$ лето'!ak2322-'[2]$ лето'!aj2322-'[2]$ лето'!ah2322-'[2]$ лето'!ag2322-'[2]$ лето'!af2322-'[2]$ лето'!ae2322-'[2]$ лето'!ad2322-'[2]$ лето'!ab2322-'[2]$ лето'!aa2322-'[2]$ лето'!z2322-'[2]$ лето'!y2322-'[2]$ лето'!x2322-'[2]$ лето'!v2322-'[2]$ лето'!u2322-'[2]$ лето'!t2322-'[2]$ лето'!s2322-'[2]$ лето'!r2322-'[2]$ лето'!p2322-'[2]$ лето'!o2322-'[2]$ лето'!n2322-'[2]$ лето'!m2322-'[2]$ лето'!l2322+'[2]$ лето'!k2322+'[2]$ лето'!q2322+'[2]$ лето'!w2322+'[2]$ лето'!ac2322+'[2]$ лето'!ai2322+'[2]$ лето'!ao2322</f>
        <v>16</v>
      </c>
      <c r="I2322" s="109" t="n">
        <f aca="false">'[2]$ лето'!ay2322*1.05</f>
        <v>5565</v>
      </c>
    </row>
    <row r="2323" customFormat="false" ht="15" hidden="true" customHeight="false" outlineLevel="0" collapsed="false">
      <c r="A2323" s="115" t="s">
        <v>2904</v>
      </c>
      <c r="B2323" s="123" t="s">
        <v>2914</v>
      </c>
      <c r="C2323" s="107" t="s">
        <v>2915</v>
      </c>
      <c r="D2323" s="107"/>
      <c r="E2323" s="107"/>
      <c r="F2323" s="107"/>
      <c r="G2323" s="108"/>
      <c r="H2323" s="105" t="n">
        <f aca="false">'[2]$ лето'!j2323-'[2]$ лето'!au2323-'[2]$ лето'!at2323-'[2]$ лето'!as2323-'[2]$ лето'!ar2323-'[2]$ лето'!aq2323-'[2]$ лето'!ap2323-'[2]$ лето'!an2323-'[2]$ лето'!am2323-'[2]$ лето'!al2323-'[2]$ лето'!ak2323-'[2]$ лето'!aj2323-'[2]$ лето'!ah2323-'[2]$ лето'!ag2323-'[2]$ лето'!af2323-'[2]$ лето'!ae2323-'[2]$ лето'!ad2323-'[2]$ лето'!ab2323-'[2]$ лето'!aa2323-'[2]$ лето'!z2323-'[2]$ лето'!y2323-'[2]$ лето'!x2323-'[2]$ лето'!v2323-'[2]$ лето'!u2323-'[2]$ лето'!t2323-'[2]$ лето'!s2323-'[2]$ лето'!r2323-'[2]$ лето'!p2323-'[2]$ лето'!o2323-'[2]$ лето'!n2323-'[2]$ лето'!m2323-'[2]$ лето'!l2323+'[2]$ лето'!k2323+'[2]$ лето'!q2323+'[2]$ лето'!w2323+'[2]$ лето'!ac2323+'[2]$ лето'!ai2323+'[2]$ лето'!ao2323</f>
        <v>0</v>
      </c>
      <c r="I2323" s="109" t="n">
        <f aca="false">'[2]$ лето'!ay2323*1.05</f>
        <v>4515</v>
      </c>
    </row>
    <row r="2324" customFormat="false" ht="15" hidden="true" customHeight="false" outlineLevel="0" collapsed="false">
      <c r="A2324" s="115" t="s">
        <v>2904</v>
      </c>
      <c r="B2324" s="123" t="s">
        <v>2916</v>
      </c>
      <c r="C2324" s="107" t="s">
        <v>2917</v>
      </c>
      <c r="D2324" s="107"/>
      <c r="E2324" s="107"/>
      <c r="F2324" s="107"/>
      <c r="G2324" s="108"/>
      <c r="H2324" s="105" t="n">
        <f aca="false">'[2]$ лето'!j2324-'[2]$ лето'!au2324-'[2]$ лето'!at2324-'[2]$ лето'!as2324-'[2]$ лето'!ar2324-'[2]$ лето'!aq2324-'[2]$ лето'!ap2324-'[2]$ лето'!an2324-'[2]$ лето'!am2324-'[2]$ лето'!al2324-'[2]$ лето'!ak2324-'[2]$ лето'!aj2324-'[2]$ лето'!ah2324-'[2]$ лето'!ag2324-'[2]$ лето'!af2324-'[2]$ лето'!ae2324-'[2]$ лето'!ad2324-'[2]$ лето'!ab2324-'[2]$ лето'!aa2324-'[2]$ лето'!z2324-'[2]$ лето'!y2324-'[2]$ лето'!x2324-'[2]$ лето'!v2324-'[2]$ лето'!u2324-'[2]$ лето'!t2324-'[2]$ лето'!s2324-'[2]$ лето'!r2324-'[2]$ лето'!p2324-'[2]$ лето'!o2324-'[2]$ лето'!n2324-'[2]$ лето'!m2324-'[2]$ лето'!l2324+'[2]$ лето'!k2324+'[2]$ лето'!q2324+'[2]$ лето'!w2324+'[2]$ лето'!ac2324+'[2]$ лето'!ai2324+'[2]$ лето'!ao2324</f>
        <v>0</v>
      </c>
      <c r="I2324" s="109" t="n">
        <f aca="false">'[2]$ лето'!ay2324*1.05</f>
        <v>4725</v>
      </c>
    </row>
    <row r="2325" customFormat="false" ht="15" hidden="true" customHeight="false" outlineLevel="0" collapsed="false">
      <c r="A2325" s="115" t="s">
        <v>2904</v>
      </c>
      <c r="B2325" s="115" t="s">
        <v>707</v>
      </c>
      <c r="C2325" s="116" t="s">
        <v>2918</v>
      </c>
      <c r="D2325" s="116"/>
      <c r="E2325" s="116"/>
      <c r="F2325" s="116"/>
      <c r="G2325" s="108" t="s">
        <v>2827</v>
      </c>
      <c r="H2325" s="105" t="n">
        <f aca="false">'[2]$ лето'!j2325-'[2]$ лето'!au2325-'[2]$ лето'!at2325-'[2]$ лето'!as2325-'[2]$ лето'!ar2325-'[2]$ лето'!aq2325-'[2]$ лето'!ap2325-'[2]$ лето'!an2325-'[2]$ лето'!am2325-'[2]$ лето'!al2325-'[2]$ лето'!ak2325-'[2]$ лето'!aj2325-'[2]$ лето'!ah2325-'[2]$ лето'!ag2325-'[2]$ лето'!af2325-'[2]$ лето'!ae2325-'[2]$ лето'!ad2325-'[2]$ лето'!ab2325-'[2]$ лето'!aa2325-'[2]$ лето'!z2325-'[2]$ лето'!y2325-'[2]$ лето'!x2325-'[2]$ лето'!v2325-'[2]$ лето'!u2325-'[2]$ лето'!t2325-'[2]$ лето'!s2325-'[2]$ лето'!r2325-'[2]$ лето'!p2325-'[2]$ лето'!o2325-'[2]$ лето'!n2325-'[2]$ лето'!m2325-'[2]$ лето'!l2325+'[2]$ лето'!k2325+'[2]$ лето'!q2325+'[2]$ лето'!w2325+'[2]$ лето'!ac2325+'[2]$ лето'!ai2325+'[2]$ лето'!ao2325</f>
        <v>0</v>
      </c>
      <c r="I2325" s="109" t="n">
        <f aca="false">'[2]$ лето'!ay2325*1.05</f>
        <v>10138.8</v>
      </c>
    </row>
    <row r="2326" customFormat="false" ht="15" hidden="true" customHeight="false" outlineLevel="0" collapsed="false">
      <c r="A2326" s="115" t="s">
        <v>2904</v>
      </c>
      <c r="B2326" s="115" t="s">
        <v>707</v>
      </c>
      <c r="C2326" s="116" t="s">
        <v>2919</v>
      </c>
      <c r="D2326" s="116"/>
      <c r="E2326" s="116"/>
      <c r="F2326" s="116"/>
      <c r="G2326" s="108"/>
      <c r="H2326" s="105" t="n">
        <f aca="false">'[2]$ лето'!j2326-'[2]$ лето'!au2326-'[2]$ лето'!at2326-'[2]$ лето'!as2326-'[2]$ лето'!ar2326-'[2]$ лето'!aq2326-'[2]$ лето'!ap2326-'[2]$ лето'!an2326-'[2]$ лето'!am2326-'[2]$ лето'!al2326-'[2]$ лето'!ak2326-'[2]$ лето'!aj2326-'[2]$ лето'!ah2326-'[2]$ лето'!ag2326-'[2]$ лето'!af2326-'[2]$ лето'!ae2326-'[2]$ лето'!ad2326-'[2]$ лето'!ab2326-'[2]$ лето'!aa2326-'[2]$ лето'!z2326-'[2]$ лето'!y2326-'[2]$ лето'!x2326-'[2]$ лето'!v2326-'[2]$ лето'!u2326-'[2]$ лето'!t2326-'[2]$ лето'!s2326-'[2]$ лето'!r2326-'[2]$ лето'!p2326-'[2]$ лето'!o2326-'[2]$ лето'!n2326-'[2]$ лето'!m2326-'[2]$ лето'!l2326+'[2]$ лето'!k2326+'[2]$ лето'!q2326+'[2]$ лето'!w2326+'[2]$ лето'!ac2326+'[2]$ лето'!ai2326+'[2]$ лето'!ao2326</f>
        <v>0</v>
      </c>
      <c r="I2326" s="109" t="n">
        <f aca="false">'[2]$ лето'!ay2326*1.05</f>
        <v>10138.8</v>
      </c>
    </row>
    <row r="2327" customFormat="false" ht="15" hidden="true" customHeight="false" outlineLevel="0" collapsed="false">
      <c r="A2327" s="115" t="s">
        <v>2904</v>
      </c>
      <c r="B2327" s="115" t="s">
        <v>2860</v>
      </c>
      <c r="C2327" s="116" t="s">
        <v>2920</v>
      </c>
      <c r="D2327" s="116"/>
      <c r="E2327" s="116"/>
      <c r="F2327" s="116"/>
      <c r="G2327" s="108"/>
      <c r="H2327" s="105" t="n">
        <f aca="false">'[2]$ лето'!j2327-'[2]$ лето'!au2327-'[2]$ лето'!at2327-'[2]$ лето'!as2327-'[2]$ лето'!ar2327-'[2]$ лето'!aq2327-'[2]$ лето'!ap2327-'[2]$ лето'!an2327-'[2]$ лето'!am2327-'[2]$ лето'!al2327-'[2]$ лето'!ak2327-'[2]$ лето'!aj2327-'[2]$ лето'!ah2327-'[2]$ лето'!ag2327-'[2]$ лето'!af2327-'[2]$ лето'!ae2327-'[2]$ лето'!ad2327-'[2]$ лето'!ab2327-'[2]$ лето'!aa2327-'[2]$ лето'!z2327-'[2]$ лето'!y2327-'[2]$ лето'!x2327-'[2]$ лето'!v2327-'[2]$ лето'!u2327-'[2]$ лето'!t2327-'[2]$ лето'!s2327-'[2]$ лето'!r2327-'[2]$ лето'!p2327-'[2]$ лето'!o2327-'[2]$ лето'!n2327-'[2]$ лето'!m2327-'[2]$ лето'!l2327+'[2]$ лето'!k2327+'[2]$ лето'!q2327+'[2]$ лето'!w2327+'[2]$ лето'!ac2327+'[2]$ лето'!ai2327+'[2]$ лето'!ao2327</f>
        <v>0</v>
      </c>
      <c r="I2327" s="109" t="n">
        <f aca="false">'[2]$ лето'!ay2327*1.05</f>
        <v>4830</v>
      </c>
    </row>
    <row r="2328" customFormat="false" ht="15" hidden="true" customHeight="false" outlineLevel="0" collapsed="false">
      <c r="A2328" s="115" t="s">
        <v>2904</v>
      </c>
      <c r="B2328" s="115" t="s">
        <v>2713</v>
      </c>
      <c r="C2328" s="116" t="s">
        <v>2921</v>
      </c>
      <c r="D2328" s="116"/>
      <c r="E2328" s="116"/>
      <c r="F2328" s="116"/>
      <c r="G2328" s="108"/>
      <c r="H2328" s="105" t="n">
        <f aca="false">'[2]$ лето'!j2328-'[2]$ лето'!au2328-'[2]$ лето'!at2328-'[2]$ лето'!as2328-'[2]$ лето'!ar2328-'[2]$ лето'!aq2328-'[2]$ лето'!ap2328-'[2]$ лето'!an2328-'[2]$ лето'!am2328-'[2]$ лето'!al2328-'[2]$ лето'!ak2328-'[2]$ лето'!aj2328-'[2]$ лето'!ah2328-'[2]$ лето'!ag2328-'[2]$ лето'!af2328-'[2]$ лето'!ae2328-'[2]$ лето'!ad2328-'[2]$ лето'!ab2328-'[2]$ лето'!aa2328-'[2]$ лето'!z2328-'[2]$ лето'!y2328-'[2]$ лето'!x2328-'[2]$ лето'!v2328-'[2]$ лето'!u2328-'[2]$ лето'!t2328-'[2]$ лето'!s2328-'[2]$ лето'!r2328-'[2]$ лето'!p2328-'[2]$ лето'!o2328-'[2]$ лето'!n2328-'[2]$ лето'!m2328-'[2]$ лето'!l2328+'[2]$ лето'!k2328+'[2]$ лето'!q2328+'[2]$ лето'!w2328+'[2]$ лето'!ac2328+'[2]$ лето'!ai2328+'[2]$ лето'!ao2328</f>
        <v>0</v>
      </c>
      <c r="I2328" s="109" t="n">
        <f aca="false">'[2]$ лето'!ay2328*1.05</f>
        <v>5250</v>
      </c>
    </row>
    <row r="2329" customFormat="false" ht="15" hidden="false" customHeight="false" outlineLevel="0" collapsed="false">
      <c r="A2329" s="115" t="s">
        <v>2904</v>
      </c>
      <c r="B2329" s="123" t="s">
        <v>604</v>
      </c>
      <c r="C2329" s="116" t="s">
        <v>2922</v>
      </c>
      <c r="D2329" s="116"/>
      <c r="E2329" s="116"/>
      <c r="F2329" s="116"/>
      <c r="G2329" s="108" t="s">
        <v>663</v>
      </c>
      <c r="H2329" s="105" t="n">
        <f aca="false">'[2]$ лето'!j2329-'[2]$ лето'!au2329-'[2]$ лето'!at2329-'[2]$ лето'!as2329-'[2]$ лето'!ar2329-'[2]$ лето'!aq2329-'[2]$ лето'!ap2329-'[2]$ лето'!an2329-'[2]$ лето'!am2329-'[2]$ лето'!al2329-'[2]$ лето'!ak2329-'[2]$ лето'!aj2329-'[2]$ лето'!ah2329-'[2]$ лето'!ag2329-'[2]$ лето'!af2329-'[2]$ лето'!ae2329-'[2]$ лето'!ad2329-'[2]$ лето'!ab2329-'[2]$ лето'!aa2329-'[2]$ лето'!z2329-'[2]$ лето'!y2329-'[2]$ лето'!x2329-'[2]$ лето'!v2329-'[2]$ лето'!u2329-'[2]$ лето'!t2329-'[2]$ лето'!s2329-'[2]$ лето'!r2329-'[2]$ лето'!p2329-'[2]$ лето'!o2329-'[2]$ лето'!n2329-'[2]$ лето'!m2329-'[2]$ лето'!l2329+'[2]$ лето'!k2329+'[2]$ лето'!q2329+'[2]$ лето'!w2329+'[2]$ лето'!ac2329+'[2]$ лето'!ai2329+'[2]$ лето'!ao2329</f>
        <v>2</v>
      </c>
      <c r="I2329" s="109" t="n">
        <f aca="false">'[2]$ лето'!ay2329*1.05</f>
        <v>9691.5</v>
      </c>
      <c r="J2329" s="85" t="n">
        <v>2017</v>
      </c>
    </row>
    <row r="2330" customFormat="false" ht="15" hidden="false" customHeight="false" outlineLevel="0" collapsed="false">
      <c r="A2330" s="115" t="s">
        <v>2904</v>
      </c>
      <c r="B2330" s="123" t="s">
        <v>2923</v>
      </c>
      <c r="C2330" s="116" t="s">
        <v>2924</v>
      </c>
      <c r="D2330" s="116"/>
      <c r="E2330" s="116"/>
      <c r="F2330" s="116"/>
      <c r="G2330" s="108"/>
      <c r="H2330" s="105" t="n">
        <f aca="false">'[2]$ лето'!j2330-'[2]$ лето'!au2330-'[2]$ лето'!at2330-'[2]$ лето'!as2330-'[2]$ лето'!ar2330-'[2]$ лето'!aq2330-'[2]$ лето'!ap2330-'[2]$ лето'!an2330-'[2]$ лето'!am2330-'[2]$ лето'!al2330-'[2]$ лето'!ak2330-'[2]$ лето'!aj2330-'[2]$ лето'!ah2330-'[2]$ лето'!ag2330-'[2]$ лето'!af2330-'[2]$ лето'!ae2330-'[2]$ лето'!ad2330-'[2]$ лето'!ab2330-'[2]$ лето'!aa2330-'[2]$ лето'!z2330-'[2]$ лето'!y2330-'[2]$ лето'!x2330-'[2]$ лето'!v2330-'[2]$ лето'!u2330-'[2]$ лето'!t2330-'[2]$ лето'!s2330-'[2]$ лето'!r2330-'[2]$ лето'!p2330-'[2]$ лето'!o2330-'[2]$ лето'!n2330-'[2]$ лето'!m2330-'[2]$ лето'!l2330+'[2]$ лето'!k2330+'[2]$ лето'!q2330+'[2]$ лето'!w2330+'[2]$ лето'!ac2330+'[2]$ лето'!ai2330+'[2]$ лето'!ao2330</f>
        <v>1</v>
      </c>
      <c r="I2330" s="109" t="n">
        <f aca="false">'[2]$ лето'!ay2330*1.05</f>
        <v>5355</v>
      </c>
    </row>
    <row r="2331" customFormat="false" ht="15" hidden="false" customHeight="false" outlineLevel="0" collapsed="false">
      <c r="A2331" s="115" t="s">
        <v>2904</v>
      </c>
      <c r="B2331" s="123" t="s">
        <v>2925</v>
      </c>
      <c r="C2331" s="116" t="s">
        <v>2770</v>
      </c>
      <c r="D2331" s="116"/>
      <c r="E2331" s="116"/>
      <c r="F2331" s="116"/>
      <c r="G2331" s="108"/>
      <c r="H2331" s="105" t="n">
        <f aca="false">'[2]$ лето'!j2331-'[2]$ лето'!au2331-'[2]$ лето'!at2331-'[2]$ лето'!as2331-'[2]$ лето'!ar2331-'[2]$ лето'!aq2331-'[2]$ лето'!ap2331-'[2]$ лето'!an2331-'[2]$ лето'!am2331-'[2]$ лето'!al2331-'[2]$ лето'!ak2331-'[2]$ лето'!aj2331-'[2]$ лето'!ah2331-'[2]$ лето'!ag2331-'[2]$ лето'!af2331-'[2]$ лето'!ae2331-'[2]$ лето'!ad2331-'[2]$ лето'!ab2331-'[2]$ лето'!aa2331-'[2]$ лето'!z2331-'[2]$ лето'!y2331-'[2]$ лето'!x2331-'[2]$ лето'!v2331-'[2]$ лето'!u2331-'[2]$ лето'!t2331-'[2]$ лето'!s2331-'[2]$ лето'!r2331-'[2]$ лето'!p2331-'[2]$ лето'!o2331-'[2]$ лето'!n2331-'[2]$ лето'!m2331-'[2]$ лето'!l2331+'[2]$ лето'!k2331+'[2]$ лето'!q2331+'[2]$ лето'!w2331+'[2]$ лето'!ac2331+'[2]$ лето'!ai2331+'[2]$ лето'!ao2331</f>
        <v>7</v>
      </c>
      <c r="I2331" s="109" t="n">
        <f aca="false">'[2]$ лето'!ay2331*1.05</f>
        <v>5565</v>
      </c>
    </row>
    <row r="2332" customFormat="false" ht="15" hidden="false" customHeight="false" outlineLevel="0" collapsed="false">
      <c r="A2332" s="115" t="s">
        <v>2904</v>
      </c>
      <c r="B2332" s="123" t="s">
        <v>606</v>
      </c>
      <c r="C2332" s="116" t="s">
        <v>2926</v>
      </c>
      <c r="D2332" s="116"/>
      <c r="E2332" s="116"/>
      <c r="F2332" s="116"/>
      <c r="G2332" s="108"/>
      <c r="H2332" s="105" t="n">
        <f aca="false">'[2]$ лето'!j2332-'[2]$ лето'!au2332-'[2]$ лето'!at2332-'[2]$ лето'!as2332-'[2]$ лето'!ar2332-'[2]$ лето'!aq2332-'[2]$ лето'!ap2332-'[2]$ лето'!an2332-'[2]$ лето'!am2332-'[2]$ лето'!al2332-'[2]$ лето'!ak2332-'[2]$ лето'!aj2332-'[2]$ лето'!ah2332-'[2]$ лето'!ag2332-'[2]$ лето'!af2332-'[2]$ лето'!ae2332-'[2]$ лето'!ad2332-'[2]$ лето'!ab2332-'[2]$ лето'!aa2332-'[2]$ лето'!z2332-'[2]$ лето'!y2332-'[2]$ лето'!x2332-'[2]$ лето'!v2332-'[2]$ лето'!u2332-'[2]$ лето'!t2332-'[2]$ лето'!s2332-'[2]$ лето'!r2332-'[2]$ лето'!p2332-'[2]$ лето'!o2332-'[2]$ лето'!n2332-'[2]$ лето'!m2332-'[2]$ лето'!l2332+'[2]$ лето'!k2332+'[2]$ лето'!q2332+'[2]$ лето'!w2332+'[2]$ лето'!ac2332+'[2]$ лето'!ai2332+'[2]$ лето'!ao2332</f>
        <v>2</v>
      </c>
      <c r="I2332" s="109" t="n">
        <f aca="false">'[2]$ лето'!ay2332*1.05</f>
        <v>9292.5</v>
      </c>
      <c r="J2332" s="85" t="n">
        <v>2017</v>
      </c>
    </row>
    <row r="2333" customFormat="false" ht="15" hidden="false" customHeight="false" outlineLevel="0" collapsed="false">
      <c r="A2333" s="115" t="s">
        <v>2904</v>
      </c>
      <c r="B2333" s="123" t="s">
        <v>606</v>
      </c>
      <c r="C2333" s="116" t="s">
        <v>2927</v>
      </c>
      <c r="D2333" s="116"/>
      <c r="E2333" s="116"/>
      <c r="F2333" s="116"/>
      <c r="G2333" s="108"/>
      <c r="H2333" s="105" t="n">
        <f aca="false">'[2]$ лето'!j2333-'[2]$ лето'!au2333-'[2]$ лето'!at2333-'[2]$ лето'!as2333-'[2]$ лето'!ar2333-'[2]$ лето'!aq2333-'[2]$ лето'!ap2333-'[2]$ лето'!an2333-'[2]$ лето'!am2333-'[2]$ лето'!al2333-'[2]$ лето'!ak2333-'[2]$ лето'!aj2333-'[2]$ лето'!ah2333-'[2]$ лето'!ag2333-'[2]$ лето'!af2333-'[2]$ лето'!ae2333-'[2]$ лето'!ad2333-'[2]$ лето'!ab2333-'[2]$ лето'!aa2333-'[2]$ лето'!z2333-'[2]$ лето'!y2333-'[2]$ лето'!x2333-'[2]$ лето'!v2333-'[2]$ лето'!u2333-'[2]$ лето'!t2333-'[2]$ лето'!s2333-'[2]$ лето'!r2333-'[2]$ лето'!p2333-'[2]$ лето'!o2333-'[2]$ лето'!n2333-'[2]$ лето'!m2333-'[2]$ лето'!l2333+'[2]$ лето'!k2333+'[2]$ лето'!q2333+'[2]$ лето'!w2333+'[2]$ лето'!ac2333+'[2]$ лето'!ai2333+'[2]$ лето'!ao2333</f>
        <v>4</v>
      </c>
      <c r="I2333" s="109" t="n">
        <f aca="false">'[2]$ лето'!ay2333*1.05</f>
        <v>9187.5</v>
      </c>
      <c r="J2333" s="85" t="n">
        <v>2017</v>
      </c>
    </row>
    <row r="2334" customFormat="false" ht="15" hidden="false" customHeight="false" outlineLevel="0" collapsed="false">
      <c r="A2334" s="115" t="s">
        <v>2904</v>
      </c>
      <c r="B2334" s="115" t="s">
        <v>572</v>
      </c>
      <c r="C2334" s="107" t="s">
        <v>2928</v>
      </c>
      <c r="D2334" s="107"/>
      <c r="E2334" s="116"/>
      <c r="F2334" s="116"/>
      <c r="G2334" s="108"/>
      <c r="H2334" s="105" t="n">
        <f aca="false">'[2]$ лето'!j2334-'[2]$ лето'!au2334-'[2]$ лето'!at2334-'[2]$ лето'!as2334-'[2]$ лето'!ar2334-'[2]$ лето'!aq2334-'[2]$ лето'!ap2334-'[2]$ лето'!an2334-'[2]$ лето'!am2334-'[2]$ лето'!al2334-'[2]$ лето'!ak2334-'[2]$ лето'!aj2334-'[2]$ лето'!ah2334-'[2]$ лето'!ag2334-'[2]$ лето'!af2334-'[2]$ лето'!ae2334-'[2]$ лето'!ad2334-'[2]$ лето'!ab2334-'[2]$ лето'!aa2334-'[2]$ лето'!z2334-'[2]$ лето'!y2334-'[2]$ лето'!x2334-'[2]$ лето'!v2334-'[2]$ лето'!u2334-'[2]$ лето'!t2334-'[2]$ лето'!s2334-'[2]$ лето'!r2334-'[2]$ лето'!p2334-'[2]$ лето'!o2334-'[2]$ лето'!n2334-'[2]$ лето'!m2334-'[2]$ лето'!l2334+'[2]$ лето'!k2334+'[2]$ лето'!q2334+'[2]$ лето'!w2334+'[2]$ лето'!ac2334+'[2]$ лето'!ai2334+'[2]$ лето'!ao2334</f>
        <v>4</v>
      </c>
      <c r="I2334" s="109" t="n">
        <f aca="false">'[2]$ лето'!ay2334*1.05</f>
        <v>9691.5</v>
      </c>
    </row>
    <row r="2335" customFormat="false" ht="15" hidden="true" customHeight="false" outlineLevel="0" collapsed="false">
      <c r="A2335" s="115" t="s">
        <v>2904</v>
      </c>
      <c r="B2335" s="115" t="s">
        <v>572</v>
      </c>
      <c r="C2335" s="107" t="s">
        <v>2929</v>
      </c>
      <c r="D2335" s="107"/>
      <c r="E2335" s="107"/>
      <c r="F2335" s="107"/>
      <c r="G2335" s="108" t="s">
        <v>868</v>
      </c>
      <c r="H2335" s="105" t="n">
        <f aca="false">'[2]$ лето'!j2335-'[2]$ лето'!au2335-'[2]$ лето'!at2335-'[2]$ лето'!as2335-'[2]$ лето'!ar2335-'[2]$ лето'!aq2335-'[2]$ лето'!ap2335-'[2]$ лето'!an2335-'[2]$ лето'!am2335-'[2]$ лето'!al2335-'[2]$ лето'!ak2335-'[2]$ лето'!aj2335-'[2]$ лето'!ah2335-'[2]$ лето'!ag2335-'[2]$ лето'!af2335-'[2]$ лето'!ae2335-'[2]$ лето'!ad2335-'[2]$ лето'!ab2335-'[2]$ лето'!aa2335-'[2]$ лето'!z2335-'[2]$ лето'!y2335-'[2]$ лето'!x2335-'[2]$ лето'!v2335-'[2]$ лето'!u2335-'[2]$ лето'!t2335-'[2]$ лето'!s2335-'[2]$ лето'!r2335-'[2]$ лето'!p2335-'[2]$ лето'!o2335-'[2]$ лето'!n2335-'[2]$ лето'!m2335-'[2]$ лето'!l2335+'[2]$ лето'!k2335+'[2]$ лето'!q2335+'[2]$ лето'!w2335+'[2]$ лето'!ac2335+'[2]$ лето'!ai2335+'[2]$ лето'!ao2335</f>
        <v>0</v>
      </c>
      <c r="I2335" s="109" t="n">
        <f aca="false">'[2]$ лето'!ay2335*1.05</f>
        <v>9095.1</v>
      </c>
    </row>
    <row r="2336" customFormat="false" ht="15" hidden="true" customHeight="false" outlineLevel="0" collapsed="false">
      <c r="A2336" s="115" t="s">
        <v>2904</v>
      </c>
      <c r="B2336" s="115" t="s">
        <v>2724</v>
      </c>
      <c r="C2336" s="107" t="s">
        <v>2930</v>
      </c>
      <c r="D2336" s="107"/>
      <c r="E2336" s="107"/>
      <c r="F2336" s="107"/>
      <c r="G2336" s="108"/>
      <c r="H2336" s="105" t="n">
        <f aca="false">'[2]$ лето'!j2336-'[2]$ лето'!au2336-'[2]$ лето'!at2336-'[2]$ лето'!as2336-'[2]$ лето'!ar2336-'[2]$ лето'!aq2336-'[2]$ лето'!ap2336-'[2]$ лето'!an2336-'[2]$ лето'!am2336-'[2]$ лето'!al2336-'[2]$ лето'!ak2336-'[2]$ лето'!aj2336-'[2]$ лето'!ah2336-'[2]$ лето'!ag2336-'[2]$ лето'!af2336-'[2]$ лето'!ae2336-'[2]$ лето'!ad2336-'[2]$ лето'!ab2336-'[2]$ лето'!aa2336-'[2]$ лето'!z2336-'[2]$ лето'!y2336-'[2]$ лето'!x2336-'[2]$ лето'!v2336-'[2]$ лето'!u2336-'[2]$ лето'!t2336-'[2]$ лето'!s2336-'[2]$ лето'!r2336-'[2]$ лето'!p2336-'[2]$ лето'!o2336-'[2]$ лето'!n2336-'[2]$ лето'!m2336-'[2]$ лето'!l2336+'[2]$ лето'!k2336+'[2]$ лето'!q2336+'[2]$ лето'!w2336+'[2]$ лето'!ac2336+'[2]$ лето'!ai2336+'[2]$ лето'!ao2336</f>
        <v>0</v>
      </c>
      <c r="I2336" s="109" t="n">
        <f aca="false">'[2]$ лето'!ay2336*1.05</f>
        <v>5302.5</v>
      </c>
    </row>
    <row r="2337" customFormat="false" ht="15" hidden="false" customHeight="false" outlineLevel="0" collapsed="false">
      <c r="A2337" s="115" t="s">
        <v>2904</v>
      </c>
      <c r="B2337" s="115" t="s">
        <v>583</v>
      </c>
      <c r="C2337" s="116" t="s">
        <v>2903</v>
      </c>
      <c r="D2337" s="116"/>
      <c r="E2337" s="116"/>
      <c r="F2337" s="116"/>
      <c r="G2337" s="108" t="s">
        <v>585</v>
      </c>
      <c r="H2337" s="105" t="n">
        <f aca="false">'[2]$ лето'!j2337-'[2]$ лето'!au2337-'[2]$ лето'!at2337-'[2]$ лето'!as2337-'[2]$ лето'!ar2337-'[2]$ лето'!aq2337-'[2]$ лето'!ap2337-'[2]$ лето'!an2337-'[2]$ лето'!am2337-'[2]$ лето'!al2337-'[2]$ лето'!ak2337-'[2]$ лето'!aj2337-'[2]$ лето'!ah2337-'[2]$ лето'!ag2337-'[2]$ лето'!af2337-'[2]$ лето'!ae2337-'[2]$ лето'!ad2337-'[2]$ лето'!ab2337-'[2]$ лето'!aa2337-'[2]$ лето'!z2337-'[2]$ лето'!y2337-'[2]$ лето'!x2337-'[2]$ лето'!v2337-'[2]$ лето'!u2337-'[2]$ лето'!t2337-'[2]$ лето'!s2337-'[2]$ лето'!r2337-'[2]$ лето'!p2337-'[2]$ лето'!o2337-'[2]$ лето'!n2337-'[2]$ лето'!m2337-'[2]$ лето'!l2337+'[2]$ лето'!k2337+'[2]$ лето'!q2337+'[2]$ лето'!w2337+'[2]$ лето'!ac2337+'[2]$ лето'!ai2337+'[2]$ лето'!ao2337</f>
        <v>2</v>
      </c>
      <c r="I2337" s="109" t="n">
        <f aca="false">'[2]$ лето'!ay2337*1.05</f>
        <v>9095.1</v>
      </c>
      <c r="J2337" s="85" t="n">
        <v>2017</v>
      </c>
    </row>
    <row r="2338" customFormat="false" ht="15" hidden="false" customHeight="false" outlineLevel="0" collapsed="false">
      <c r="A2338" s="115" t="s">
        <v>2904</v>
      </c>
      <c r="B2338" s="115" t="s">
        <v>583</v>
      </c>
      <c r="C2338" s="116" t="s">
        <v>2931</v>
      </c>
      <c r="D2338" s="116"/>
      <c r="E2338" s="116"/>
      <c r="F2338" s="116"/>
      <c r="G2338" s="108"/>
      <c r="H2338" s="105" t="n">
        <f aca="false">'[2]$ лето'!j2338-'[2]$ лето'!au2338-'[2]$ лето'!at2338-'[2]$ лето'!as2338-'[2]$ лето'!ar2338-'[2]$ лето'!aq2338-'[2]$ лето'!ap2338-'[2]$ лето'!an2338-'[2]$ лето'!am2338-'[2]$ лето'!al2338-'[2]$ лето'!ak2338-'[2]$ лето'!aj2338-'[2]$ лето'!ah2338-'[2]$ лето'!ag2338-'[2]$ лето'!af2338-'[2]$ лето'!ae2338-'[2]$ лето'!ad2338-'[2]$ лето'!ab2338-'[2]$ лето'!aa2338-'[2]$ лето'!z2338-'[2]$ лето'!y2338-'[2]$ лето'!x2338-'[2]$ лето'!v2338-'[2]$ лето'!u2338-'[2]$ лето'!t2338-'[2]$ лето'!s2338-'[2]$ лето'!r2338-'[2]$ лето'!p2338-'[2]$ лето'!o2338-'[2]$ лето'!n2338-'[2]$ лето'!m2338-'[2]$ лето'!l2338+'[2]$ лето'!k2338+'[2]$ лето'!q2338+'[2]$ лето'!w2338+'[2]$ лето'!ac2338+'[2]$ лето'!ai2338+'[2]$ лето'!ao2338</f>
        <v>1</v>
      </c>
      <c r="I2338" s="109" t="n">
        <f aca="false">'[2]$ лето'!ay2338*1.05</f>
        <v>8946</v>
      </c>
    </row>
    <row r="2339" customFormat="false" ht="15" hidden="false" customHeight="false" outlineLevel="0" collapsed="false">
      <c r="A2339" s="115" t="s">
        <v>2904</v>
      </c>
      <c r="B2339" s="115" t="s">
        <v>583</v>
      </c>
      <c r="C2339" s="116" t="s">
        <v>2932</v>
      </c>
      <c r="D2339" s="116"/>
      <c r="E2339" s="116"/>
      <c r="F2339" s="116"/>
      <c r="G2339" s="108" t="s">
        <v>585</v>
      </c>
      <c r="H2339" s="105" t="n">
        <f aca="false">'[2]$ лето'!j2339-'[2]$ лето'!au2339-'[2]$ лето'!at2339-'[2]$ лето'!as2339-'[2]$ лето'!ar2339-'[2]$ лето'!aq2339-'[2]$ лето'!ap2339-'[2]$ лето'!an2339-'[2]$ лето'!am2339-'[2]$ лето'!al2339-'[2]$ лето'!ak2339-'[2]$ лето'!aj2339-'[2]$ лето'!ah2339-'[2]$ лето'!ag2339-'[2]$ лето'!af2339-'[2]$ лето'!ae2339-'[2]$ лето'!ad2339-'[2]$ лето'!ab2339-'[2]$ лето'!aa2339-'[2]$ лето'!z2339-'[2]$ лето'!y2339-'[2]$ лето'!x2339-'[2]$ лето'!v2339-'[2]$ лето'!u2339-'[2]$ лето'!t2339-'[2]$ лето'!s2339-'[2]$ лето'!r2339-'[2]$ лето'!p2339-'[2]$ лето'!o2339-'[2]$ лето'!n2339-'[2]$ лето'!m2339-'[2]$ лето'!l2339+'[2]$ лето'!k2339+'[2]$ лето'!q2339+'[2]$ лето'!w2339+'[2]$ лето'!ac2339+'[2]$ лето'!ai2339+'[2]$ лето'!ao2339</f>
        <v>4</v>
      </c>
      <c r="I2339" s="109" t="n">
        <f aca="false">'[2]$ лето'!ay2339*1.05</f>
        <v>9244.2</v>
      </c>
      <c r="J2339" s="85" t="n">
        <v>2018</v>
      </c>
    </row>
    <row r="2340" customFormat="false" ht="15" hidden="true" customHeight="false" outlineLevel="0" collapsed="false">
      <c r="A2340" s="115" t="s">
        <v>2904</v>
      </c>
      <c r="B2340" s="115" t="s">
        <v>586</v>
      </c>
      <c r="C2340" s="116" t="s">
        <v>2933</v>
      </c>
      <c r="D2340" s="116"/>
      <c r="E2340" s="116"/>
      <c r="F2340" s="116"/>
      <c r="G2340" s="108" t="s">
        <v>520</v>
      </c>
      <c r="H2340" s="105" t="n">
        <f aca="false">'[2]$ лето'!j2340-'[2]$ лето'!au2340-'[2]$ лето'!at2340-'[2]$ лето'!as2340-'[2]$ лето'!ar2340-'[2]$ лето'!aq2340-'[2]$ лето'!ap2340-'[2]$ лето'!an2340-'[2]$ лето'!am2340-'[2]$ лето'!al2340-'[2]$ лето'!ak2340-'[2]$ лето'!aj2340-'[2]$ лето'!ah2340-'[2]$ лето'!ag2340-'[2]$ лето'!af2340-'[2]$ лето'!ae2340-'[2]$ лето'!ad2340-'[2]$ лето'!ab2340-'[2]$ лето'!aa2340-'[2]$ лето'!z2340-'[2]$ лето'!y2340-'[2]$ лето'!x2340-'[2]$ лето'!v2340-'[2]$ лето'!u2340-'[2]$ лето'!t2340-'[2]$ лето'!s2340-'[2]$ лето'!r2340-'[2]$ лето'!p2340-'[2]$ лето'!o2340-'[2]$ лето'!n2340-'[2]$ лето'!m2340-'[2]$ лето'!l2340+'[2]$ лето'!k2340+'[2]$ лето'!q2340+'[2]$ лето'!w2340+'[2]$ лето'!ac2340+'[2]$ лето'!ai2340+'[2]$ лето'!ao2340</f>
        <v>0</v>
      </c>
      <c r="I2340" s="109" t="n">
        <f aca="false">'[2]$ лето'!ay2340*1.05</f>
        <v>5248.32</v>
      </c>
    </row>
    <row r="2341" customFormat="false" ht="15" hidden="false" customHeight="false" outlineLevel="0" collapsed="false">
      <c r="A2341" s="115" t="s">
        <v>2904</v>
      </c>
      <c r="B2341" s="115" t="s">
        <v>2423</v>
      </c>
      <c r="C2341" s="107" t="s">
        <v>2934</v>
      </c>
      <c r="D2341" s="107"/>
      <c r="E2341" s="116"/>
      <c r="F2341" s="116"/>
      <c r="G2341" s="108"/>
      <c r="H2341" s="105" t="n">
        <f aca="false">'[2]$ лето'!j2341-'[2]$ лето'!au2341-'[2]$ лето'!at2341-'[2]$ лето'!as2341-'[2]$ лето'!ar2341-'[2]$ лето'!aq2341-'[2]$ лето'!ap2341-'[2]$ лето'!an2341-'[2]$ лето'!am2341-'[2]$ лето'!al2341-'[2]$ лето'!ak2341-'[2]$ лето'!aj2341-'[2]$ лето'!ah2341-'[2]$ лето'!ag2341-'[2]$ лето'!af2341-'[2]$ лето'!ae2341-'[2]$ лето'!ad2341-'[2]$ лето'!ab2341-'[2]$ лето'!aa2341-'[2]$ лето'!z2341-'[2]$ лето'!y2341-'[2]$ лето'!x2341-'[2]$ лето'!v2341-'[2]$ лето'!u2341-'[2]$ лето'!t2341-'[2]$ лето'!s2341-'[2]$ лето'!r2341-'[2]$ лето'!p2341-'[2]$ лето'!o2341-'[2]$ лето'!n2341-'[2]$ лето'!m2341-'[2]$ лето'!l2341+'[2]$ лето'!k2341+'[2]$ лето'!q2341+'[2]$ лето'!w2341+'[2]$ лето'!ac2341+'[2]$ лето'!ai2341+'[2]$ лето'!ao2341</f>
        <v>4</v>
      </c>
      <c r="I2341" s="109" t="n">
        <f aca="false">'[2]$ лето'!ay2341*1.05</f>
        <v>5617.5</v>
      </c>
    </row>
    <row r="2342" customFormat="false" ht="15" hidden="true" customHeight="false" outlineLevel="0" collapsed="false">
      <c r="A2342" s="115" t="s">
        <v>2904</v>
      </c>
      <c r="B2342" s="115" t="s">
        <v>2935</v>
      </c>
      <c r="C2342" s="107" t="s">
        <v>2936</v>
      </c>
      <c r="D2342" s="107"/>
      <c r="E2342" s="107"/>
      <c r="F2342" s="107"/>
      <c r="G2342" s="108"/>
      <c r="H2342" s="105" t="n">
        <f aca="false">'[2]$ лето'!j2342-'[2]$ лето'!au2342-'[2]$ лето'!at2342-'[2]$ лето'!as2342-'[2]$ лето'!ar2342-'[2]$ лето'!aq2342-'[2]$ лето'!ap2342-'[2]$ лето'!an2342-'[2]$ лето'!am2342-'[2]$ лето'!al2342-'[2]$ лето'!ak2342-'[2]$ лето'!aj2342-'[2]$ лето'!ah2342-'[2]$ лето'!ag2342-'[2]$ лето'!af2342-'[2]$ лето'!ae2342-'[2]$ лето'!ad2342-'[2]$ лето'!ab2342-'[2]$ лето'!aa2342-'[2]$ лето'!z2342-'[2]$ лето'!y2342-'[2]$ лето'!x2342-'[2]$ лето'!v2342-'[2]$ лето'!u2342-'[2]$ лето'!t2342-'[2]$ лето'!s2342-'[2]$ лето'!r2342-'[2]$ лето'!p2342-'[2]$ лето'!o2342-'[2]$ лето'!n2342-'[2]$ лето'!m2342-'[2]$ лето'!l2342+'[2]$ лето'!k2342+'[2]$ лето'!q2342+'[2]$ лето'!w2342+'[2]$ лето'!ac2342+'[2]$ лето'!ai2342+'[2]$ лето'!ao2342</f>
        <v>0</v>
      </c>
      <c r="I2342" s="109" t="n">
        <f aca="false">'[2]$ лето'!ay2342*1.05</f>
        <v>6023.64</v>
      </c>
    </row>
    <row r="2343" customFormat="false" ht="15" hidden="false" customHeight="false" outlineLevel="0" collapsed="false">
      <c r="A2343" s="115" t="s">
        <v>2904</v>
      </c>
      <c r="B2343" s="115" t="s">
        <v>652</v>
      </c>
      <c r="C2343" s="116" t="s">
        <v>2744</v>
      </c>
      <c r="D2343" s="116"/>
      <c r="E2343" s="116"/>
      <c r="F2343" s="116"/>
      <c r="G2343" s="108"/>
      <c r="H2343" s="105" t="n">
        <f aca="false">'[2]$ лето'!j2343-'[2]$ лето'!au2343-'[2]$ лето'!at2343-'[2]$ лето'!as2343-'[2]$ лето'!ar2343-'[2]$ лето'!aq2343-'[2]$ лето'!ap2343-'[2]$ лето'!an2343-'[2]$ лето'!am2343-'[2]$ лето'!al2343-'[2]$ лето'!ak2343-'[2]$ лето'!aj2343-'[2]$ лето'!ah2343-'[2]$ лето'!ag2343-'[2]$ лето'!af2343-'[2]$ лето'!ae2343-'[2]$ лето'!ad2343-'[2]$ лето'!ab2343-'[2]$ лето'!aa2343-'[2]$ лето'!z2343-'[2]$ лето'!y2343-'[2]$ лето'!x2343-'[2]$ лето'!v2343-'[2]$ лето'!u2343-'[2]$ лето'!t2343-'[2]$ лето'!s2343-'[2]$ лето'!r2343-'[2]$ лето'!p2343-'[2]$ лето'!o2343-'[2]$ лето'!n2343-'[2]$ лето'!m2343-'[2]$ лето'!l2343+'[2]$ лето'!k2343+'[2]$ лето'!q2343+'[2]$ лето'!w2343+'[2]$ лето'!ac2343+'[2]$ лето'!ai2343+'[2]$ лето'!ao2343</f>
        <v>2</v>
      </c>
      <c r="I2343" s="109" t="n">
        <f aca="false">'[2]$ лето'!ay2343*1.05</f>
        <v>8498.7</v>
      </c>
    </row>
    <row r="2344" customFormat="false" ht="15" hidden="true" customHeight="false" outlineLevel="0" collapsed="false">
      <c r="A2344" s="115" t="s">
        <v>2904</v>
      </c>
      <c r="B2344" s="115" t="s">
        <v>652</v>
      </c>
      <c r="C2344" s="116" t="s">
        <v>2745</v>
      </c>
      <c r="D2344" s="116"/>
      <c r="E2344" s="116"/>
      <c r="F2344" s="116"/>
      <c r="G2344" s="108"/>
      <c r="H2344" s="105" t="n">
        <f aca="false">'[2]$ лето'!j2344-'[2]$ лето'!au2344-'[2]$ лето'!at2344-'[2]$ лето'!as2344-'[2]$ лето'!ar2344-'[2]$ лето'!aq2344-'[2]$ лето'!ap2344-'[2]$ лето'!an2344-'[2]$ лето'!am2344-'[2]$ лето'!al2344-'[2]$ лето'!ak2344-'[2]$ лето'!aj2344-'[2]$ лето'!ah2344-'[2]$ лето'!ag2344-'[2]$ лето'!af2344-'[2]$ лето'!ae2344-'[2]$ лето'!ad2344-'[2]$ лето'!ab2344-'[2]$ лето'!aa2344-'[2]$ лето'!z2344-'[2]$ лето'!y2344-'[2]$ лето'!x2344-'[2]$ лето'!v2344-'[2]$ лето'!u2344-'[2]$ лето'!t2344-'[2]$ лето'!s2344-'[2]$ лето'!r2344-'[2]$ лето'!p2344-'[2]$ лето'!o2344-'[2]$ лето'!n2344-'[2]$ лето'!m2344-'[2]$ лето'!l2344+'[2]$ лето'!k2344+'[2]$ лето'!q2344+'[2]$ лето'!w2344+'[2]$ лето'!ac2344+'[2]$ лето'!ai2344+'[2]$ лето'!ao2344</f>
        <v>0</v>
      </c>
      <c r="I2344" s="109" t="n">
        <f aca="false">'[2]$ лето'!ay2344*1.05</f>
        <v>0</v>
      </c>
    </row>
    <row r="2345" customFormat="false" ht="15" hidden="true" customHeight="false" outlineLevel="0" collapsed="false">
      <c r="A2345" s="115" t="s">
        <v>2904</v>
      </c>
      <c r="B2345" s="115" t="s">
        <v>2750</v>
      </c>
      <c r="C2345" s="116" t="s">
        <v>2937</v>
      </c>
      <c r="D2345" s="116"/>
      <c r="E2345" s="116"/>
      <c r="F2345" s="116"/>
      <c r="G2345" s="108"/>
      <c r="H2345" s="105" t="n">
        <f aca="false">'[2]$ лето'!j2345-'[2]$ лето'!au2345-'[2]$ лето'!at2345-'[2]$ лето'!as2345-'[2]$ лето'!ar2345-'[2]$ лето'!aq2345-'[2]$ лето'!ap2345-'[2]$ лето'!an2345-'[2]$ лето'!am2345-'[2]$ лето'!al2345-'[2]$ лето'!ak2345-'[2]$ лето'!aj2345-'[2]$ лето'!ah2345-'[2]$ лето'!ag2345-'[2]$ лето'!af2345-'[2]$ лето'!ae2345-'[2]$ лето'!ad2345-'[2]$ лето'!ab2345-'[2]$ лето'!aa2345-'[2]$ лето'!z2345-'[2]$ лето'!y2345-'[2]$ лето'!x2345-'[2]$ лето'!v2345-'[2]$ лето'!u2345-'[2]$ лето'!t2345-'[2]$ лето'!s2345-'[2]$ лето'!r2345-'[2]$ лето'!p2345-'[2]$ лето'!o2345-'[2]$ лето'!n2345-'[2]$ лето'!m2345-'[2]$ лето'!l2345+'[2]$ лето'!k2345+'[2]$ лето'!q2345+'[2]$ лето'!w2345+'[2]$ лето'!ac2345+'[2]$ лето'!ai2345+'[2]$ лето'!ao2345</f>
        <v>0</v>
      </c>
      <c r="I2345" s="109" t="n">
        <f aca="false">'[2]$ лето'!ay2345*1.05</f>
        <v>4410</v>
      </c>
    </row>
    <row r="2346" customFormat="false" ht="15" hidden="true" customHeight="false" outlineLevel="0" collapsed="false">
      <c r="A2346" s="115" t="s">
        <v>2904</v>
      </c>
      <c r="B2346" s="115" t="s">
        <v>2938</v>
      </c>
      <c r="C2346" s="116" t="s">
        <v>2939</v>
      </c>
      <c r="D2346" s="116"/>
      <c r="E2346" s="116"/>
      <c r="F2346" s="116"/>
      <c r="G2346" s="108"/>
      <c r="H2346" s="105" t="n">
        <f aca="false">'[2]$ лето'!j2346-'[2]$ лето'!au2346-'[2]$ лето'!at2346-'[2]$ лето'!as2346-'[2]$ лето'!ar2346-'[2]$ лето'!aq2346-'[2]$ лето'!ap2346-'[2]$ лето'!an2346-'[2]$ лето'!am2346-'[2]$ лето'!al2346-'[2]$ лето'!ak2346-'[2]$ лето'!aj2346-'[2]$ лето'!ah2346-'[2]$ лето'!ag2346-'[2]$ лето'!af2346-'[2]$ лето'!ae2346-'[2]$ лето'!ad2346-'[2]$ лето'!ab2346-'[2]$ лето'!aa2346-'[2]$ лето'!z2346-'[2]$ лето'!y2346-'[2]$ лето'!x2346-'[2]$ лето'!v2346-'[2]$ лето'!u2346-'[2]$ лето'!t2346-'[2]$ лето'!s2346-'[2]$ лето'!r2346-'[2]$ лето'!p2346-'[2]$ лето'!o2346-'[2]$ лето'!n2346-'[2]$ лето'!m2346-'[2]$ лето'!l2346+'[2]$ лето'!k2346+'[2]$ лето'!q2346+'[2]$ лето'!w2346+'[2]$ лето'!ac2346+'[2]$ лето'!ai2346+'[2]$ лето'!ao2346</f>
        <v>0</v>
      </c>
      <c r="I2346" s="109" t="n">
        <f aca="false">'[2]$ лето'!ay2346*1.05</f>
        <v>4935</v>
      </c>
    </row>
    <row r="2347" customFormat="false" ht="15" hidden="false" customHeight="false" outlineLevel="0" collapsed="false">
      <c r="A2347" s="115" t="s">
        <v>2940</v>
      </c>
      <c r="B2347" s="115" t="s">
        <v>2710</v>
      </c>
      <c r="C2347" s="116" t="s">
        <v>2941</v>
      </c>
      <c r="D2347" s="116"/>
      <c r="E2347" s="116"/>
      <c r="F2347" s="116"/>
      <c r="G2347" s="108"/>
      <c r="H2347" s="105" t="n">
        <f aca="false">'[2]$ лето'!j2347-'[2]$ лето'!au2347-'[2]$ лето'!at2347-'[2]$ лето'!as2347-'[2]$ лето'!ar2347-'[2]$ лето'!aq2347-'[2]$ лето'!ap2347-'[2]$ лето'!an2347-'[2]$ лето'!am2347-'[2]$ лето'!al2347-'[2]$ лето'!ak2347-'[2]$ лето'!aj2347-'[2]$ лето'!ah2347-'[2]$ лето'!ag2347-'[2]$ лето'!af2347-'[2]$ лето'!ae2347-'[2]$ лето'!ad2347-'[2]$ лето'!ab2347-'[2]$ лето'!aa2347-'[2]$ лето'!z2347-'[2]$ лето'!y2347-'[2]$ лето'!x2347-'[2]$ лето'!v2347-'[2]$ лето'!u2347-'[2]$ лето'!t2347-'[2]$ лето'!s2347-'[2]$ лето'!r2347-'[2]$ лето'!p2347-'[2]$ лето'!o2347-'[2]$ лето'!n2347-'[2]$ лето'!m2347-'[2]$ лето'!l2347+'[2]$ лето'!k2347+'[2]$ лето'!q2347+'[2]$ лето'!w2347+'[2]$ лето'!ac2347+'[2]$ лето'!ai2347+'[2]$ лето'!ao2347</f>
        <v>2</v>
      </c>
      <c r="I2347" s="109" t="n">
        <f aca="false">'[2]$ лето'!ay2347*1.05</f>
        <v>6195</v>
      </c>
    </row>
    <row r="2348" customFormat="false" ht="15" hidden="false" customHeight="false" outlineLevel="0" collapsed="false">
      <c r="A2348" s="115" t="s">
        <v>2940</v>
      </c>
      <c r="B2348" s="115" t="s">
        <v>2710</v>
      </c>
      <c r="C2348" s="116" t="s">
        <v>2942</v>
      </c>
      <c r="D2348" s="116"/>
      <c r="E2348" s="116"/>
      <c r="F2348" s="116"/>
      <c r="G2348" s="108"/>
      <c r="H2348" s="105" t="n">
        <f aca="false">'[2]$ лето'!j2348-'[2]$ лето'!au2348-'[2]$ лето'!at2348-'[2]$ лето'!as2348-'[2]$ лето'!ar2348-'[2]$ лето'!aq2348-'[2]$ лето'!ap2348-'[2]$ лето'!an2348-'[2]$ лето'!am2348-'[2]$ лето'!al2348-'[2]$ лето'!ak2348-'[2]$ лето'!aj2348-'[2]$ лето'!ah2348-'[2]$ лето'!ag2348-'[2]$ лето'!af2348-'[2]$ лето'!ae2348-'[2]$ лето'!ad2348-'[2]$ лето'!ab2348-'[2]$ лето'!aa2348-'[2]$ лето'!z2348-'[2]$ лето'!y2348-'[2]$ лето'!x2348-'[2]$ лето'!v2348-'[2]$ лето'!u2348-'[2]$ лето'!t2348-'[2]$ лето'!s2348-'[2]$ лето'!r2348-'[2]$ лето'!p2348-'[2]$ лето'!o2348-'[2]$ лето'!n2348-'[2]$ лето'!m2348-'[2]$ лето'!l2348+'[2]$ лето'!k2348+'[2]$ лето'!q2348+'[2]$ лето'!w2348+'[2]$ лето'!ac2348+'[2]$ лето'!ai2348+'[2]$ лето'!ao2348</f>
        <v>4</v>
      </c>
      <c r="I2348" s="109" t="n">
        <f aca="false">'[2]$ лето'!ay2348*1.05</f>
        <v>6720</v>
      </c>
    </row>
    <row r="2349" customFormat="false" ht="15" hidden="false" customHeight="false" outlineLevel="0" collapsed="false">
      <c r="A2349" s="115" t="s">
        <v>2943</v>
      </c>
      <c r="B2349" s="115" t="s">
        <v>2699</v>
      </c>
      <c r="C2349" s="116" t="s">
        <v>2944</v>
      </c>
      <c r="D2349" s="116"/>
      <c r="E2349" s="116"/>
      <c r="F2349" s="116"/>
      <c r="G2349" s="108"/>
      <c r="H2349" s="105" t="n">
        <f aca="false">'[2]$ лето'!j2349-'[2]$ лето'!au2349-'[2]$ лето'!at2349-'[2]$ лето'!as2349-'[2]$ лето'!ar2349-'[2]$ лето'!aq2349-'[2]$ лето'!ap2349-'[2]$ лето'!an2349-'[2]$ лето'!am2349-'[2]$ лето'!al2349-'[2]$ лето'!ak2349-'[2]$ лето'!aj2349-'[2]$ лето'!ah2349-'[2]$ лето'!ag2349-'[2]$ лето'!af2349-'[2]$ лето'!ae2349-'[2]$ лето'!ad2349-'[2]$ лето'!ab2349-'[2]$ лето'!aa2349-'[2]$ лето'!z2349-'[2]$ лето'!y2349-'[2]$ лето'!x2349-'[2]$ лето'!v2349-'[2]$ лето'!u2349-'[2]$ лето'!t2349-'[2]$ лето'!s2349-'[2]$ лето'!r2349-'[2]$ лето'!p2349-'[2]$ лето'!o2349-'[2]$ лето'!n2349-'[2]$ лето'!m2349-'[2]$ лето'!l2349+'[2]$ лето'!k2349+'[2]$ лето'!q2349+'[2]$ лето'!w2349+'[2]$ лето'!ac2349+'[2]$ лето'!ai2349+'[2]$ лето'!ao2349</f>
        <v>32</v>
      </c>
      <c r="I2349" s="109" t="n">
        <f aca="false">'[2]$ лето'!ay2349*1.05</f>
        <v>5355</v>
      </c>
    </row>
    <row r="2350" customFormat="false" ht="15" hidden="false" customHeight="false" outlineLevel="0" collapsed="false">
      <c r="A2350" s="115" t="s">
        <v>2943</v>
      </c>
      <c r="B2350" s="115" t="s">
        <v>2699</v>
      </c>
      <c r="C2350" s="116" t="s">
        <v>2945</v>
      </c>
      <c r="D2350" s="116"/>
      <c r="E2350" s="116"/>
      <c r="F2350" s="116"/>
      <c r="G2350" s="108"/>
      <c r="H2350" s="105" t="n">
        <f aca="false">'[2]$ лето'!j2350-'[2]$ лето'!au2350-'[2]$ лето'!at2350-'[2]$ лето'!as2350-'[2]$ лето'!ar2350-'[2]$ лето'!aq2350-'[2]$ лето'!ap2350-'[2]$ лето'!an2350-'[2]$ лето'!am2350-'[2]$ лето'!al2350-'[2]$ лето'!ak2350-'[2]$ лето'!aj2350-'[2]$ лето'!ah2350-'[2]$ лето'!ag2350-'[2]$ лето'!af2350-'[2]$ лето'!ae2350-'[2]$ лето'!ad2350-'[2]$ лето'!ab2350-'[2]$ лето'!aa2350-'[2]$ лето'!z2350-'[2]$ лето'!y2350-'[2]$ лето'!x2350-'[2]$ лето'!v2350-'[2]$ лето'!u2350-'[2]$ лето'!t2350-'[2]$ лето'!s2350-'[2]$ лето'!r2350-'[2]$ лето'!p2350-'[2]$ лето'!o2350-'[2]$ лето'!n2350-'[2]$ лето'!m2350-'[2]$ лето'!l2350+'[2]$ лето'!k2350+'[2]$ лето'!q2350+'[2]$ лето'!w2350+'[2]$ лето'!ac2350+'[2]$ лето'!ai2350+'[2]$ лето'!ao2350</f>
        <v>15</v>
      </c>
      <c r="I2350" s="109" t="n">
        <f aca="false">'[2]$ лето'!ay2350*1.05</f>
        <v>5565</v>
      </c>
      <c r="J2350" s="85" t="s">
        <v>2946</v>
      </c>
    </row>
    <row r="2351" customFormat="false" ht="15" hidden="false" customHeight="false" outlineLevel="0" collapsed="false">
      <c r="A2351" s="115" t="s">
        <v>2943</v>
      </c>
      <c r="B2351" s="115" t="s">
        <v>991</v>
      </c>
      <c r="C2351" s="116" t="s">
        <v>2947</v>
      </c>
      <c r="D2351" s="116"/>
      <c r="E2351" s="116"/>
      <c r="F2351" s="116"/>
      <c r="G2351" s="108" t="s">
        <v>520</v>
      </c>
      <c r="H2351" s="105" t="n">
        <f aca="false">'[2]$ лето'!j2351-'[2]$ лето'!au2351-'[2]$ лето'!at2351-'[2]$ лето'!as2351-'[2]$ лето'!ar2351-'[2]$ лето'!aq2351-'[2]$ лето'!ap2351-'[2]$ лето'!an2351-'[2]$ лето'!am2351-'[2]$ лето'!al2351-'[2]$ лето'!ak2351-'[2]$ лето'!aj2351-'[2]$ лето'!ah2351-'[2]$ лето'!ag2351-'[2]$ лето'!af2351-'[2]$ лето'!ae2351-'[2]$ лето'!ad2351-'[2]$ лето'!ab2351-'[2]$ лето'!aa2351-'[2]$ лето'!z2351-'[2]$ лето'!y2351-'[2]$ лето'!x2351-'[2]$ лето'!v2351-'[2]$ лето'!u2351-'[2]$ лето'!t2351-'[2]$ лето'!s2351-'[2]$ лето'!r2351-'[2]$ лето'!p2351-'[2]$ лето'!o2351-'[2]$ лето'!n2351-'[2]$ лето'!m2351-'[2]$ лето'!l2351+'[2]$ лето'!k2351+'[2]$ лето'!q2351+'[2]$ лето'!w2351+'[2]$ лето'!ac2351+'[2]$ лето'!ai2351+'[2]$ лето'!ao2351</f>
        <v>2</v>
      </c>
      <c r="I2351" s="109" t="n">
        <f aca="false">'[2]$ лето'!ay2351*1.05</f>
        <v>7402.5</v>
      </c>
    </row>
    <row r="2352" customFormat="false" ht="15" hidden="false" customHeight="false" outlineLevel="0" collapsed="false">
      <c r="A2352" s="115" t="s">
        <v>2943</v>
      </c>
      <c r="B2352" s="115" t="s">
        <v>991</v>
      </c>
      <c r="C2352" s="116" t="s">
        <v>2897</v>
      </c>
      <c r="D2352" s="116"/>
      <c r="E2352" s="116"/>
      <c r="F2352" s="116"/>
      <c r="G2352" s="108" t="s">
        <v>520</v>
      </c>
      <c r="H2352" s="105" t="n">
        <f aca="false">'[2]$ лето'!j2352-'[2]$ лето'!au2352-'[2]$ лето'!at2352-'[2]$ лето'!as2352-'[2]$ лето'!ar2352-'[2]$ лето'!aq2352-'[2]$ лето'!ap2352-'[2]$ лето'!an2352-'[2]$ лето'!am2352-'[2]$ лето'!al2352-'[2]$ лето'!ak2352-'[2]$ лето'!aj2352-'[2]$ лето'!ah2352-'[2]$ лето'!ag2352-'[2]$ лето'!af2352-'[2]$ лето'!ae2352-'[2]$ лето'!ad2352-'[2]$ лето'!ab2352-'[2]$ лето'!aa2352-'[2]$ лето'!z2352-'[2]$ лето'!y2352-'[2]$ лето'!x2352-'[2]$ лето'!v2352-'[2]$ лето'!u2352-'[2]$ лето'!t2352-'[2]$ лето'!s2352-'[2]$ лето'!r2352-'[2]$ лето'!p2352-'[2]$ лето'!o2352-'[2]$ лето'!n2352-'[2]$ лето'!m2352-'[2]$ лето'!l2352+'[2]$ лето'!k2352+'[2]$ лето'!q2352+'[2]$ лето'!w2352+'[2]$ лето'!ac2352+'[2]$ лето'!ai2352+'[2]$ лето'!ao2352</f>
        <v>4</v>
      </c>
      <c r="I2352" s="109" t="n">
        <f aca="false">'[2]$ лето'!ay2352*1.05</f>
        <v>7822.5</v>
      </c>
    </row>
    <row r="2353" customFormat="false" ht="15" hidden="true" customHeight="false" outlineLevel="0" collapsed="false">
      <c r="A2353" s="115" t="s">
        <v>2943</v>
      </c>
      <c r="B2353" s="115" t="s">
        <v>2705</v>
      </c>
      <c r="C2353" s="116" t="s">
        <v>2706</v>
      </c>
      <c r="D2353" s="116"/>
      <c r="E2353" s="116"/>
      <c r="F2353" s="116"/>
      <c r="G2353" s="108"/>
      <c r="H2353" s="105" t="n">
        <f aca="false">'[2]$ лето'!j2353-'[2]$ лето'!au2353-'[2]$ лето'!at2353-'[2]$ лето'!as2353-'[2]$ лето'!ar2353-'[2]$ лето'!aq2353-'[2]$ лето'!ap2353-'[2]$ лето'!an2353-'[2]$ лето'!am2353-'[2]$ лето'!al2353-'[2]$ лето'!ak2353-'[2]$ лето'!aj2353-'[2]$ лето'!ah2353-'[2]$ лето'!ag2353-'[2]$ лето'!af2353-'[2]$ лето'!ae2353-'[2]$ лето'!ad2353-'[2]$ лето'!ab2353-'[2]$ лето'!aa2353-'[2]$ лето'!z2353-'[2]$ лето'!y2353-'[2]$ лето'!x2353-'[2]$ лето'!v2353-'[2]$ лето'!u2353-'[2]$ лето'!t2353-'[2]$ лето'!s2353-'[2]$ лето'!r2353-'[2]$ лето'!p2353-'[2]$ лето'!o2353-'[2]$ лето'!n2353-'[2]$ лето'!m2353-'[2]$ лето'!l2353+'[2]$ лето'!k2353+'[2]$ лето'!q2353+'[2]$ лето'!w2353+'[2]$ лето'!ac2353+'[2]$ лето'!ai2353+'[2]$ лето'!ao2353</f>
        <v>0</v>
      </c>
      <c r="I2353" s="109" t="n">
        <f aca="false">'[2]$ лето'!ay2353*1.05</f>
        <v>5250</v>
      </c>
    </row>
    <row r="2354" customFormat="false" ht="15" hidden="true" customHeight="false" outlineLevel="0" collapsed="false">
      <c r="A2354" s="115" t="s">
        <v>2943</v>
      </c>
      <c r="B2354" s="115" t="s">
        <v>2688</v>
      </c>
      <c r="C2354" s="116" t="s">
        <v>2948</v>
      </c>
      <c r="D2354" s="116"/>
      <c r="E2354" s="116"/>
      <c r="F2354" s="116"/>
      <c r="G2354" s="108"/>
      <c r="H2354" s="105" t="n">
        <f aca="false">'[2]$ лето'!j2354-'[2]$ лето'!au2354-'[2]$ лето'!at2354-'[2]$ лето'!as2354-'[2]$ лето'!ar2354-'[2]$ лето'!aq2354-'[2]$ лето'!ap2354-'[2]$ лето'!an2354-'[2]$ лето'!am2354-'[2]$ лето'!al2354-'[2]$ лето'!ak2354-'[2]$ лето'!aj2354-'[2]$ лето'!ah2354-'[2]$ лето'!ag2354-'[2]$ лето'!af2354-'[2]$ лето'!ae2354-'[2]$ лето'!ad2354-'[2]$ лето'!ab2354-'[2]$ лето'!aa2354-'[2]$ лето'!z2354-'[2]$ лето'!y2354-'[2]$ лето'!x2354-'[2]$ лето'!v2354-'[2]$ лето'!u2354-'[2]$ лето'!t2354-'[2]$ лето'!s2354-'[2]$ лето'!r2354-'[2]$ лето'!p2354-'[2]$ лето'!o2354-'[2]$ лето'!n2354-'[2]$ лето'!m2354-'[2]$ лето'!l2354+'[2]$ лето'!k2354+'[2]$ лето'!q2354+'[2]$ лето'!w2354+'[2]$ лето'!ac2354+'[2]$ лето'!ai2354+'[2]$ лето'!ao2354</f>
        <v>0</v>
      </c>
      <c r="I2354" s="109" t="n">
        <f aca="false">'[2]$ лето'!ay2354*1.05</f>
        <v>5250</v>
      </c>
    </row>
    <row r="2355" customFormat="false" ht="15" hidden="true" customHeight="false" outlineLevel="0" collapsed="false">
      <c r="A2355" s="115" t="s">
        <v>2943</v>
      </c>
      <c r="B2355" s="115" t="s">
        <v>2854</v>
      </c>
      <c r="C2355" s="116" t="s">
        <v>2949</v>
      </c>
      <c r="D2355" s="116"/>
      <c r="E2355" s="116"/>
      <c r="F2355" s="116"/>
      <c r="G2355" s="108"/>
      <c r="H2355" s="105" t="n">
        <f aca="false">'[2]$ лето'!j2355-'[2]$ лето'!au2355-'[2]$ лето'!at2355-'[2]$ лето'!as2355-'[2]$ лето'!ar2355-'[2]$ лето'!aq2355-'[2]$ лето'!ap2355-'[2]$ лето'!an2355-'[2]$ лето'!am2355-'[2]$ лето'!al2355-'[2]$ лето'!ak2355-'[2]$ лето'!aj2355-'[2]$ лето'!ah2355-'[2]$ лето'!ag2355-'[2]$ лето'!af2355-'[2]$ лето'!ae2355-'[2]$ лето'!ad2355-'[2]$ лето'!ab2355-'[2]$ лето'!aa2355-'[2]$ лето'!z2355-'[2]$ лето'!y2355-'[2]$ лето'!x2355-'[2]$ лето'!v2355-'[2]$ лето'!u2355-'[2]$ лето'!t2355-'[2]$ лето'!s2355-'[2]$ лето'!r2355-'[2]$ лето'!p2355-'[2]$ лето'!o2355-'[2]$ лето'!n2355-'[2]$ лето'!m2355-'[2]$ лето'!l2355+'[2]$ лето'!k2355+'[2]$ лето'!q2355+'[2]$ лето'!w2355+'[2]$ лето'!ac2355+'[2]$ лето'!ai2355+'[2]$ лето'!ao2355</f>
        <v>0</v>
      </c>
      <c r="I2355" s="109" t="n">
        <f aca="false">'[2]$ лето'!ay2355*1.05</f>
        <v>6262.2</v>
      </c>
    </row>
    <row r="2356" customFormat="false" ht="15" hidden="true" customHeight="false" outlineLevel="0" collapsed="false">
      <c r="A2356" s="115" t="s">
        <v>2943</v>
      </c>
      <c r="B2356" s="115" t="s">
        <v>2909</v>
      </c>
      <c r="C2356" s="116" t="s">
        <v>2910</v>
      </c>
      <c r="D2356" s="116"/>
      <c r="E2356" s="116"/>
      <c r="F2356" s="116"/>
      <c r="G2356" s="108"/>
      <c r="H2356" s="105" t="n">
        <f aca="false">'[2]$ лето'!j2356-'[2]$ лето'!au2356-'[2]$ лето'!at2356-'[2]$ лето'!as2356-'[2]$ лето'!ar2356-'[2]$ лето'!aq2356-'[2]$ лето'!ap2356-'[2]$ лето'!an2356-'[2]$ лето'!am2356-'[2]$ лето'!al2356-'[2]$ лето'!ak2356-'[2]$ лето'!aj2356-'[2]$ лето'!ah2356-'[2]$ лето'!ag2356-'[2]$ лето'!af2356-'[2]$ лето'!ae2356-'[2]$ лето'!ad2356-'[2]$ лето'!ab2356-'[2]$ лето'!aa2356-'[2]$ лето'!z2356-'[2]$ лето'!y2356-'[2]$ лето'!x2356-'[2]$ лето'!v2356-'[2]$ лето'!u2356-'[2]$ лето'!t2356-'[2]$ лето'!s2356-'[2]$ лето'!r2356-'[2]$ лето'!p2356-'[2]$ лето'!o2356-'[2]$ лето'!n2356-'[2]$ лето'!m2356-'[2]$ лето'!l2356+'[2]$ лето'!k2356+'[2]$ лето'!q2356+'[2]$ лето'!w2356+'[2]$ лето'!ac2356+'[2]$ лето'!ai2356+'[2]$ лето'!ao2356</f>
        <v>0</v>
      </c>
      <c r="I2356" s="109" t="n">
        <f aca="false">'[2]$ лето'!ay2356*1.05</f>
        <v>6300</v>
      </c>
    </row>
    <row r="2357" customFormat="false" ht="15" hidden="true" customHeight="false" outlineLevel="0" collapsed="false">
      <c r="A2357" s="115" t="s">
        <v>2943</v>
      </c>
      <c r="B2357" s="115" t="s">
        <v>601</v>
      </c>
      <c r="C2357" s="116" t="s">
        <v>2950</v>
      </c>
      <c r="D2357" s="116"/>
      <c r="E2357" s="116"/>
      <c r="F2357" s="116"/>
      <c r="G2357" s="108" t="s">
        <v>876</v>
      </c>
      <c r="H2357" s="105" t="n">
        <f aca="false">'[2]$ лето'!j2357-'[2]$ лето'!au2357-'[2]$ лето'!at2357-'[2]$ лето'!as2357-'[2]$ лето'!ar2357-'[2]$ лето'!aq2357-'[2]$ лето'!ap2357-'[2]$ лето'!an2357-'[2]$ лето'!am2357-'[2]$ лето'!al2357-'[2]$ лето'!ak2357-'[2]$ лето'!aj2357-'[2]$ лето'!ah2357-'[2]$ лето'!ag2357-'[2]$ лето'!af2357-'[2]$ лето'!ae2357-'[2]$ лето'!ad2357-'[2]$ лето'!ab2357-'[2]$ лето'!aa2357-'[2]$ лето'!z2357-'[2]$ лето'!y2357-'[2]$ лето'!x2357-'[2]$ лето'!v2357-'[2]$ лето'!u2357-'[2]$ лето'!t2357-'[2]$ лето'!s2357-'[2]$ лето'!r2357-'[2]$ лето'!p2357-'[2]$ лето'!o2357-'[2]$ лето'!n2357-'[2]$ лето'!m2357-'[2]$ лето'!l2357+'[2]$ лето'!k2357+'[2]$ лето'!q2357+'[2]$ лето'!w2357+'[2]$ лето'!ac2357+'[2]$ лето'!ai2357+'[2]$ лето'!ao2357</f>
        <v>0</v>
      </c>
      <c r="I2357" s="109" t="n">
        <f aca="false">'[2]$ лето'!ay2357*1.05</f>
        <v>11331.6</v>
      </c>
    </row>
    <row r="2358" customFormat="false" ht="15" hidden="false" customHeight="false" outlineLevel="0" collapsed="false">
      <c r="A2358" s="115" t="s">
        <v>2943</v>
      </c>
      <c r="B2358" s="115" t="s">
        <v>601</v>
      </c>
      <c r="C2358" s="116" t="s">
        <v>2951</v>
      </c>
      <c r="D2358" s="116"/>
      <c r="E2358" s="116"/>
      <c r="F2358" s="116"/>
      <c r="G2358" s="108" t="s">
        <v>935</v>
      </c>
      <c r="H2358" s="105" t="n">
        <f aca="false">'[2]$ лето'!j2358-'[2]$ лето'!au2358-'[2]$ лето'!at2358-'[2]$ лето'!as2358-'[2]$ лето'!ar2358-'[2]$ лето'!aq2358-'[2]$ лето'!ap2358-'[2]$ лето'!an2358-'[2]$ лето'!am2358-'[2]$ лето'!al2358-'[2]$ лето'!ak2358-'[2]$ лето'!aj2358-'[2]$ лето'!ah2358-'[2]$ лето'!ag2358-'[2]$ лето'!af2358-'[2]$ лето'!ae2358-'[2]$ лето'!ad2358-'[2]$ лето'!ab2358-'[2]$ лето'!aa2358-'[2]$ лето'!z2358-'[2]$ лето'!y2358-'[2]$ лето'!x2358-'[2]$ лето'!v2358-'[2]$ лето'!u2358-'[2]$ лето'!t2358-'[2]$ лето'!s2358-'[2]$ лето'!r2358-'[2]$ лето'!p2358-'[2]$ лето'!o2358-'[2]$ лето'!n2358-'[2]$ лето'!m2358-'[2]$ лето'!l2358+'[2]$ лето'!k2358+'[2]$ лето'!q2358+'[2]$ лето'!w2358+'[2]$ лето'!ac2358+'[2]$ лето'!ai2358+'[2]$ лето'!ao2358</f>
        <v>4</v>
      </c>
      <c r="I2358" s="109" t="n">
        <f aca="false">'[2]$ лето'!ay2358*1.05</f>
        <v>11778.9</v>
      </c>
      <c r="J2358" s="85" t="n">
        <v>2016</v>
      </c>
    </row>
    <row r="2359" customFormat="false" ht="15" hidden="true" customHeight="false" outlineLevel="0" collapsed="false">
      <c r="A2359" s="115" t="s">
        <v>2943</v>
      </c>
      <c r="B2359" s="115" t="s">
        <v>601</v>
      </c>
      <c r="C2359" s="116" t="s">
        <v>2951</v>
      </c>
      <c r="D2359" s="116"/>
      <c r="E2359" s="116"/>
      <c r="F2359" s="116"/>
      <c r="G2359" s="108" t="s">
        <v>876</v>
      </c>
      <c r="H2359" s="105" t="n">
        <f aca="false">'[2]$ лето'!j2359-'[2]$ лето'!au2359-'[2]$ лето'!at2359-'[2]$ лето'!as2359-'[2]$ лето'!ar2359-'[2]$ лето'!aq2359-'[2]$ лето'!ap2359-'[2]$ лето'!an2359-'[2]$ лето'!am2359-'[2]$ лето'!al2359-'[2]$ лето'!ak2359-'[2]$ лето'!aj2359-'[2]$ лето'!ah2359-'[2]$ лето'!ag2359-'[2]$ лето'!af2359-'[2]$ лето'!ae2359-'[2]$ лето'!ad2359-'[2]$ лето'!ab2359-'[2]$ лето'!aa2359-'[2]$ лето'!z2359-'[2]$ лето'!y2359-'[2]$ лето'!x2359-'[2]$ лето'!v2359-'[2]$ лето'!u2359-'[2]$ лето'!t2359-'[2]$ лето'!s2359-'[2]$ лето'!r2359-'[2]$ лето'!p2359-'[2]$ лето'!o2359-'[2]$ лето'!n2359-'[2]$ лето'!m2359-'[2]$ лето'!l2359+'[2]$ лето'!k2359+'[2]$ лето'!q2359+'[2]$ лето'!w2359+'[2]$ лето'!ac2359+'[2]$ лето'!ai2359+'[2]$ лето'!ao2359</f>
        <v>0</v>
      </c>
      <c r="I2359" s="109" t="n">
        <f aca="false">'[2]$ лето'!ay2359*1.05</f>
        <v>11331.6</v>
      </c>
    </row>
    <row r="2360" customFormat="false" ht="15" hidden="false" customHeight="false" outlineLevel="0" collapsed="false">
      <c r="A2360" s="115" t="s">
        <v>2943</v>
      </c>
      <c r="B2360" s="115" t="s">
        <v>601</v>
      </c>
      <c r="C2360" s="107" t="s">
        <v>2952</v>
      </c>
      <c r="D2360" s="107"/>
      <c r="E2360" s="116"/>
      <c r="F2360" s="116"/>
      <c r="G2360" s="108" t="s">
        <v>935</v>
      </c>
      <c r="H2360" s="105" t="n">
        <f aca="false">'[2]$ лето'!j2360-'[2]$ лето'!au2360-'[2]$ лето'!at2360-'[2]$ лето'!as2360-'[2]$ лето'!ar2360-'[2]$ лето'!aq2360-'[2]$ лето'!ap2360-'[2]$ лето'!an2360-'[2]$ лето'!am2360-'[2]$ лето'!al2360-'[2]$ лето'!ak2360-'[2]$ лето'!aj2360-'[2]$ лето'!ah2360-'[2]$ лето'!ag2360-'[2]$ лето'!af2360-'[2]$ лето'!ae2360-'[2]$ лето'!ad2360-'[2]$ лето'!ab2360-'[2]$ лето'!aa2360-'[2]$ лето'!z2360-'[2]$ лето'!y2360-'[2]$ лето'!x2360-'[2]$ лето'!v2360-'[2]$ лето'!u2360-'[2]$ лето'!t2360-'[2]$ лето'!s2360-'[2]$ лето'!r2360-'[2]$ лето'!p2360-'[2]$ лето'!o2360-'[2]$ лето'!n2360-'[2]$ лето'!m2360-'[2]$ лето'!l2360+'[2]$ лето'!k2360+'[2]$ лето'!q2360+'[2]$ лето'!w2360+'[2]$ лето'!ac2360+'[2]$ лето'!ai2360+'[2]$ лето'!ao2360</f>
        <v>16</v>
      </c>
      <c r="I2360" s="109" t="n">
        <f aca="false">'[2]$ лето'!ay2360*1.05</f>
        <v>12077.1</v>
      </c>
      <c r="J2360" s="85" t="s">
        <v>2953</v>
      </c>
    </row>
    <row r="2361" customFormat="false" ht="15" hidden="true" customHeight="false" outlineLevel="0" collapsed="false">
      <c r="A2361" s="115" t="s">
        <v>2943</v>
      </c>
      <c r="B2361" s="115" t="s">
        <v>601</v>
      </c>
      <c r="C2361" s="107" t="s">
        <v>2952</v>
      </c>
      <c r="D2361" s="107"/>
      <c r="E2361" s="107"/>
      <c r="F2361" s="107"/>
      <c r="G2361" s="108" t="s">
        <v>1127</v>
      </c>
      <c r="H2361" s="105" t="n">
        <f aca="false">'[2]$ лето'!j2361-'[2]$ лето'!au2361-'[2]$ лето'!at2361-'[2]$ лето'!as2361-'[2]$ лето'!ar2361-'[2]$ лето'!aq2361-'[2]$ лето'!ap2361-'[2]$ лето'!an2361-'[2]$ лето'!am2361-'[2]$ лето'!al2361-'[2]$ лето'!ak2361-'[2]$ лето'!aj2361-'[2]$ лето'!ah2361-'[2]$ лето'!ag2361-'[2]$ лето'!af2361-'[2]$ лето'!ae2361-'[2]$ лето'!ad2361-'[2]$ лето'!ab2361-'[2]$ лето'!aa2361-'[2]$ лето'!z2361-'[2]$ лето'!y2361-'[2]$ лето'!x2361-'[2]$ лето'!v2361-'[2]$ лето'!u2361-'[2]$ лето'!t2361-'[2]$ лето'!s2361-'[2]$ лето'!r2361-'[2]$ лето'!p2361-'[2]$ лето'!o2361-'[2]$ лето'!n2361-'[2]$ лето'!m2361-'[2]$ лето'!l2361+'[2]$ лето'!k2361+'[2]$ лето'!q2361+'[2]$ лето'!w2361+'[2]$ лето'!ac2361+'[2]$ лето'!ai2361+'[2]$ лето'!ao2361</f>
        <v>0</v>
      </c>
      <c r="I2361" s="109" t="n">
        <f aca="false">'[2]$ лето'!ay2361*1.05</f>
        <v>11629.8</v>
      </c>
    </row>
    <row r="2362" customFormat="false" ht="15" hidden="true" customHeight="false" outlineLevel="0" collapsed="false">
      <c r="A2362" s="115" t="s">
        <v>2943</v>
      </c>
      <c r="B2362" s="115" t="s">
        <v>2954</v>
      </c>
      <c r="C2362" s="107" t="s">
        <v>2955</v>
      </c>
      <c r="D2362" s="107"/>
      <c r="E2362" s="107"/>
      <c r="F2362" s="107"/>
      <c r="G2362" s="108"/>
      <c r="H2362" s="105" t="n">
        <f aca="false">'[2]$ лето'!j2362-'[2]$ лето'!au2362-'[2]$ лето'!at2362-'[2]$ лето'!as2362-'[2]$ лето'!ar2362-'[2]$ лето'!aq2362-'[2]$ лето'!ap2362-'[2]$ лето'!an2362-'[2]$ лето'!am2362-'[2]$ лето'!al2362-'[2]$ лето'!ak2362-'[2]$ лето'!aj2362-'[2]$ лето'!ah2362-'[2]$ лето'!ag2362-'[2]$ лето'!af2362-'[2]$ лето'!ae2362-'[2]$ лето'!ad2362-'[2]$ лето'!ab2362-'[2]$ лето'!aa2362-'[2]$ лето'!z2362-'[2]$ лето'!y2362-'[2]$ лето'!x2362-'[2]$ лето'!v2362-'[2]$ лето'!u2362-'[2]$ лето'!t2362-'[2]$ лето'!s2362-'[2]$ лето'!r2362-'[2]$ лето'!p2362-'[2]$ лето'!o2362-'[2]$ лето'!n2362-'[2]$ лето'!m2362-'[2]$ лето'!l2362+'[2]$ лето'!k2362+'[2]$ лето'!q2362+'[2]$ лето'!w2362+'[2]$ лето'!ac2362+'[2]$ лето'!ai2362+'[2]$ лето'!ao2362</f>
        <v>0</v>
      </c>
      <c r="I2362" s="109" t="n">
        <f aca="false">'[2]$ лето'!ay2362*1.05</f>
        <v>5985</v>
      </c>
    </row>
    <row r="2363" customFormat="false" ht="15" hidden="true" customHeight="false" outlineLevel="0" collapsed="false">
      <c r="A2363" s="115" t="s">
        <v>2943</v>
      </c>
      <c r="B2363" s="115" t="s">
        <v>2813</v>
      </c>
      <c r="C2363" s="107" t="s">
        <v>2956</v>
      </c>
      <c r="D2363" s="107"/>
      <c r="E2363" s="107"/>
      <c r="F2363" s="107"/>
      <c r="G2363" s="108"/>
      <c r="H2363" s="105" t="n">
        <f aca="false">'[2]$ лето'!j2363-'[2]$ лето'!au2363-'[2]$ лето'!at2363-'[2]$ лето'!as2363-'[2]$ лето'!ar2363-'[2]$ лето'!aq2363-'[2]$ лето'!ap2363-'[2]$ лето'!an2363-'[2]$ лето'!am2363-'[2]$ лето'!al2363-'[2]$ лето'!ak2363-'[2]$ лето'!aj2363-'[2]$ лето'!ah2363-'[2]$ лето'!ag2363-'[2]$ лето'!af2363-'[2]$ лето'!ae2363-'[2]$ лето'!ad2363-'[2]$ лето'!ab2363-'[2]$ лето'!aa2363-'[2]$ лето'!z2363-'[2]$ лето'!y2363-'[2]$ лето'!x2363-'[2]$ лето'!v2363-'[2]$ лето'!u2363-'[2]$ лето'!t2363-'[2]$ лето'!s2363-'[2]$ лето'!r2363-'[2]$ лето'!p2363-'[2]$ лето'!o2363-'[2]$ лето'!n2363-'[2]$ лето'!m2363-'[2]$ лето'!l2363+'[2]$ лето'!k2363+'[2]$ лето'!q2363+'[2]$ лето'!w2363+'[2]$ лето'!ac2363+'[2]$ лето'!ai2363+'[2]$ лето'!ao2363</f>
        <v>0</v>
      </c>
      <c r="I2363" s="109" t="n">
        <f aca="false">'[2]$ лето'!ay2363*1.05</f>
        <v>5670</v>
      </c>
    </row>
    <row r="2364" customFormat="false" ht="15" hidden="false" customHeight="false" outlineLevel="0" collapsed="false">
      <c r="A2364" s="115" t="s">
        <v>2943</v>
      </c>
      <c r="B2364" s="115" t="s">
        <v>2710</v>
      </c>
      <c r="C2364" s="107" t="s">
        <v>2957</v>
      </c>
      <c r="D2364" s="107"/>
      <c r="E2364" s="116"/>
      <c r="F2364" s="116"/>
      <c r="G2364" s="108"/>
      <c r="H2364" s="105" t="n">
        <f aca="false">'[2]$ лето'!j2364-'[2]$ лето'!au2364-'[2]$ лето'!at2364-'[2]$ лето'!as2364-'[2]$ лето'!ar2364-'[2]$ лето'!aq2364-'[2]$ лето'!ap2364-'[2]$ лето'!an2364-'[2]$ лето'!am2364-'[2]$ лето'!al2364-'[2]$ лето'!ak2364-'[2]$ лето'!aj2364-'[2]$ лето'!ah2364-'[2]$ лето'!ag2364-'[2]$ лето'!af2364-'[2]$ лето'!ae2364-'[2]$ лето'!ad2364-'[2]$ лето'!ab2364-'[2]$ лето'!aa2364-'[2]$ лето'!z2364-'[2]$ лето'!y2364-'[2]$ лето'!x2364-'[2]$ лето'!v2364-'[2]$ лето'!u2364-'[2]$ лето'!t2364-'[2]$ лето'!s2364-'[2]$ лето'!r2364-'[2]$ лето'!p2364-'[2]$ лето'!o2364-'[2]$ лето'!n2364-'[2]$ лето'!m2364-'[2]$ лето'!l2364+'[2]$ лето'!k2364+'[2]$ лето'!q2364+'[2]$ лето'!w2364+'[2]$ лето'!ac2364+'[2]$ лето'!ai2364+'[2]$ лето'!ao2364</f>
        <v>4</v>
      </c>
      <c r="I2364" s="109" t="n">
        <f aca="false">'[2]$ лето'!ay2364*1.05</f>
        <v>7140</v>
      </c>
    </row>
    <row r="2365" customFormat="false" ht="15" hidden="false" customHeight="false" outlineLevel="0" collapsed="false">
      <c r="A2365" s="115" t="s">
        <v>2943</v>
      </c>
      <c r="B2365" s="115" t="s">
        <v>707</v>
      </c>
      <c r="C2365" s="107" t="s">
        <v>2958</v>
      </c>
      <c r="D2365" s="107"/>
      <c r="E2365" s="116"/>
      <c r="F2365" s="116"/>
      <c r="G2365" s="108" t="s">
        <v>2959</v>
      </c>
      <c r="H2365" s="105" t="n">
        <f aca="false">'[2]$ лето'!j2365-'[2]$ лето'!au2365-'[2]$ лето'!at2365-'[2]$ лето'!as2365-'[2]$ лето'!ar2365-'[2]$ лето'!aq2365-'[2]$ лето'!ap2365-'[2]$ лето'!an2365-'[2]$ лето'!am2365-'[2]$ лето'!al2365-'[2]$ лето'!ak2365-'[2]$ лето'!aj2365-'[2]$ лето'!ah2365-'[2]$ лето'!ag2365-'[2]$ лето'!af2365-'[2]$ лето'!ae2365-'[2]$ лето'!ad2365-'[2]$ лето'!ab2365-'[2]$ лето'!aa2365-'[2]$ лето'!z2365-'[2]$ лето'!y2365-'[2]$ лето'!x2365-'[2]$ лето'!v2365-'[2]$ лето'!u2365-'[2]$ лето'!t2365-'[2]$ лето'!s2365-'[2]$ лето'!r2365-'[2]$ лето'!p2365-'[2]$ лето'!o2365-'[2]$ лето'!n2365-'[2]$ лето'!m2365-'[2]$ лето'!l2365+'[2]$ лето'!k2365+'[2]$ лето'!q2365+'[2]$ лето'!w2365+'[2]$ лето'!ac2365+'[2]$ лето'!ai2365+'[2]$ лето'!ao2365</f>
        <v>2</v>
      </c>
      <c r="I2365" s="109" t="n">
        <f aca="false">'[2]$ лето'!ay2365*1.05</f>
        <v>11033.4</v>
      </c>
      <c r="J2365" s="85" t="n">
        <v>2015</v>
      </c>
    </row>
    <row r="2366" customFormat="false" ht="15" hidden="true" customHeight="false" outlineLevel="0" collapsed="false">
      <c r="A2366" s="115" t="s">
        <v>2943</v>
      </c>
      <c r="B2366" s="115" t="s">
        <v>707</v>
      </c>
      <c r="C2366" s="107" t="s">
        <v>2960</v>
      </c>
      <c r="D2366" s="107"/>
      <c r="E2366" s="107"/>
      <c r="F2366" s="107"/>
      <c r="G2366" s="108"/>
      <c r="H2366" s="105" t="n">
        <f aca="false">'[2]$ лето'!j2366-'[2]$ лето'!au2366-'[2]$ лето'!at2366-'[2]$ лето'!as2366-'[2]$ лето'!ar2366-'[2]$ лето'!aq2366-'[2]$ лето'!ap2366-'[2]$ лето'!an2366-'[2]$ лето'!am2366-'[2]$ лето'!al2366-'[2]$ лето'!ak2366-'[2]$ лето'!aj2366-'[2]$ лето'!ah2366-'[2]$ лето'!ag2366-'[2]$ лето'!af2366-'[2]$ лето'!ae2366-'[2]$ лето'!ad2366-'[2]$ лето'!ab2366-'[2]$ лето'!aa2366-'[2]$ лето'!z2366-'[2]$ лето'!y2366-'[2]$ лето'!x2366-'[2]$ лето'!v2366-'[2]$ лето'!u2366-'[2]$ лето'!t2366-'[2]$ лето'!s2366-'[2]$ лето'!r2366-'[2]$ лето'!p2366-'[2]$ лето'!o2366-'[2]$ лето'!n2366-'[2]$ лето'!m2366-'[2]$ лето'!l2366+'[2]$ лето'!k2366+'[2]$ лето'!q2366+'[2]$ лето'!w2366+'[2]$ лето'!ac2366+'[2]$ лето'!ai2366+'[2]$ лето'!ao2366</f>
        <v>0</v>
      </c>
      <c r="I2366" s="109" t="n">
        <f aca="false">'[2]$ лето'!ay2366*1.05</f>
        <v>10854.48</v>
      </c>
    </row>
    <row r="2367" customFormat="false" ht="15" hidden="true" customHeight="false" outlineLevel="0" collapsed="false">
      <c r="A2367" s="115" t="s">
        <v>2943</v>
      </c>
      <c r="B2367" s="115" t="s">
        <v>707</v>
      </c>
      <c r="C2367" s="107" t="s">
        <v>2961</v>
      </c>
      <c r="D2367" s="107"/>
      <c r="E2367" s="107"/>
      <c r="F2367" s="107"/>
      <c r="G2367" s="108" t="s">
        <v>2827</v>
      </c>
      <c r="H2367" s="105" t="n">
        <f aca="false">'[2]$ лето'!j2367-'[2]$ лето'!au2367-'[2]$ лето'!at2367-'[2]$ лето'!as2367-'[2]$ лето'!ar2367-'[2]$ лето'!aq2367-'[2]$ лето'!ap2367-'[2]$ лето'!an2367-'[2]$ лето'!am2367-'[2]$ лето'!al2367-'[2]$ лето'!ak2367-'[2]$ лето'!aj2367-'[2]$ лето'!ah2367-'[2]$ лето'!ag2367-'[2]$ лето'!af2367-'[2]$ лето'!ae2367-'[2]$ лето'!ad2367-'[2]$ лето'!ab2367-'[2]$ лето'!aa2367-'[2]$ лето'!z2367-'[2]$ лето'!y2367-'[2]$ лето'!x2367-'[2]$ лето'!v2367-'[2]$ лето'!u2367-'[2]$ лето'!t2367-'[2]$ лето'!s2367-'[2]$ лето'!r2367-'[2]$ лето'!p2367-'[2]$ лето'!o2367-'[2]$ лето'!n2367-'[2]$ лето'!m2367-'[2]$ лето'!l2367+'[2]$ лето'!k2367+'[2]$ лето'!q2367+'[2]$ лето'!w2367+'[2]$ лето'!ac2367+'[2]$ лето'!ai2367+'[2]$ лето'!ao2367</f>
        <v>0</v>
      </c>
      <c r="I2367" s="109" t="n">
        <f aca="false">'[2]$ лето'!ay2367*1.05</f>
        <v>10735.2</v>
      </c>
    </row>
    <row r="2368" customFormat="false" ht="15" hidden="true" customHeight="false" outlineLevel="0" collapsed="false">
      <c r="A2368" s="115" t="s">
        <v>2943</v>
      </c>
      <c r="B2368" s="115" t="s">
        <v>707</v>
      </c>
      <c r="C2368" s="107" t="s">
        <v>2962</v>
      </c>
      <c r="D2368" s="107"/>
      <c r="E2368" s="107"/>
      <c r="F2368" s="107"/>
      <c r="G2368" s="108" t="s">
        <v>2963</v>
      </c>
      <c r="H2368" s="105" t="n">
        <f aca="false">'[2]$ лето'!j2368-'[2]$ лето'!au2368-'[2]$ лето'!at2368-'[2]$ лето'!as2368-'[2]$ лето'!ar2368-'[2]$ лето'!aq2368-'[2]$ лето'!ap2368-'[2]$ лето'!an2368-'[2]$ лето'!am2368-'[2]$ лето'!al2368-'[2]$ лето'!ak2368-'[2]$ лето'!aj2368-'[2]$ лето'!ah2368-'[2]$ лето'!ag2368-'[2]$ лето'!af2368-'[2]$ лето'!ae2368-'[2]$ лето'!ad2368-'[2]$ лето'!ab2368-'[2]$ лето'!aa2368-'[2]$ лето'!z2368-'[2]$ лето'!y2368-'[2]$ лето'!x2368-'[2]$ лето'!v2368-'[2]$ лето'!u2368-'[2]$ лето'!t2368-'[2]$ лето'!s2368-'[2]$ лето'!r2368-'[2]$ лето'!p2368-'[2]$ лето'!o2368-'[2]$ лето'!n2368-'[2]$ лето'!m2368-'[2]$ лето'!l2368+'[2]$ лето'!k2368+'[2]$ лето'!q2368+'[2]$ лето'!w2368+'[2]$ лето'!ac2368+'[2]$ лето'!ai2368+'[2]$ лето'!ao2368</f>
        <v>0</v>
      </c>
      <c r="I2368" s="109" t="n">
        <f aca="false">'[2]$ лето'!ay2368*1.05</f>
        <v>10735.2</v>
      </c>
    </row>
    <row r="2369" customFormat="false" ht="15" hidden="true" customHeight="false" outlineLevel="0" collapsed="false">
      <c r="A2369" s="115" t="s">
        <v>2943</v>
      </c>
      <c r="B2369" s="115" t="s">
        <v>553</v>
      </c>
      <c r="C2369" s="107" t="s">
        <v>2964</v>
      </c>
      <c r="D2369" s="107"/>
      <c r="E2369" s="107"/>
      <c r="F2369" s="107"/>
      <c r="G2369" s="108"/>
      <c r="H2369" s="105" t="n">
        <f aca="false">'[2]$ лето'!j2369-'[2]$ лето'!au2369-'[2]$ лето'!at2369-'[2]$ лето'!as2369-'[2]$ лето'!ar2369-'[2]$ лето'!aq2369-'[2]$ лето'!ap2369-'[2]$ лето'!an2369-'[2]$ лето'!am2369-'[2]$ лето'!al2369-'[2]$ лето'!ak2369-'[2]$ лето'!aj2369-'[2]$ лето'!ah2369-'[2]$ лето'!ag2369-'[2]$ лето'!af2369-'[2]$ лето'!ae2369-'[2]$ лето'!ad2369-'[2]$ лето'!ab2369-'[2]$ лето'!aa2369-'[2]$ лето'!z2369-'[2]$ лето'!y2369-'[2]$ лето'!x2369-'[2]$ лето'!v2369-'[2]$ лето'!u2369-'[2]$ лето'!t2369-'[2]$ лето'!s2369-'[2]$ лето'!r2369-'[2]$ лето'!p2369-'[2]$ лето'!o2369-'[2]$ лето'!n2369-'[2]$ лето'!m2369-'[2]$ лето'!l2369+'[2]$ лето'!k2369+'[2]$ лето'!q2369+'[2]$ лето'!w2369+'[2]$ лето'!ac2369+'[2]$ лето'!ai2369+'[2]$ лето'!ao2369</f>
        <v>0</v>
      </c>
      <c r="I2369" s="109" t="n">
        <f aca="false">'[2]$ лето'!ay2369*1.05</f>
        <v>8051.4</v>
      </c>
    </row>
    <row r="2370" customFormat="false" ht="15" hidden="true" customHeight="false" outlineLevel="0" collapsed="false">
      <c r="A2370" s="115" t="s">
        <v>2943</v>
      </c>
      <c r="B2370" s="115" t="s">
        <v>553</v>
      </c>
      <c r="C2370" s="107" t="s">
        <v>2965</v>
      </c>
      <c r="D2370" s="107"/>
      <c r="E2370" s="107"/>
      <c r="F2370" s="107"/>
      <c r="G2370" s="108"/>
      <c r="H2370" s="105" t="n">
        <f aca="false">'[2]$ лето'!j2370-'[2]$ лето'!au2370-'[2]$ лето'!at2370-'[2]$ лето'!as2370-'[2]$ лето'!ar2370-'[2]$ лето'!aq2370-'[2]$ лето'!ap2370-'[2]$ лето'!an2370-'[2]$ лето'!am2370-'[2]$ лето'!al2370-'[2]$ лето'!ak2370-'[2]$ лето'!aj2370-'[2]$ лето'!ah2370-'[2]$ лето'!ag2370-'[2]$ лето'!af2370-'[2]$ лето'!ae2370-'[2]$ лето'!ad2370-'[2]$ лето'!ab2370-'[2]$ лето'!aa2370-'[2]$ лето'!z2370-'[2]$ лето'!y2370-'[2]$ лето'!x2370-'[2]$ лето'!v2370-'[2]$ лето'!u2370-'[2]$ лето'!t2370-'[2]$ лето'!s2370-'[2]$ лето'!r2370-'[2]$ лето'!p2370-'[2]$ лето'!o2370-'[2]$ лето'!n2370-'[2]$ лето'!m2370-'[2]$ лето'!l2370+'[2]$ лето'!k2370+'[2]$ лето'!q2370+'[2]$ лето'!w2370+'[2]$ лето'!ac2370+'[2]$ лето'!ai2370+'[2]$ лето'!ao2370</f>
        <v>0</v>
      </c>
      <c r="I2370" s="109" t="n">
        <f aca="false">'[2]$ лето'!ay2370*1.05</f>
        <v>8051.4</v>
      </c>
    </row>
    <row r="2371" customFormat="false" ht="15" hidden="false" customHeight="false" outlineLevel="0" collapsed="false">
      <c r="A2371" s="115" t="s">
        <v>2943</v>
      </c>
      <c r="B2371" s="115" t="s">
        <v>2860</v>
      </c>
      <c r="C2371" s="107" t="s">
        <v>2966</v>
      </c>
      <c r="D2371" s="107"/>
      <c r="E2371" s="116"/>
      <c r="F2371" s="116"/>
      <c r="G2371" s="108"/>
      <c r="H2371" s="105" t="n">
        <f aca="false">'[2]$ лето'!j2371-'[2]$ лето'!au2371-'[2]$ лето'!at2371-'[2]$ лето'!as2371-'[2]$ лето'!ar2371-'[2]$ лето'!aq2371-'[2]$ лето'!ap2371-'[2]$ лето'!an2371-'[2]$ лето'!am2371-'[2]$ лето'!al2371-'[2]$ лето'!ak2371-'[2]$ лето'!aj2371-'[2]$ лето'!ah2371-'[2]$ лето'!ag2371-'[2]$ лето'!af2371-'[2]$ лето'!ae2371-'[2]$ лето'!ad2371-'[2]$ лето'!ab2371-'[2]$ лето'!aa2371-'[2]$ лето'!z2371-'[2]$ лето'!y2371-'[2]$ лето'!x2371-'[2]$ лето'!v2371-'[2]$ лето'!u2371-'[2]$ лето'!t2371-'[2]$ лето'!s2371-'[2]$ лето'!r2371-'[2]$ лето'!p2371-'[2]$ лето'!o2371-'[2]$ лето'!n2371-'[2]$ лето'!m2371-'[2]$ лето'!l2371+'[2]$ лето'!k2371+'[2]$ лето'!q2371+'[2]$ лето'!w2371+'[2]$ лето'!ac2371+'[2]$ лето'!ai2371+'[2]$ лето'!ao2371</f>
        <v>16</v>
      </c>
      <c r="I2371" s="109" t="n">
        <f aca="false">'[2]$ лето'!ay2371*1.05</f>
        <v>5775</v>
      </c>
    </row>
    <row r="2372" customFormat="false" ht="15" hidden="true" customHeight="false" outlineLevel="0" collapsed="false">
      <c r="A2372" s="115" t="s">
        <v>2943</v>
      </c>
      <c r="B2372" s="115" t="s">
        <v>2713</v>
      </c>
      <c r="C2372" s="107" t="s">
        <v>2967</v>
      </c>
      <c r="D2372" s="107"/>
      <c r="E2372" s="107"/>
      <c r="F2372" s="107"/>
      <c r="G2372" s="108"/>
      <c r="H2372" s="105" t="n">
        <f aca="false">'[2]$ лето'!j2372-'[2]$ лето'!au2372-'[2]$ лето'!at2372-'[2]$ лето'!as2372-'[2]$ лето'!ar2372-'[2]$ лето'!aq2372-'[2]$ лето'!ap2372-'[2]$ лето'!an2372-'[2]$ лето'!am2372-'[2]$ лето'!al2372-'[2]$ лето'!ak2372-'[2]$ лето'!aj2372-'[2]$ лето'!ah2372-'[2]$ лето'!ag2372-'[2]$ лето'!af2372-'[2]$ лето'!ae2372-'[2]$ лето'!ad2372-'[2]$ лето'!ab2372-'[2]$ лето'!aa2372-'[2]$ лето'!z2372-'[2]$ лето'!y2372-'[2]$ лето'!x2372-'[2]$ лето'!v2372-'[2]$ лето'!u2372-'[2]$ лето'!t2372-'[2]$ лето'!s2372-'[2]$ лето'!r2372-'[2]$ лето'!p2372-'[2]$ лето'!o2372-'[2]$ лето'!n2372-'[2]$ лето'!m2372-'[2]$ лето'!l2372+'[2]$ лето'!k2372+'[2]$ лето'!q2372+'[2]$ лето'!w2372+'[2]$ лето'!ac2372+'[2]$ лето'!ai2372+'[2]$ лето'!ao2372</f>
        <v>0</v>
      </c>
      <c r="I2372" s="109" t="n">
        <f aca="false">'[2]$ лето'!ay2372*1.05</f>
        <v>5040</v>
      </c>
    </row>
    <row r="2373" customFormat="false" ht="15" hidden="true" customHeight="false" outlineLevel="0" collapsed="false">
      <c r="A2373" s="115" t="s">
        <v>2943</v>
      </c>
      <c r="B2373" s="115" t="s">
        <v>604</v>
      </c>
      <c r="C2373" s="107" t="s">
        <v>2968</v>
      </c>
      <c r="D2373" s="107"/>
      <c r="E2373" s="107"/>
      <c r="F2373" s="107"/>
      <c r="G2373" s="108"/>
      <c r="H2373" s="105" t="n">
        <f aca="false">'[2]$ лето'!j2373-'[2]$ лето'!au2373-'[2]$ лето'!at2373-'[2]$ лето'!as2373-'[2]$ лето'!ar2373-'[2]$ лето'!aq2373-'[2]$ лето'!ap2373-'[2]$ лето'!an2373-'[2]$ лето'!am2373-'[2]$ лето'!al2373-'[2]$ лето'!ak2373-'[2]$ лето'!aj2373-'[2]$ лето'!ah2373-'[2]$ лето'!ag2373-'[2]$ лето'!af2373-'[2]$ лето'!ae2373-'[2]$ лето'!ad2373-'[2]$ лето'!ab2373-'[2]$ лето'!aa2373-'[2]$ лето'!z2373-'[2]$ лето'!y2373-'[2]$ лето'!x2373-'[2]$ лето'!v2373-'[2]$ лето'!u2373-'[2]$ лето'!t2373-'[2]$ лето'!s2373-'[2]$ лето'!r2373-'[2]$ лето'!p2373-'[2]$ лето'!o2373-'[2]$ лето'!n2373-'[2]$ лето'!m2373-'[2]$ лето'!l2373+'[2]$ лето'!k2373+'[2]$ лето'!q2373+'[2]$ лето'!w2373+'[2]$ лето'!ac2373+'[2]$ лето'!ai2373+'[2]$ лето'!ao2373</f>
        <v>0</v>
      </c>
      <c r="I2373" s="109" t="n">
        <f aca="false">'[2]$ лето'!ay2373*1.05</f>
        <v>9393.3</v>
      </c>
    </row>
    <row r="2374" customFormat="false" ht="15" hidden="true" customHeight="false" outlineLevel="0" collapsed="false">
      <c r="A2374" s="115" t="s">
        <v>2943</v>
      </c>
      <c r="B2374" s="115" t="s">
        <v>2286</v>
      </c>
      <c r="C2374" s="107" t="s">
        <v>2969</v>
      </c>
      <c r="D2374" s="107"/>
      <c r="E2374" s="107"/>
      <c r="F2374" s="107"/>
      <c r="G2374" s="108" t="s">
        <v>2827</v>
      </c>
      <c r="H2374" s="105" t="n">
        <f aca="false">'[2]$ лето'!j2374-'[2]$ лето'!au2374-'[2]$ лето'!at2374-'[2]$ лето'!as2374-'[2]$ лето'!ar2374-'[2]$ лето'!aq2374-'[2]$ лето'!ap2374-'[2]$ лето'!an2374-'[2]$ лето'!am2374-'[2]$ лето'!al2374-'[2]$ лето'!ak2374-'[2]$ лето'!aj2374-'[2]$ лето'!ah2374-'[2]$ лето'!ag2374-'[2]$ лето'!af2374-'[2]$ лето'!ae2374-'[2]$ лето'!ad2374-'[2]$ лето'!ab2374-'[2]$ лето'!aa2374-'[2]$ лето'!z2374-'[2]$ лето'!y2374-'[2]$ лето'!x2374-'[2]$ лето'!v2374-'[2]$ лето'!u2374-'[2]$ лето'!t2374-'[2]$ лето'!s2374-'[2]$ лето'!r2374-'[2]$ лето'!p2374-'[2]$ лето'!o2374-'[2]$ лето'!n2374-'[2]$ лето'!m2374-'[2]$ лето'!l2374+'[2]$ лето'!k2374+'[2]$ лето'!q2374+'[2]$ лето'!w2374+'[2]$ лето'!ac2374+'[2]$ лето'!ai2374+'[2]$ лето'!ao2374</f>
        <v>0</v>
      </c>
      <c r="I2374" s="109" t="n">
        <f aca="false">'[2]$ лето'!ay2374*1.05</f>
        <v>11421.06</v>
      </c>
      <c r="J2374" s="85" t="n">
        <v>2016</v>
      </c>
    </row>
    <row r="2375" customFormat="false" ht="15" hidden="false" customHeight="false" outlineLevel="0" collapsed="false">
      <c r="A2375" s="115" t="s">
        <v>2943</v>
      </c>
      <c r="B2375" s="115" t="s">
        <v>2970</v>
      </c>
      <c r="C2375" s="107" t="s">
        <v>2971</v>
      </c>
      <c r="D2375" s="107"/>
      <c r="E2375" s="116"/>
      <c r="F2375" s="116"/>
      <c r="G2375" s="108"/>
      <c r="H2375" s="105" t="n">
        <f aca="false">'[2]$ лето'!j2375-'[2]$ лето'!au2375-'[2]$ лето'!at2375-'[2]$ лето'!as2375-'[2]$ лето'!ar2375-'[2]$ лето'!aq2375-'[2]$ лето'!ap2375-'[2]$ лето'!an2375-'[2]$ лето'!am2375-'[2]$ лето'!al2375-'[2]$ лето'!ak2375-'[2]$ лето'!aj2375-'[2]$ лето'!ah2375-'[2]$ лето'!ag2375-'[2]$ лето'!af2375-'[2]$ лето'!ae2375-'[2]$ лето'!ad2375-'[2]$ лето'!ab2375-'[2]$ лето'!aa2375-'[2]$ лето'!z2375-'[2]$ лето'!y2375-'[2]$ лето'!x2375-'[2]$ лето'!v2375-'[2]$ лето'!u2375-'[2]$ лето'!t2375-'[2]$ лето'!s2375-'[2]$ лето'!r2375-'[2]$ лето'!p2375-'[2]$ лето'!o2375-'[2]$ лето'!n2375-'[2]$ лето'!m2375-'[2]$ лето'!l2375+'[2]$ лето'!k2375+'[2]$ лето'!q2375+'[2]$ лето'!w2375+'[2]$ лето'!ac2375+'[2]$ лето'!ai2375+'[2]$ лето'!ao2375</f>
        <v>8</v>
      </c>
      <c r="I2375" s="109" t="n">
        <f aca="false">'[2]$ лето'!ay2375*1.05</f>
        <v>5565</v>
      </c>
    </row>
    <row r="2376" customFormat="false" ht="15" hidden="true" customHeight="false" outlineLevel="0" collapsed="false">
      <c r="A2376" s="115" t="s">
        <v>2943</v>
      </c>
      <c r="B2376" s="115" t="s">
        <v>606</v>
      </c>
      <c r="C2376" s="107" t="s">
        <v>2972</v>
      </c>
      <c r="D2376" s="107"/>
      <c r="E2376" s="107"/>
      <c r="F2376" s="107"/>
      <c r="G2376" s="108" t="s">
        <v>2973</v>
      </c>
      <c r="H2376" s="105" t="n">
        <f aca="false">'[2]$ лето'!j2376-'[2]$ лето'!au2376-'[2]$ лето'!at2376-'[2]$ лето'!as2376-'[2]$ лето'!ar2376-'[2]$ лето'!aq2376-'[2]$ лето'!ap2376-'[2]$ лето'!an2376-'[2]$ лето'!am2376-'[2]$ лето'!al2376-'[2]$ лето'!ak2376-'[2]$ лето'!aj2376-'[2]$ лето'!ah2376-'[2]$ лето'!ag2376-'[2]$ лето'!af2376-'[2]$ лето'!ae2376-'[2]$ лето'!ad2376-'[2]$ лето'!ab2376-'[2]$ лето'!aa2376-'[2]$ лето'!z2376-'[2]$ лето'!y2376-'[2]$ лето'!x2376-'[2]$ лето'!v2376-'[2]$ лето'!u2376-'[2]$ лето'!t2376-'[2]$ лето'!s2376-'[2]$ лето'!r2376-'[2]$ лето'!p2376-'[2]$ лето'!o2376-'[2]$ лето'!n2376-'[2]$ лето'!m2376-'[2]$ лето'!l2376+'[2]$ лето'!k2376+'[2]$ лето'!q2376+'[2]$ лето'!w2376+'[2]$ лето'!ac2376+'[2]$ лето'!ai2376+'[2]$ лето'!ao2376</f>
        <v>0</v>
      </c>
      <c r="I2376" s="109" t="n">
        <f aca="false">'[2]$ лето'!ay2376*1.05</f>
        <v>8820</v>
      </c>
    </row>
    <row r="2377" customFormat="false" ht="15" hidden="false" customHeight="false" outlineLevel="0" collapsed="false">
      <c r="A2377" s="115" t="s">
        <v>2943</v>
      </c>
      <c r="B2377" s="115" t="s">
        <v>606</v>
      </c>
      <c r="C2377" s="107" t="s">
        <v>2974</v>
      </c>
      <c r="D2377" s="107"/>
      <c r="E2377" s="116"/>
      <c r="F2377" s="116"/>
      <c r="G2377" s="108" t="s">
        <v>609</v>
      </c>
      <c r="H2377" s="105" t="n">
        <f aca="false">'[2]$ лето'!j2377-'[2]$ лето'!au2377-'[2]$ лето'!at2377-'[2]$ лето'!as2377-'[2]$ лето'!ar2377-'[2]$ лето'!aq2377-'[2]$ лето'!ap2377-'[2]$ лето'!an2377-'[2]$ лето'!am2377-'[2]$ лето'!al2377-'[2]$ лето'!ak2377-'[2]$ лето'!aj2377-'[2]$ лето'!ah2377-'[2]$ лето'!ag2377-'[2]$ лето'!af2377-'[2]$ лето'!ae2377-'[2]$ лето'!ad2377-'[2]$ лето'!ab2377-'[2]$ лето'!aa2377-'[2]$ лето'!z2377-'[2]$ лето'!y2377-'[2]$ лето'!x2377-'[2]$ лето'!v2377-'[2]$ лето'!u2377-'[2]$ лето'!t2377-'[2]$ лето'!s2377-'[2]$ лето'!r2377-'[2]$ лето'!p2377-'[2]$ лето'!o2377-'[2]$ лето'!n2377-'[2]$ лето'!m2377-'[2]$ лето'!l2377+'[2]$ лето'!k2377+'[2]$ лето'!q2377+'[2]$ лето'!w2377+'[2]$ лето'!ac2377+'[2]$ лето'!ai2377+'[2]$ лето'!ao2377</f>
        <v>2</v>
      </c>
      <c r="I2377" s="109" t="n">
        <f aca="false">'[2]$ лето'!ay2377*1.05</f>
        <v>9030</v>
      </c>
      <c r="J2377" s="85" t="n">
        <v>2017</v>
      </c>
    </row>
    <row r="2378" customFormat="false" ht="15" hidden="false" customHeight="false" outlineLevel="0" collapsed="false">
      <c r="A2378" s="115" t="s">
        <v>2943</v>
      </c>
      <c r="B2378" s="115" t="s">
        <v>606</v>
      </c>
      <c r="C2378" s="107" t="s">
        <v>2975</v>
      </c>
      <c r="D2378" s="107"/>
      <c r="E2378" s="116"/>
      <c r="F2378" s="116"/>
      <c r="G2378" s="108" t="s">
        <v>609</v>
      </c>
      <c r="H2378" s="105" t="n">
        <f aca="false">'[2]$ лето'!j2378-'[2]$ лето'!au2378-'[2]$ лето'!at2378-'[2]$ лето'!as2378-'[2]$ лето'!ar2378-'[2]$ лето'!aq2378-'[2]$ лето'!ap2378-'[2]$ лето'!an2378-'[2]$ лето'!am2378-'[2]$ лето'!al2378-'[2]$ лето'!ak2378-'[2]$ лето'!aj2378-'[2]$ лето'!ah2378-'[2]$ лето'!ag2378-'[2]$ лето'!af2378-'[2]$ лето'!ae2378-'[2]$ лето'!ad2378-'[2]$ лето'!ab2378-'[2]$ лето'!aa2378-'[2]$ лето'!z2378-'[2]$ лето'!y2378-'[2]$ лето'!x2378-'[2]$ лето'!v2378-'[2]$ лето'!u2378-'[2]$ лето'!t2378-'[2]$ лето'!s2378-'[2]$ лето'!r2378-'[2]$ лето'!p2378-'[2]$ лето'!o2378-'[2]$ лето'!n2378-'[2]$ лето'!m2378-'[2]$ лето'!l2378+'[2]$ лето'!k2378+'[2]$ лето'!q2378+'[2]$ лето'!w2378+'[2]$ лето'!ac2378+'[2]$ лето'!ai2378+'[2]$ лето'!ao2378</f>
        <v>4</v>
      </c>
      <c r="I2378" s="109" t="n">
        <f aca="false">'[2]$ лето'!ay2378*1.05</f>
        <v>9030</v>
      </c>
      <c r="J2378" s="85" t="n">
        <v>2017</v>
      </c>
    </row>
    <row r="2379" customFormat="false" ht="15" hidden="true" customHeight="false" outlineLevel="0" collapsed="false">
      <c r="A2379" s="115" t="s">
        <v>2943</v>
      </c>
      <c r="B2379" s="115" t="s">
        <v>572</v>
      </c>
      <c r="C2379" s="107" t="s">
        <v>2976</v>
      </c>
      <c r="D2379" s="107"/>
      <c r="E2379" s="107"/>
      <c r="F2379" s="107"/>
      <c r="G2379" s="108"/>
      <c r="H2379" s="105" t="n">
        <f aca="false">'[2]$ лето'!j2379-'[2]$ лето'!au2379-'[2]$ лето'!at2379-'[2]$ лето'!as2379-'[2]$ лето'!ar2379-'[2]$ лето'!aq2379-'[2]$ лето'!ap2379-'[2]$ лето'!an2379-'[2]$ лето'!am2379-'[2]$ лето'!al2379-'[2]$ лето'!ak2379-'[2]$ лето'!aj2379-'[2]$ лето'!ah2379-'[2]$ лето'!ag2379-'[2]$ лето'!af2379-'[2]$ лето'!ae2379-'[2]$ лето'!ad2379-'[2]$ лето'!ab2379-'[2]$ лето'!aa2379-'[2]$ лето'!z2379-'[2]$ лето'!y2379-'[2]$ лето'!x2379-'[2]$ лето'!v2379-'[2]$ лето'!u2379-'[2]$ лето'!t2379-'[2]$ лето'!s2379-'[2]$ лето'!r2379-'[2]$ лето'!p2379-'[2]$ лето'!o2379-'[2]$ лето'!n2379-'[2]$ лето'!m2379-'[2]$ лето'!l2379+'[2]$ лето'!k2379+'[2]$ лето'!q2379+'[2]$ лето'!w2379+'[2]$ лето'!ac2379+'[2]$ лето'!ai2379+'[2]$ лето'!ao2379</f>
        <v>0</v>
      </c>
      <c r="I2379" s="109" t="n">
        <f aca="false">'[2]$ лето'!ay2379*1.05</f>
        <v>8946</v>
      </c>
    </row>
    <row r="2380" customFormat="false" ht="15" hidden="true" customHeight="false" outlineLevel="0" collapsed="false">
      <c r="A2380" s="115" t="s">
        <v>2943</v>
      </c>
      <c r="B2380" s="115" t="s">
        <v>572</v>
      </c>
      <c r="C2380" s="107" t="s">
        <v>2977</v>
      </c>
      <c r="D2380" s="107"/>
      <c r="E2380" s="107"/>
      <c r="F2380" s="107"/>
      <c r="G2380" s="108"/>
      <c r="H2380" s="105" t="n">
        <f aca="false">'[2]$ лето'!j2380-'[2]$ лето'!au2380-'[2]$ лето'!at2380-'[2]$ лето'!as2380-'[2]$ лето'!ar2380-'[2]$ лето'!aq2380-'[2]$ лето'!ap2380-'[2]$ лето'!an2380-'[2]$ лето'!am2380-'[2]$ лето'!al2380-'[2]$ лето'!ak2380-'[2]$ лето'!aj2380-'[2]$ лето'!ah2380-'[2]$ лето'!ag2380-'[2]$ лето'!af2380-'[2]$ лето'!ae2380-'[2]$ лето'!ad2380-'[2]$ лето'!ab2380-'[2]$ лето'!aa2380-'[2]$ лето'!z2380-'[2]$ лето'!y2380-'[2]$ лето'!x2380-'[2]$ лето'!v2380-'[2]$ лето'!u2380-'[2]$ лето'!t2380-'[2]$ лето'!s2380-'[2]$ лето'!r2380-'[2]$ лето'!p2380-'[2]$ лето'!o2380-'[2]$ лето'!n2380-'[2]$ лето'!m2380-'[2]$ лето'!l2380+'[2]$ лето'!k2380+'[2]$ лето'!q2380+'[2]$ лето'!w2380+'[2]$ лето'!ac2380+'[2]$ лето'!ai2380+'[2]$ лето'!ao2380</f>
        <v>0</v>
      </c>
      <c r="I2380" s="109" t="n">
        <f aca="false">'[2]$ лето'!ay2380*1.05</f>
        <v>9393.3</v>
      </c>
    </row>
    <row r="2381" customFormat="false" ht="15" hidden="false" customHeight="false" outlineLevel="0" collapsed="false">
      <c r="A2381" s="115" t="s">
        <v>2943</v>
      </c>
      <c r="B2381" s="115" t="s">
        <v>2724</v>
      </c>
      <c r="C2381" s="107" t="s">
        <v>2788</v>
      </c>
      <c r="D2381" s="107"/>
      <c r="E2381" s="116"/>
      <c r="F2381" s="116"/>
      <c r="G2381" s="108"/>
      <c r="H2381" s="105" t="n">
        <f aca="false">'[2]$ лето'!j2381-'[2]$ лето'!au2381-'[2]$ лето'!at2381-'[2]$ лето'!as2381-'[2]$ лето'!ar2381-'[2]$ лето'!aq2381-'[2]$ лето'!ap2381-'[2]$ лето'!an2381-'[2]$ лето'!am2381-'[2]$ лето'!al2381-'[2]$ лето'!ak2381-'[2]$ лето'!aj2381-'[2]$ лето'!ah2381-'[2]$ лето'!ag2381-'[2]$ лето'!af2381-'[2]$ лето'!ae2381-'[2]$ лето'!ad2381-'[2]$ лето'!ab2381-'[2]$ лето'!aa2381-'[2]$ лето'!z2381-'[2]$ лето'!y2381-'[2]$ лето'!x2381-'[2]$ лето'!v2381-'[2]$ лето'!u2381-'[2]$ лето'!t2381-'[2]$ лето'!s2381-'[2]$ лето'!r2381-'[2]$ лето'!p2381-'[2]$ лето'!o2381-'[2]$ лето'!n2381-'[2]$ лето'!m2381-'[2]$ лето'!l2381+'[2]$ лето'!k2381+'[2]$ лето'!q2381+'[2]$ лето'!w2381+'[2]$ лето'!ac2381+'[2]$ лето'!ai2381+'[2]$ лето'!ao2381</f>
        <v>2</v>
      </c>
      <c r="I2381" s="109" t="n">
        <f aca="false">'[2]$ лето'!ay2381*1.05</f>
        <v>5460</v>
      </c>
    </row>
    <row r="2382" customFormat="false" ht="15" hidden="true" customHeight="false" outlineLevel="0" collapsed="false">
      <c r="A2382" s="115" t="s">
        <v>2943</v>
      </c>
      <c r="B2382" s="115" t="s">
        <v>2724</v>
      </c>
      <c r="C2382" s="107" t="s">
        <v>2770</v>
      </c>
      <c r="D2382" s="107"/>
      <c r="E2382" s="107"/>
      <c r="F2382" s="107"/>
      <c r="G2382" s="108"/>
      <c r="H2382" s="105" t="n">
        <f aca="false">'[2]$ лето'!j2382-'[2]$ лето'!au2382-'[2]$ лето'!at2382-'[2]$ лето'!as2382-'[2]$ лето'!ar2382-'[2]$ лето'!aq2382-'[2]$ лето'!ap2382-'[2]$ лето'!an2382-'[2]$ лето'!am2382-'[2]$ лето'!al2382-'[2]$ лето'!ak2382-'[2]$ лето'!aj2382-'[2]$ лето'!ah2382-'[2]$ лето'!ag2382-'[2]$ лето'!af2382-'[2]$ лето'!ae2382-'[2]$ лето'!ad2382-'[2]$ лето'!ab2382-'[2]$ лето'!aa2382-'[2]$ лето'!z2382-'[2]$ лето'!y2382-'[2]$ лето'!x2382-'[2]$ лето'!v2382-'[2]$ лето'!u2382-'[2]$ лето'!t2382-'[2]$ лето'!s2382-'[2]$ лето'!r2382-'[2]$ лето'!p2382-'[2]$ лето'!o2382-'[2]$ лето'!n2382-'[2]$ лето'!m2382-'[2]$ лето'!l2382+'[2]$ лето'!k2382+'[2]$ лето'!q2382+'[2]$ лето'!w2382+'[2]$ лето'!ac2382+'[2]$ лето'!ai2382+'[2]$ лето'!ao2382</f>
        <v>0</v>
      </c>
      <c r="I2382" s="109" t="n">
        <f aca="false">'[2]$ лето'!ay2382*1.05</f>
        <v>5460</v>
      </c>
    </row>
    <row r="2383" customFormat="false" ht="15" hidden="false" customHeight="false" outlineLevel="0" collapsed="false">
      <c r="A2383" s="115" t="s">
        <v>2943</v>
      </c>
      <c r="B2383" s="115" t="s">
        <v>583</v>
      </c>
      <c r="C2383" s="107" t="s">
        <v>2978</v>
      </c>
      <c r="D2383" s="107"/>
      <c r="E2383" s="116"/>
      <c r="F2383" s="116"/>
      <c r="G2383" s="108"/>
      <c r="H2383" s="105" t="n">
        <f aca="false">'[2]$ лето'!j2383-'[2]$ лето'!au2383-'[2]$ лето'!at2383-'[2]$ лето'!as2383-'[2]$ лето'!ar2383-'[2]$ лето'!aq2383-'[2]$ лето'!ap2383-'[2]$ лето'!an2383-'[2]$ лето'!am2383-'[2]$ лето'!al2383-'[2]$ лето'!ak2383-'[2]$ лето'!aj2383-'[2]$ лето'!ah2383-'[2]$ лето'!ag2383-'[2]$ лето'!af2383-'[2]$ лето'!ae2383-'[2]$ лето'!ad2383-'[2]$ лето'!ab2383-'[2]$ лето'!aa2383-'[2]$ лето'!z2383-'[2]$ лето'!y2383-'[2]$ лето'!x2383-'[2]$ лето'!v2383-'[2]$ лето'!u2383-'[2]$ лето'!t2383-'[2]$ лето'!s2383-'[2]$ лето'!r2383-'[2]$ лето'!p2383-'[2]$ лето'!o2383-'[2]$ лето'!n2383-'[2]$ лето'!m2383-'[2]$ лето'!l2383+'[2]$ лето'!k2383+'[2]$ лето'!q2383+'[2]$ лето'!w2383+'[2]$ лето'!ac2383+'[2]$ лето'!ai2383+'[2]$ лето'!ao2383</f>
        <v>3</v>
      </c>
      <c r="I2383" s="109" t="n">
        <f aca="false">'[2]$ лето'!ay2383*1.05</f>
        <v>9095.1</v>
      </c>
    </row>
    <row r="2384" customFormat="false" ht="15" hidden="false" customHeight="false" outlineLevel="0" collapsed="false">
      <c r="A2384" s="115" t="s">
        <v>2943</v>
      </c>
      <c r="B2384" s="115" t="s">
        <v>583</v>
      </c>
      <c r="C2384" s="116" t="s">
        <v>2979</v>
      </c>
      <c r="D2384" s="116"/>
      <c r="E2384" s="116"/>
      <c r="F2384" s="116"/>
      <c r="G2384" s="108"/>
      <c r="H2384" s="105" t="n">
        <f aca="false">'[2]$ лето'!j2384-'[2]$ лето'!au2384-'[2]$ лето'!at2384-'[2]$ лето'!as2384-'[2]$ лето'!ar2384-'[2]$ лето'!aq2384-'[2]$ лето'!ap2384-'[2]$ лето'!an2384-'[2]$ лето'!am2384-'[2]$ лето'!al2384-'[2]$ лето'!ak2384-'[2]$ лето'!aj2384-'[2]$ лето'!ah2384-'[2]$ лето'!ag2384-'[2]$ лето'!af2384-'[2]$ лето'!ae2384-'[2]$ лето'!ad2384-'[2]$ лето'!ab2384-'[2]$ лето'!aa2384-'[2]$ лето'!z2384-'[2]$ лето'!y2384-'[2]$ лето'!x2384-'[2]$ лето'!v2384-'[2]$ лето'!u2384-'[2]$ лето'!t2384-'[2]$ лето'!s2384-'[2]$ лето'!r2384-'[2]$ лето'!p2384-'[2]$ лето'!o2384-'[2]$ лето'!n2384-'[2]$ лето'!m2384-'[2]$ лето'!l2384+'[2]$ лето'!k2384+'[2]$ лето'!q2384+'[2]$ лето'!w2384+'[2]$ лето'!ac2384+'[2]$ лето'!ai2384+'[2]$ лето'!ao2384</f>
        <v>4</v>
      </c>
      <c r="I2384" s="109" t="n">
        <f aca="false">'[2]$ лето'!ay2384*1.05</f>
        <v>9244.2</v>
      </c>
    </row>
    <row r="2385" customFormat="false" ht="15" hidden="false" customHeight="false" outlineLevel="0" collapsed="false">
      <c r="A2385" s="115" t="s">
        <v>2943</v>
      </c>
      <c r="B2385" s="115" t="s">
        <v>586</v>
      </c>
      <c r="C2385" s="116" t="s">
        <v>2933</v>
      </c>
      <c r="D2385" s="116"/>
      <c r="E2385" s="116"/>
      <c r="F2385" s="116"/>
      <c r="G2385" s="108" t="s">
        <v>520</v>
      </c>
      <c r="H2385" s="105" t="n">
        <f aca="false">'[2]$ лето'!j2385-'[2]$ лето'!au2385-'[2]$ лето'!at2385-'[2]$ лето'!as2385-'[2]$ лето'!ar2385-'[2]$ лето'!aq2385-'[2]$ лето'!ap2385-'[2]$ лето'!an2385-'[2]$ лето'!am2385-'[2]$ лето'!al2385-'[2]$ лето'!ak2385-'[2]$ лето'!aj2385-'[2]$ лето'!ah2385-'[2]$ лето'!ag2385-'[2]$ лето'!af2385-'[2]$ лето'!ae2385-'[2]$ лето'!ad2385-'[2]$ лето'!ab2385-'[2]$ лето'!aa2385-'[2]$ лето'!z2385-'[2]$ лето'!y2385-'[2]$ лето'!x2385-'[2]$ лето'!v2385-'[2]$ лето'!u2385-'[2]$ лето'!t2385-'[2]$ лето'!s2385-'[2]$ лето'!r2385-'[2]$ лето'!p2385-'[2]$ лето'!o2385-'[2]$ лето'!n2385-'[2]$ лето'!m2385-'[2]$ лето'!l2385+'[2]$ лето'!k2385+'[2]$ лето'!q2385+'[2]$ лето'!w2385+'[2]$ лето'!ac2385+'[2]$ лето'!ai2385+'[2]$ лето'!ao2385</f>
        <v>2</v>
      </c>
      <c r="I2385" s="109" t="n">
        <f aca="false">'[2]$ лето'!ay2385*1.05</f>
        <v>5725.44</v>
      </c>
    </row>
    <row r="2386" customFormat="false" ht="15" hidden="false" customHeight="false" outlineLevel="0" collapsed="false">
      <c r="A2386" s="115" t="s">
        <v>2943</v>
      </c>
      <c r="B2386" s="115" t="s">
        <v>2866</v>
      </c>
      <c r="C2386" s="116" t="s">
        <v>2980</v>
      </c>
      <c r="D2386" s="116"/>
      <c r="E2386" s="116"/>
      <c r="F2386" s="116"/>
      <c r="G2386" s="108"/>
      <c r="H2386" s="105" t="n">
        <f aca="false">'[2]$ лето'!j2386-'[2]$ лето'!au2386-'[2]$ лето'!at2386-'[2]$ лето'!as2386-'[2]$ лето'!ar2386-'[2]$ лето'!aq2386-'[2]$ лето'!ap2386-'[2]$ лето'!an2386-'[2]$ лето'!am2386-'[2]$ лето'!al2386-'[2]$ лето'!ak2386-'[2]$ лето'!aj2386-'[2]$ лето'!ah2386-'[2]$ лето'!ag2386-'[2]$ лето'!af2386-'[2]$ лето'!ae2386-'[2]$ лето'!ad2386-'[2]$ лето'!ab2386-'[2]$ лето'!aa2386-'[2]$ лето'!z2386-'[2]$ лето'!y2386-'[2]$ лето'!x2386-'[2]$ лето'!v2386-'[2]$ лето'!u2386-'[2]$ лето'!t2386-'[2]$ лето'!s2386-'[2]$ лето'!r2386-'[2]$ лето'!p2386-'[2]$ лето'!o2386-'[2]$ лето'!n2386-'[2]$ лето'!m2386-'[2]$ лето'!l2386+'[2]$ лето'!k2386+'[2]$ лето'!q2386+'[2]$ лето'!w2386+'[2]$ лето'!ac2386+'[2]$ лето'!ai2386+'[2]$ лето'!ao2386</f>
        <v>2</v>
      </c>
      <c r="I2386" s="109" t="n">
        <f aca="false">'[2]$ лето'!ay2386*1.05</f>
        <v>5355</v>
      </c>
    </row>
    <row r="2387" customFormat="false" ht="15" hidden="true" customHeight="false" outlineLevel="0" collapsed="false">
      <c r="A2387" s="115" t="s">
        <v>2943</v>
      </c>
      <c r="B2387" s="115" t="s">
        <v>2866</v>
      </c>
      <c r="C2387" s="116" t="s">
        <v>2981</v>
      </c>
      <c r="D2387" s="116"/>
      <c r="E2387" s="116"/>
      <c r="F2387" s="116"/>
      <c r="G2387" s="108"/>
      <c r="H2387" s="105" t="n">
        <f aca="false">'[2]$ лето'!j2387-'[2]$ лето'!au2387-'[2]$ лето'!at2387-'[2]$ лето'!as2387-'[2]$ лето'!ar2387-'[2]$ лето'!aq2387-'[2]$ лето'!ap2387-'[2]$ лето'!an2387-'[2]$ лето'!am2387-'[2]$ лето'!al2387-'[2]$ лето'!ak2387-'[2]$ лето'!aj2387-'[2]$ лето'!ah2387-'[2]$ лето'!ag2387-'[2]$ лето'!af2387-'[2]$ лето'!ae2387-'[2]$ лето'!ad2387-'[2]$ лето'!ab2387-'[2]$ лето'!aa2387-'[2]$ лето'!z2387-'[2]$ лето'!y2387-'[2]$ лето'!x2387-'[2]$ лето'!v2387-'[2]$ лето'!u2387-'[2]$ лето'!t2387-'[2]$ лето'!s2387-'[2]$ лето'!r2387-'[2]$ лето'!p2387-'[2]$ лето'!o2387-'[2]$ лето'!n2387-'[2]$ лето'!m2387-'[2]$ лето'!l2387+'[2]$ лето'!k2387+'[2]$ лето'!q2387+'[2]$ лето'!w2387+'[2]$ лето'!ac2387+'[2]$ лето'!ai2387+'[2]$ лето'!ao2387</f>
        <v>0</v>
      </c>
      <c r="I2387" s="109" t="n">
        <f aca="false">'[2]$ лето'!ay2387*1.05</f>
        <v>5565</v>
      </c>
    </row>
    <row r="2388" customFormat="false" ht="15" hidden="true" customHeight="false" outlineLevel="0" collapsed="false">
      <c r="A2388" s="115" t="s">
        <v>2943</v>
      </c>
      <c r="B2388" s="115" t="s">
        <v>2982</v>
      </c>
      <c r="C2388" s="116" t="s">
        <v>2983</v>
      </c>
      <c r="D2388" s="116"/>
      <c r="E2388" s="116"/>
      <c r="F2388" s="116"/>
      <c r="G2388" s="108"/>
      <c r="H2388" s="105" t="n">
        <f aca="false">'[2]$ лето'!j2388-'[2]$ лето'!au2388-'[2]$ лето'!at2388-'[2]$ лето'!as2388-'[2]$ лето'!ar2388-'[2]$ лето'!aq2388-'[2]$ лето'!ap2388-'[2]$ лето'!an2388-'[2]$ лето'!am2388-'[2]$ лето'!al2388-'[2]$ лето'!ak2388-'[2]$ лето'!aj2388-'[2]$ лето'!ah2388-'[2]$ лето'!ag2388-'[2]$ лето'!af2388-'[2]$ лето'!ae2388-'[2]$ лето'!ad2388-'[2]$ лето'!ab2388-'[2]$ лето'!aa2388-'[2]$ лето'!z2388-'[2]$ лето'!y2388-'[2]$ лето'!x2388-'[2]$ лето'!v2388-'[2]$ лето'!u2388-'[2]$ лето'!t2388-'[2]$ лето'!s2388-'[2]$ лето'!r2388-'[2]$ лето'!p2388-'[2]$ лето'!o2388-'[2]$ лето'!n2388-'[2]$ лето'!m2388-'[2]$ лето'!l2388+'[2]$ лето'!k2388+'[2]$ лето'!q2388+'[2]$ лето'!w2388+'[2]$ лето'!ac2388+'[2]$ лето'!ai2388+'[2]$ лето'!ao2388</f>
        <v>0</v>
      </c>
      <c r="I2388" s="109" t="n">
        <f aca="false">'[2]$ лето'!ay2388*1.05</f>
        <v>5355</v>
      </c>
    </row>
    <row r="2389" customFormat="false" ht="15" hidden="false" customHeight="false" outlineLevel="0" collapsed="false">
      <c r="A2389" s="115" t="s">
        <v>2943</v>
      </c>
      <c r="B2389" s="115" t="s">
        <v>2984</v>
      </c>
      <c r="C2389" s="116" t="s">
        <v>2706</v>
      </c>
      <c r="D2389" s="116"/>
      <c r="E2389" s="116"/>
      <c r="F2389" s="116"/>
      <c r="G2389" s="108"/>
      <c r="H2389" s="105" t="n">
        <f aca="false">'[2]$ лето'!j2389-'[2]$ лето'!au2389-'[2]$ лето'!at2389-'[2]$ лето'!as2389-'[2]$ лето'!ar2389-'[2]$ лето'!aq2389-'[2]$ лето'!ap2389-'[2]$ лето'!an2389-'[2]$ лето'!am2389-'[2]$ лето'!al2389-'[2]$ лето'!ak2389-'[2]$ лето'!aj2389-'[2]$ лето'!ah2389-'[2]$ лето'!ag2389-'[2]$ лето'!af2389-'[2]$ лето'!ae2389-'[2]$ лето'!ad2389-'[2]$ лето'!ab2389-'[2]$ лето'!aa2389-'[2]$ лето'!z2389-'[2]$ лето'!y2389-'[2]$ лето'!x2389-'[2]$ лето'!v2389-'[2]$ лето'!u2389-'[2]$ лето'!t2389-'[2]$ лето'!s2389-'[2]$ лето'!r2389-'[2]$ лето'!p2389-'[2]$ лето'!o2389-'[2]$ лето'!n2389-'[2]$ лето'!m2389-'[2]$ лето'!l2389+'[2]$ лето'!k2389+'[2]$ лето'!q2389+'[2]$ лето'!w2389+'[2]$ лето'!ac2389+'[2]$ лето'!ai2389+'[2]$ лето'!ao2389</f>
        <v>2</v>
      </c>
      <c r="I2389" s="109" t="n">
        <f aca="false">'[2]$ лето'!ay2389*1.05</f>
        <v>5145</v>
      </c>
    </row>
    <row r="2390" customFormat="false" ht="15" hidden="true" customHeight="false" outlineLevel="0" collapsed="false">
      <c r="A2390" s="115" t="s">
        <v>2943</v>
      </c>
      <c r="B2390" s="115" t="s">
        <v>2742</v>
      </c>
      <c r="C2390" s="107" t="s">
        <v>2883</v>
      </c>
      <c r="D2390" s="107"/>
      <c r="E2390" s="107"/>
      <c r="F2390" s="107"/>
      <c r="G2390" s="108"/>
      <c r="H2390" s="105" t="n">
        <f aca="false">'[2]$ лето'!j2390-'[2]$ лето'!au2390-'[2]$ лето'!at2390-'[2]$ лето'!as2390-'[2]$ лето'!ar2390-'[2]$ лето'!aq2390-'[2]$ лето'!ap2390-'[2]$ лето'!an2390-'[2]$ лето'!am2390-'[2]$ лето'!al2390-'[2]$ лето'!ak2390-'[2]$ лето'!aj2390-'[2]$ лето'!ah2390-'[2]$ лето'!ag2390-'[2]$ лето'!af2390-'[2]$ лето'!ae2390-'[2]$ лето'!ad2390-'[2]$ лето'!ab2390-'[2]$ лето'!aa2390-'[2]$ лето'!z2390-'[2]$ лето'!y2390-'[2]$ лето'!x2390-'[2]$ лето'!v2390-'[2]$ лето'!u2390-'[2]$ лето'!t2390-'[2]$ лето'!s2390-'[2]$ лето'!r2390-'[2]$ лето'!p2390-'[2]$ лето'!o2390-'[2]$ лето'!n2390-'[2]$ лето'!m2390-'[2]$ лето'!l2390+'[2]$ лето'!k2390+'[2]$ лето'!q2390+'[2]$ лето'!w2390+'[2]$ лето'!ac2390+'[2]$ лето'!ai2390+'[2]$ лето'!ao2390</f>
        <v>0</v>
      </c>
      <c r="I2390" s="109" t="n">
        <f aca="false">'[2]$ лето'!ay2390*1.05</f>
        <v>5565</v>
      </c>
    </row>
    <row r="2391" customFormat="false" ht="15" hidden="false" customHeight="false" outlineLevel="0" collapsed="false">
      <c r="A2391" s="115" t="s">
        <v>2943</v>
      </c>
      <c r="B2391" s="115" t="s">
        <v>652</v>
      </c>
      <c r="C2391" s="107" t="s">
        <v>2793</v>
      </c>
      <c r="D2391" s="107"/>
      <c r="E2391" s="116"/>
      <c r="F2391" s="116"/>
      <c r="G2391" s="108"/>
      <c r="H2391" s="105" t="n">
        <f aca="false">'[2]$ лето'!j2391-'[2]$ лето'!au2391-'[2]$ лето'!at2391-'[2]$ лето'!as2391-'[2]$ лето'!ar2391-'[2]$ лето'!aq2391-'[2]$ лето'!ap2391-'[2]$ лето'!an2391-'[2]$ лето'!am2391-'[2]$ лето'!al2391-'[2]$ лето'!ak2391-'[2]$ лето'!aj2391-'[2]$ лето'!ah2391-'[2]$ лето'!ag2391-'[2]$ лето'!af2391-'[2]$ лето'!ae2391-'[2]$ лето'!ad2391-'[2]$ лето'!ab2391-'[2]$ лето'!aa2391-'[2]$ лето'!z2391-'[2]$ лето'!y2391-'[2]$ лето'!x2391-'[2]$ лето'!v2391-'[2]$ лето'!u2391-'[2]$ лето'!t2391-'[2]$ лето'!s2391-'[2]$ лето'!r2391-'[2]$ лето'!p2391-'[2]$ лето'!o2391-'[2]$ лето'!n2391-'[2]$ лето'!m2391-'[2]$ лето'!l2391+'[2]$ лето'!k2391+'[2]$ лето'!q2391+'[2]$ лето'!w2391+'[2]$ лето'!ac2391+'[2]$ лето'!ai2391+'[2]$ лето'!ao2391</f>
        <v>4</v>
      </c>
      <c r="I2391" s="109" t="n">
        <f aca="false">'[2]$ лето'!ay2391*1.05</f>
        <v>8946</v>
      </c>
    </row>
    <row r="2392" customFormat="false" ht="15" hidden="false" customHeight="false" outlineLevel="0" collapsed="false">
      <c r="A2392" s="115" t="s">
        <v>2943</v>
      </c>
      <c r="B2392" s="115" t="s">
        <v>652</v>
      </c>
      <c r="C2392" s="116" t="s">
        <v>2985</v>
      </c>
      <c r="D2392" s="116"/>
      <c r="E2392" s="116"/>
      <c r="F2392" s="116"/>
      <c r="G2392" s="108" t="s">
        <v>663</v>
      </c>
      <c r="H2392" s="105" t="n">
        <f aca="false">'[2]$ лето'!j2392-'[2]$ лето'!au2392-'[2]$ лето'!at2392-'[2]$ лето'!as2392-'[2]$ лето'!ar2392-'[2]$ лето'!aq2392-'[2]$ лето'!ap2392-'[2]$ лето'!an2392-'[2]$ лето'!am2392-'[2]$ лето'!al2392-'[2]$ лето'!ak2392-'[2]$ лето'!aj2392-'[2]$ лето'!ah2392-'[2]$ лето'!ag2392-'[2]$ лето'!af2392-'[2]$ лето'!ae2392-'[2]$ лето'!ad2392-'[2]$ лето'!ab2392-'[2]$ лето'!aa2392-'[2]$ лето'!z2392-'[2]$ лето'!y2392-'[2]$ лето'!x2392-'[2]$ лето'!v2392-'[2]$ лето'!u2392-'[2]$ лето'!t2392-'[2]$ лето'!s2392-'[2]$ лето'!r2392-'[2]$ лето'!p2392-'[2]$ лето'!o2392-'[2]$ лето'!n2392-'[2]$ лето'!m2392-'[2]$ лето'!l2392+'[2]$ лето'!k2392+'[2]$ лето'!q2392+'[2]$ лето'!w2392+'[2]$ лето'!ac2392+'[2]$ лето'!ai2392+'[2]$ лето'!ao2392</f>
        <v>2</v>
      </c>
      <c r="I2392" s="109" t="n">
        <f aca="false">'[2]$ лето'!ay2392*1.05</f>
        <v>9095.1</v>
      </c>
      <c r="J2392" s="85" t="n">
        <v>2017</v>
      </c>
    </row>
    <row r="2393" customFormat="false" ht="15" hidden="true" customHeight="false" outlineLevel="0" collapsed="false">
      <c r="A2393" s="115" t="s">
        <v>2943</v>
      </c>
      <c r="B2393" s="115" t="s">
        <v>2750</v>
      </c>
      <c r="C2393" s="116" t="s">
        <v>2986</v>
      </c>
      <c r="D2393" s="116"/>
      <c r="E2393" s="116"/>
      <c r="F2393" s="116"/>
      <c r="G2393" s="108"/>
      <c r="H2393" s="105" t="n">
        <f aca="false">'[2]$ лето'!j2393-'[2]$ лето'!au2393-'[2]$ лето'!at2393-'[2]$ лето'!as2393-'[2]$ лето'!ar2393-'[2]$ лето'!aq2393-'[2]$ лето'!ap2393-'[2]$ лето'!an2393-'[2]$ лето'!am2393-'[2]$ лето'!al2393-'[2]$ лето'!ak2393-'[2]$ лето'!aj2393-'[2]$ лето'!ah2393-'[2]$ лето'!ag2393-'[2]$ лето'!af2393-'[2]$ лето'!ae2393-'[2]$ лето'!ad2393-'[2]$ лето'!ab2393-'[2]$ лето'!aa2393-'[2]$ лето'!z2393-'[2]$ лето'!y2393-'[2]$ лето'!x2393-'[2]$ лето'!v2393-'[2]$ лето'!u2393-'[2]$ лето'!t2393-'[2]$ лето'!s2393-'[2]$ лето'!r2393-'[2]$ лето'!p2393-'[2]$ лето'!o2393-'[2]$ лето'!n2393-'[2]$ лето'!m2393-'[2]$ лето'!l2393+'[2]$ лето'!k2393+'[2]$ лето'!q2393+'[2]$ лето'!w2393+'[2]$ лето'!ac2393+'[2]$ лето'!ai2393+'[2]$ лето'!ao2393</f>
        <v>0</v>
      </c>
      <c r="I2393" s="109" t="n">
        <f aca="false">'[2]$ лето'!ay2393*1.05</f>
        <v>4620</v>
      </c>
    </row>
    <row r="2394" customFormat="false" ht="15" hidden="true" customHeight="false" outlineLevel="0" collapsed="false">
      <c r="A2394" s="115" t="s">
        <v>2943</v>
      </c>
      <c r="B2394" s="115" t="s">
        <v>2750</v>
      </c>
      <c r="C2394" s="116" t="s">
        <v>2987</v>
      </c>
      <c r="D2394" s="116"/>
      <c r="E2394" s="116"/>
      <c r="F2394" s="116"/>
      <c r="G2394" s="108"/>
      <c r="H2394" s="105" t="n">
        <f aca="false">'[2]$ лето'!j2394-'[2]$ лето'!au2394-'[2]$ лето'!at2394-'[2]$ лето'!as2394-'[2]$ лето'!ar2394-'[2]$ лето'!aq2394-'[2]$ лето'!ap2394-'[2]$ лето'!an2394-'[2]$ лето'!am2394-'[2]$ лето'!al2394-'[2]$ лето'!ak2394-'[2]$ лето'!aj2394-'[2]$ лето'!ah2394-'[2]$ лето'!ag2394-'[2]$ лето'!af2394-'[2]$ лето'!ae2394-'[2]$ лето'!ad2394-'[2]$ лето'!ab2394-'[2]$ лето'!aa2394-'[2]$ лето'!z2394-'[2]$ лето'!y2394-'[2]$ лето'!x2394-'[2]$ лето'!v2394-'[2]$ лето'!u2394-'[2]$ лето'!t2394-'[2]$ лето'!s2394-'[2]$ лето'!r2394-'[2]$ лето'!p2394-'[2]$ лето'!o2394-'[2]$ лето'!n2394-'[2]$ лето'!m2394-'[2]$ лето'!l2394+'[2]$ лето'!k2394+'[2]$ лето'!q2394+'[2]$ лето'!w2394+'[2]$ лето'!ac2394+'[2]$ лето'!ai2394+'[2]$ лето'!ao2394</f>
        <v>0</v>
      </c>
      <c r="I2394" s="109" t="n">
        <f aca="false">'[2]$ лето'!ay2394*1.05</f>
        <v>4860.66</v>
      </c>
    </row>
    <row r="2395" customFormat="false" ht="15" hidden="true" customHeight="false" outlineLevel="0" collapsed="false">
      <c r="A2395" s="115" t="s">
        <v>2988</v>
      </c>
      <c r="B2395" s="115" t="s">
        <v>2989</v>
      </c>
      <c r="C2395" s="116" t="s">
        <v>2990</v>
      </c>
      <c r="D2395" s="116"/>
      <c r="E2395" s="116"/>
      <c r="F2395" s="116"/>
      <c r="G2395" s="108"/>
      <c r="H2395" s="105" t="n">
        <f aca="false">'[2]$ лето'!j2395-'[2]$ лето'!au2395-'[2]$ лето'!at2395-'[2]$ лето'!as2395-'[2]$ лето'!ar2395-'[2]$ лето'!aq2395-'[2]$ лето'!ap2395-'[2]$ лето'!an2395-'[2]$ лето'!am2395-'[2]$ лето'!al2395-'[2]$ лето'!ak2395-'[2]$ лето'!aj2395-'[2]$ лето'!ah2395-'[2]$ лето'!ag2395-'[2]$ лето'!af2395-'[2]$ лето'!ae2395-'[2]$ лето'!ad2395-'[2]$ лето'!ab2395-'[2]$ лето'!aa2395-'[2]$ лето'!z2395-'[2]$ лето'!y2395-'[2]$ лето'!x2395-'[2]$ лето'!v2395-'[2]$ лето'!u2395-'[2]$ лето'!t2395-'[2]$ лето'!s2395-'[2]$ лето'!r2395-'[2]$ лето'!p2395-'[2]$ лето'!o2395-'[2]$ лето'!n2395-'[2]$ лето'!m2395-'[2]$ лето'!l2395+'[2]$ лето'!k2395+'[2]$ лето'!q2395+'[2]$ лето'!w2395+'[2]$ лето'!ac2395+'[2]$ лето'!ai2395+'[2]$ лето'!ao2395</f>
        <v>0</v>
      </c>
      <c r="I2395" s="109" t="n">
        <f aca="false">'[2]$ лето'!ay2395*1.05</f>
        <v>4830</v>
      </c>
    </row>
    <row r="2396" customFormat="false" ht="15" hidden="true" customHeight="false" outlineLevel="0" collapsed="false">
      <c r="A2396" s="115" t="s">
        <v>2988</v>
      </c>
      <c r="B2396" s="115" t="s">
        <v>2989</v>
      </c>
      <c r="C2396" s="107" t="s">
        <v>2883</v>
      </c>
      <c r="D2396" s="107"/>
      <c r="E2396" s="107"/>
      <c r="F2396" s="107"/>
      <c r="G2396" s="108"/>
      <c r="H2396" s="105" t="n">
        <f aca="false">'[2]$ лето'!j2396-'[2]$ лето'!au2396-'[2]$ лето'!at2396-'[2]$ лето'!as2396-'[2]$ лето'!ar2396-'[2]$ лето'!aq2396-'[2]$ лето'!ap2396-'[2]$ лето'!an2396-'[2]$ лето'!am2396-'[2]$ лето'!al2396-'[2]$ лето'!ak2396-'[2]$ лето'!aj2396-'[2]$ лето'!ah2396-'[2]$ лето'!ag2396-'[2]$ лето'!af2396-'[2]$ лето'!ae2396-'[2]$ лето'!ad2396-'[2]$ лето'!ab2396-'[2]$ лето'!aa2396-'[2]$ лето'!z2396-'[2]$ лето'!y2396-'[2]$ лето'!x2396-'[2]$ лето'!v2396-'[2]$ лето'!u2396-'[2]$ лето'!t2396-'[2]$ лето'!s2396-'[2]$ лето'!r2396-'[2]$ лето'!p2396-'[2]$ лето'!o2396-'[2]$ лето'!n2396-'[2]$ лето'!m2396-'[2]$ лето'!l2396+'[2]$ лето'!k2396+'[2]$ лето'!q2396+'[2]$ лето'!w2396+'[2]$ лето'!ac2396+'[2]$ лето'!ai2396+'[2]$ лето'!ao2396</f>
        <v>0</v>
      </c>
      <c r="I2396" s="109" t="n">
        <f aca="false">'[2]$ лето'!ay2396*1.05</f>
        <v>4987.5</v>
      </c>
    </row>
    <row r="2397" customFormat="false" ht="15" hidden="true" customHeight="false" outlineLevel="0" collapsed="false">
      <c r="A2397" s="115" t="s">
        <v>2988</v>
      </c>
      <c r="B2397" s="123" t="s">
        <v>2991</v>
      </c>
      <c r="C2397" s="107" t="s">
        <v>2992</v>
      </c>
      <c r="D2397" s="107"/>
      <c r="E2397" s="107"/>
      <c r="F2397" s="107"/>
      <c r="G2397" s="108"/>
      <c r="H2397" s="105" t="n">
        <f aca="false">'[2]$ лето'!j2397-'[2]$ лето'!au2397-'[2]$ лето'!at2397-'[2]$ лето'!as2397-'[2]$ лето'!ar2397-'[2]$ лето'!aq2397-'[2]$ лето'!ap2397-'[2]$ лето'!an2397-'[2]$ лето'!am2397-'[2]$ лето'!al2397-'[2]$ лето'!ak2397-'[2]$ лето'!aj2397-'[2]$ лето'!ah2397-'[2]$ лето'!ag2397-'[2]$ лето'!af2397-'[2]$ лето'!ae2397-'[2]$ лето'!ad2397-'[2]$ лето'!ab2397-'[2]$ лето'!aa2397-'[2]$ лето'!z2397-'[2]$ лето'!y2397-'[2]$ лето'!x2397-'[2]$ лето'!v2397-'[2]$ лето'!u2397-'[2]$ лето'!t2397-'[2]$ лето'!s2397-'[2]$ лето'!r2397-'[2]$ лето'!p2397-'[2]$ лето'!o2397-'[2]$ лето'!n2397-'[2]$ лето'!m2397-'[2]$ лето'!l2397+'[2]$ лето'!k2397+'[2]$ лето'!q2397+'[2]$ лето'!w2397+'[2]$ лето'!ac2397+'[2]$ лето'!ai2397+'[2]$ лето'!ao2397</f>
        <v>0</v>
      </c>
      <c r="I2397" s="109" t="n">
        <f aca="false">'[2]$ лето'!ay2397*1.05</f>
        <v>5040</v>
      </c>
    </row>
    <row r="2398" customFormat="false" ht="15" hidden="true" customHeight="false" outlineLevel="0" collapsed="false">
      <c r="A2398" s="115" t="s">
        <v>2988</v>
      </c>
      <c r="B2398" s="115" t="s">
        <v>2688</v>
      </c>
      <c r="C2398" s="107" t="s">
        <v>2993</v>
      </c>
      <c r="D2398" s="107"/>
      <c r="E2398" s="107"/>
      <c r="F2398" s="107"/>
      <c r="G2398" s="108"/>
      <c r="H2398" s="105" t="n">
        <f aca="false">'[2]$ лето'!j2398-'[2]$ лето'!au2398-'[2]$ лето'!at2398-'[2]$ лето'!as2398-'[2]$ лето'!ar2398-'[2]$ лето'!aq2398-'[2]$ лето'!ap2398-'[2]$ лето'!an2398-'[2]$ лето'!am2398-'[2]$ лето'!al2398-'[2]$ лето'!ak2398-'[2]$ лето'!aj2398-'[2]$ лето'!ah2398-'[2]$ лето'!ag2398-'[2]$ лето'!af2398-'[2]$ лето'!ae2398-'[2]$ лето'!ad2398-'[2]$ лето'!ab2398-'[2]$ лето'!aa2398-'[2]$ лето'!z2398-'[2]$ лето'!y2398-'[2]$ лето'!x2398-'[2]$ лето'!v2398-'[2]$ лето'!u2398-'[2]$ лето'!t2398-'[2]$ лето'!s2398-'[2]$ лето'!r2398-'[2]$ лето'!p2398-'[2]$ лето'!o2398-'[2]$ лето'!n2398-'[2]$ лето'!m2398-'[2]$ лето'!l2398+'[2]$ лето'!k2398+'[2]$ лето'!q2398+'[2]$ лето'!w2398+'[2]$ лето'!ac2398+'[2]$ лето'!ai2398+'[2]$ лето'!ao2398</f>
        <v>0</v>
      </c>
      <c r="I2398" s="109" t="n">
        <f aca="false">'[2]$ лето'!ay2398*1.05</f>
        <v>4882.5</v>
      </c>
    </row>
    <row r="2399" customFormat="false" ht="15" hidden="true" customHeight="false" outlineLevel="0" collapsed="false">
      <c r="A2399" s="115" t="s">
        <v>2988</v>
      </c>
      <c r="B2399" s="115" t="s">
        <v>2688</v>
      </c>
      <c r="C2399" s="107" t="s">
        <v>2994</v>
      </c>
      <c r="D2399" s="107"/>
      <c r="E2399" s="107"/>
      <c r="F2399" s="107"/>
      <c r="G2399" s="108"/>
      <c r="H2399" s="105" t="n">
        <f aca="false">'[2]$ лето'!j2399-'[2]$ лето'!au2399-'[2]$ лето'!at2399-'[2]$ лето'!as2399-'[2]$ лето'!ar2399-'[2]$ лето'!aq2399-'[2]$ лето'!ap2399-'[2]$ лето'!an2399-'[2]$ лето'!am2399-'[2]$ лето'!al2399-'[2]$ лето'!ak2399-'[2]$ лето'!aj2399-'[2]$ лето'!ah2399-'[2]$ лето'!ag2399-'[2]$ лето'!af2399-'[2]$ лето'!ae2399-'[2]$ лето'!ad2399-'[2]$ лето'!ab2399-'[2]$ лето'!aa2399-'[2]$ лето'!z2399-'[2]$ лето'!y2399-'[2]$ лето'!x2399-'[2]$ лето'!v2399-'[2]$ лето'!u2399-'[2]$ лето'!t2399-'[2]$ лето'!s2399-'[2]$ лето'!r2399-'[2]$ лето'!p2399-'[2]$ лето'!o2399-'[2]$ лето'!n2399-'[2]$ лето'!m2399-'[2]$ лето'!l2399+'[2]$ лето'!k2399+'[2]$ лето'!q2399+'[2]$ лето'!w2399+'[2]$ лето'!ac2399+'[2]$ лето'!ai2399+'[2]$ лето'!ao2399</f>
        <v>0</v>
      </c>
      <c r="I2399" s="109" t="n">
        <f aca="false">'[2]$ лето'!ay2399*1.05</f>
        <v>4725</v>
      </c>
    </row>
    <row r="2400" customFormat="false" ht="15" hidden="true" customHeight="false" outlineLevel="0" collapsed="false">
      <c r="A2400" s="115" t="s">
        <v>2988</v>
      </c>
      <c r="B2400" s="115" t="s">
        <v>2688</v>
      </c>
      <c r="C2400" s="107" t="s">
        <v>2995</v>
      </c>
      <c r="D2400" s="107"/>
      <c r="E2400" s="107"/>
      <c r="F2400" s="107"/>
      <c r="G2400" s="108"/>
      <c r="H2400" s="105" t="n">
        <f aca="false">'[2]$ лето'!j2400-'[2]$ лето'!au2400-'[2]$ лето'!at2400-'[2]$ лето'!as2400-'[2]$ лето'!ar2400-'[2]$ лето'!aq2400-'[2]$ лето'!ap2400-'[2]$ лето'!an2400-'[2]$ лето'!am2400-'[2]$ лето'!al2400-'[2]$ лето'!ak2400-'[2]$ лето'!aj2400-'[2]$ лето'!ah2400-'[2]$ лето'!ag2400-'[2]$ лето'!af2400-'[2]$ лето'!ae2400-'[2]$ лето'!ad2400-'[2]$ лето'!ab2400-'[2]$ лето'!aa2400-'[2]$ лето'!z2400-'[2]$ лето'!y2400-'[2]$ лето'!x2400-'[2]$ лето'!v2400-'[2]$ лето'!u2400-'[2]$ лето'!t2400-'[2]$ лето'!s2400-'[2]$ лето'!r2400-'[2]$ лето'!p2400-'[2]$ лето'!o2400-'[2]$ лето'!n2400-'[2]$ лето'!m2400-'[2]$ лето'!l2400+'[2]$ лето'!k2400+'[2]$ лето'!q2400+'[2]$ лето'!w2400+'[2]$ лето'!ac2400+'[2]$ лето'!ai2400+'[2]$ лето'!ao2400</f>
        <v>0</v>
      </c>
      <c r="I2400" s="109" t="n">
        <f aca="false">'[2]$ лето'!ay2400*1.05</f>
        <v>4935</v>
      </c>
    </row>
    <row r="2401" customFormat="false" ht="15" hidden="true" customHeight="false" outlineLevel="0" collapsed="false">
      <c r="A2401" s="115" t="s">
        <v>2988</v>
      </c>
      <c r="B2401" s="115" t="s">
        <v>2688</v>
      </c>
      <c r="C2401" s="107" t="s">
        <v>2996</v>
      </c>
      <c r="D2401" s="107"/>
      <c r="E2401" s="107"/>
      <c r="F2401" s="107"/>
      <c r="G2401" s="108"/>
      <c r="H2401" s="105" t="n">
        <f aca="false">'[2]$ лето'!j2401-'[2]$ лето'!au2401-'[2]$ лето'!at2401-'[2]$ лето'!as2401-'[2]$ лето'!ar2401-'[2]$ лето'!aq2401-'[2]$ лето'!ap2401-'[2]$ лето'!an2401-'[2]$ лето'!am2401-'[2]$ лето'!al2401-'[2]$ лето'!ak2401-'[2]$ лето'!aj2401-'[2]$ лето'!ah2401-'[2]$ лето'!ag2401-'[2]$ лето'!af2401-'[2]$ лето'!ae2401-'[2]$ лето'!ad2401-'[2]$ лето'!ab2401-'[2]$ лето'!aa2401-'[2]$ лето'!z2401-'[2]$ лето'!y2401-'[2]$ лето'!x2401-'[2]$ лето'!v2401-'[2]$ лето'!u2401-'[2]$ лето'!t2401-'[2]$ лето'!s2401-'[2]$ лето'!r2401-'[2]$ лето'!p2401-'[2]$ лето'!o2401-'[2]$ лето'!n2401-'[2]$ лето'!m2401-'[2]$ лето'!l2401+'[2]$ лето'!k2401+'[2]$ лето'!q2401+'[2]$ лето'!w2401+'[2]$ лето'!ac2401+'[2]$ лето'!ai2401+'[2]$ лето'!ao2401</f>
        <v>0</v>
      </c>
      <c r="I2401" s="109" t="n">
        <f aca="false">'[2]$ лето'!ay2401*1.05</f>
        <v>4987.5</v>
      </c>
    </row>
    <row r="2402" customFormat="false" ht="15" hidden="true" customHeight="false" outlineLevel="0" collapsed="false">
      <c r="A2402" s="115" t="s">
        <v>2988</v>
      </c>
      <c r="B2402" s="115" t="s">
        <v>2705</v>
      </c>
      <c r="C2402" s="107" t="s">
        <v>2997</v>
      </c>
      <c r="D2402" s="107"/>
      <c r="E2402" s="107"/>
      <c r="F2402" s="107"/>
      <c r="G2402" s="108"/>
      <c r="H2402" s="105" t="n">
        <f aca="false">'[2]$ лето'!j2402-'[2]$ лето'!au2402-'[2]$ лето'!at2402-'[2]$ лето'!as2402-'[2]$ лето'!ar2402-'[2]$ лето'!aq2402-'[2]$ лето'!ap2402-'[2]$ лето'!an2402-'[2]$ лето'!am2402-'[2]$ лето'!al2402-'[2]$ лето'!ak2402-'[2]$ лето'!aj2402-'[2]$ лето'!ah2402-'[2]$ лето'!ag2402-'[2]$ лето'!af2402-'[2]$ лето'!ae2402-'[2]$ лето'!ad2402-'[2]$ лето'!ab2402-'[2]$ лето'!aa2402-'[2]$ лето'!z2402-'[2]$ лето'!y2402-'[2]$ лето'!x2402-'[2]$ лето'!v2402-'[2]$ лето'!u2402-'[2]$ лето'!t2402-'[2]$ лето'!s2402-'[2]$ лето'!r2402-'[2]$ лето'!p2402-'[2]$ лето'!o2402-'[2]$ лето'!n2402-'[2]$ лето'!m2402-'[2]$ лето'!l2402+'[2]$ лето'!k2402+'[2]$ лето'!q2402+'[2]$ лето'!w2402+'[2]$ лето'!ac2402+'[2]$ лето'!ai2402+'[2]$ лето'!ao2402</f>
        <v>0</v>
      </c>
      <c r="I2402" s="109" t="n">
        <f aca="false">'[2]$ лето'!ay2402*1.05</f>
        <v>5460</v>
      </c>
    </row>
    <row r="2403" customFormat="false" ht="15" hidden="true" customHeight="false" outlineLevel="0" collapsed="false">
      <c r="A2403" s="115" t="s">
        <v>2988</v>
      </c>
      <c r="B2403" s="115" t="s">
        <v>2909</v>
      </c>
      <c r="C2403" s="107" t="s">
        <v>2998</v>
      </c>
      <c r="D2403" s="107"/>
      <c r="E2403" s="107"/>
      <c r="F2403" s="107"/>
      <c r="G2403" s="108"/>
      <c r="H2403" s="105" t="n">
        <f aca="false">'[2]$ лето'!j2403-'[2]$ лето'!au2403-'[2]$ лето'!at2403-'[2]$ лето'!as2403-'[2]$ лето'!ar2403-'[2]$ лето'!aq2403-'[2]$ лето'!ap2403-'[2]$ лето'!an2403-'[2]$ лето'!am2403-'[2]$ лето'!al2403-'[2]$ лето'!ak2403-'[2]$ лето'!aj2403-'[2]$ лето'!ah2403-'[2]$ лето'!ag2403-'[2]$ лето'!af2403-'[2]$ лето'!ae2403-'[2]$ лето'!ad2403-'[2]$ лето'!ab2403-'[2]$ лето'!aa2403-'[2]$ лето'!z2403-'[2]$ лето'!y2403-'[2]$ лето'!x2403-'[2]$ лето'!v2403-'[2]$ лето'!u2403-'[2]$ лето'!t2403-'[2]$ лето'!s2403-'[2]$ лето'!r2403-'[2]$ лето'!p2403-'[2]$ лето'!o2403-'[2]$ лето'!n2403-'[2]$ лето'!m2403-'[2]$ лето'!l2403+'[2]$ лето'!k2403+'[2]$ лето'!q2403+'[2]$ лето'!w2403+'[2]$ лето'!ac2403+'[2]$ лето'!ai2403+'[2]$ лето'!ao2403</f>
        <v>0</v>
      </c>
      <c r="I2403" s="109" t="n">
        <f aca="false">'[2]$ лето'!ay2403*1.05</f>
        <v>6615</v>
      </c>
    </row>
    <row r="2404" customFormat="false" ht="15" hidden="true" customHeight="false" outlineLevel="0" collapsed="false">
      <c r="A2404" s="115" t="s">
        <v>2988</v>
      </c>
      <c r="B2404" s="115" t="s">
        <v>568</v>
      </c>
      <c r="C2404" s="107" t="s">
        <v>2999</v>
      </c>
      <c r="D2404" s="107"/>
      <c r="E2404" s="107"/>
      <c r="F2404" s="107"/>
      <c r="G2404" s="108"/>
      <c r="H2404" s="105" t="n">
        <f aca="false">'[2]$ лето'!j2404-'[2]$ лето'!au2404-'[2]$ лето'!at2404-'[2]$ лето'!as2404-'[2]$ лето'!ar2404-'[2]$ лето'!aq2404-'[2]$ лето'!ap2404-'[2]$ лето'!an2404-'[2]$ лето'!am2404-'[2]$ лето'!al2404-'[2]$ лето'!ak2404-'[2]$ лето'!aj2404-'[2]$ лето'!ah2404-'[2]$ лето'!ag2404-'[2]$ лето'!af2404-'[2]$ лето'!ae2404-'[2]$ лето'!ad2404-'[2]$ лето'!ab2404-'[2]$ лето'!aa2404-'[2]$ лето'!z2404-'[2]$ лето'!y2404-'[2]$ лето'!x2404-'[2]$ лето'!v2404-'[2]$ лето'!u2404-'[2]$ лето'!t2404-'[2]$ лето'!s2404-'[2]$ лето'!r2404-'[2]$ лето'!p2404-'[2]$ лето'!o2404-'[2]$ лето'!n2404-'[2]$ лето'!m2404-'[2]$ лето'!l2404+'[2]$ лето'!k2404+'[2]$ лето'!q2404+'[2]$ лето'!w2404+'[2]$ лето'!ac2404+'[2]$ лето'!ai2404+'[2]$ лето'!ao2404</f>
        <v>0</v>
      </c>
      <c r="I2404" s="109" t="n">
        <f aca="false">'[2]$ лето'!ay2404*1.05</f>
        <v>11778.9</v>
      </c>
    </row>
    <row r="2405" customFormat="false" ht="15" hidden="true" customHeight="false" outlineLevel="0" collapsed="false">
      <c r="A2405" s="115" t="s">
        <v>2988</v>
      </c>
      <c r="B2405" s="115" t="s">
        <v>568</v>
      </c>
      <c r="C2405" s="116" t="s">
        <v>3000</v>
      </c>
      <c r="D2405" s="116"/>
      <c r="E2405" s="116"/>
      <c r="F2405" s="116"/>
      <c r="G2405" s="108"/>
      <c r="H2405" s="105" t="n">
        <f aca="false">'[2]$ лето'!j2405-'[2]$ лето'!au2405-'[2]$ лето'!at2405-'[2]$ лето'!as2405-'[2]$ лето'!ar2405-'[2]$ лето'!aq2405-'[2]$ лето'!ap2405-'[2]$ лето'!an2405-'[2]$ лето'!am2405-'[2]$ лето'!al2405-'[2]$ лето'!ak2405-'[2]$ лето'!aj2405-'[2]$ лето'!ah2405-'[2]$ лето'!ag2405-'[2]$ лето'!af2405-'[2]$ лето'!ae2405-'[2]$ лето'!ad2405-'[2]$ лето'!ab2405-'[2]$ лето'!aa2405-'[2]$ лето'!z2405-'[2]$ лето'!y2405-'[2]$ лето'!x2405-'[2]$ лето'!v2405-'[2]$ лето'!u2405-'[2]$ лето'!t2405-'[2]$ лето'!s2405-'[2]$ лето'!r2405-'[2]$ лето'!p2405-'[2]$ лето'!o2405-'[2]$ лето'!n2405-'[2]$ лето'!m2405-'[2]$ лето'!l2405+'[2]$ лето'!k2405+'[2]$ лето'!q2405+'[2]$ лето'!w2405+'[2]$ лето'!ac2405+'[2]$ лето'!ai2405+'[2]$ лето'!ao2405</f>
        <v>0</v>
      </c>
      <c r="I2405" s="109" t="n">
        <f aca="false">'[2]$ лето'!ay2405*1.05</f>
        <v>12524.4</v>
      </c>
    </row>
    <row r="2406" customFormat="false" ht="15" hidden="false" customHeight="false" outlineLevel="0" collapsed="false">
      <c r="A2406" s="115" t="s">
        <v>2988</v>
      </c>
      <c r="B2406" s="115" t="s">
        <v>601</v>
      </c>
      <c r="C2406" s="116" t="s">
        <v>3001</v>
      </c>
      <c r="D2406" s="116"/>
      <c r="E2406" s="116"/>
      <c r="F2406" s="116"/>
      <c r="G2406" s="108" t="s">
        <v>1954</v>
      </c>
      <c r="H2406" s="105" t="n">
        <f aca="false">'[2]$ лето'!j2406-'[2]$ лето'!au2406-'[2]$ лето'!at2406-'[2]$ лето'!as2406-'[2]$ лето'!ar2406-'[2]$ лето'!aq2406-'[2]$ лето'!ap2406-'[2]$ лето'!an2406-'[2]$ лето'!am2406-'[2]$ лето'!al2406-'[2]$ лето'!ak2406-'[2]$ лето'!aj2406-'[2]$ лето'!ah2406-'[2]$ лето'!ag2406-'[2]$ лето'!af2406-'[2]$ лето'!ae2406-'[2]$ лето'!ad2406-'[2]$ лето'!ab2406-'[2]$ лето'!aa2406-'[2]$ лето'!z2406-'[2]$ лето'!y2406-'[2]$ лето'!x2406-'[2]$ лето'!v2406-'[2]$ лето'!u2406-'[2]$ лето'!t2406-'[2]$ лето'!s2406-'[2]$ лето'!r2406-'[2]$ лето'!p2406-'[2]$ лето'!o2406-'[2]$ лето'!n2406-'[2]$ лето'!m2406-'[2]$ лето'!l2406+'[2]$ лето'!k2406+'[2]$ лето'!q2406+'[2]$ лето'!w2406+'[2]$ лето'!ac2406+'[2]$ лето'!ai2406+'[2]$ лето'!ao2406</f>
        <v>6</v>
      </c>
      <c r="I2406" s="109" t="n">
        <f aca="false">'[2]$ лето'!ay2406*1.05</f>
        <v>12077.1</v>
      </c>
      <c r="J2406" s="85" t="n">
        <v>2017</v>
      </c>
    </row>
    <row r="2407" customFormat="false" ht="15" hidden="true" customHeight="false" outlineLevel="0" collapsed="false">
      <c r="A2407" s="115" t="s">
        <v>2988</v>
      </c>
      <c r="B2407" s="115" t="s">
        <v>601</v>
      </c>
      <c r="C2407" s="116" t="s">
        <v>2952</v>
      </c>
      <c r="D2407" s="116"/>
      <c r="E2407" s="116"/>
      <c r="F2407" s="116"/>
      <c r="G2407" s="108" t="s">
        <v>1127</v>
      </c>
      <c r="H2407" s="105" t="n">
        <f aca="false">'[2]$ лето'!j2407-'[2]$ лето'!au2407-'[2]$ лето'!at2407-'[2]$ лето'!as2407-'[2]$ лето'!ar2407-'[2]$ лето'!aq2407-'[2]$ лето'!ap2407-'[2]$ лето'!an2407-'[2]$ лето'!am2407-'[2]$ лето'!al2407-'[2]$ лето'!ak2407-'[2]$ лето'!aj2407-'[2]$ лето'!ah2407-'[2]$ лето'!ag2407-'[2]$ лето'!af2407-'[2]$ лето'!ae2407-'[2]$ лето'!ad2407-'[2]$ лето'!ab2407-'[2]$ лето'!aa2407-'[2]$ лето'!z2407-'[2]$ лето'!y2407-'[2]$ лето'!x2407-'[2]$ лето'!v2407-'[2]$ лето'!u2407-'[2]$ лето'!t2407-'[2]$ лето'!s2407-'[2]$ лето'!r2407-'[2]$ лето'!p2407-'[2]$ лето'!o2407-'[2]$ лето'!n2407-'[2]$ лето'!m2407-'[2]$ лето'!l2407+'[2]$ лето'!k2407+'[2]$ лето'!q2407+'[2]$ лето'!w2407+'[2]$ лето'!ac2407+'[2]$ лето'!ai2407+'[2]$ лето'!ao2407</f>
        <v>0</v>
      </c>
      <c r="I2407" s="109" t="n">
        <f aca="false">'[2]$ лето'!ay2407*1.05</f>
        <v>11689.44</v>
      </c>
    </row>
    <row r="2408" customFormat="false" ht="15" hidden="false" customHeight="false" outlineLevel="0" collapsed="false">
      <c r="A2408" s="115" t="s">
        <v>2988</v>
      </c>
      <c r="B2408" s="115" t="s">
        <v>601</v>
      </c>
      <c r="C2408" s="116" t="s">
        <v>2952</v>
      </c>
      <c r="D2408" s="116"/>
      <c r="E2408" s="116"/>
      <c r="F2408" s="116"/>
      <c r="G2408" s="108" t="s">
        <v>935</v>
      </c>
      <c r="H2408" s="105" t="n">
        <f aca="false">'[2]$ лето'!j2408-'[2]$ лето'!au2408-'[2]$ лето'!at2408-'[2]$ лето'!as2408-'[2]$ лето'!ar2408-'[2]$ лето'!aq2408-'[2]$ лето'!ap2408-'[2]$ лето'!an2408-'[2]$ лето'!am2408-'[2]$ лето'!al2408-'[2]$ лето'!ak2408-'[2]$ лето'!aj2408-'[2]$ лето'!ah2408-'[2]$ лето'!ag2408-'[2]$ лето'!af2408-'[2]$ лето'!ae2408-'[2]$ лето'!ad2408-'[2]$ лето'!ab2408-'[2]$ лето'!aa2408-'[2]$ лето'!z2408-'[2]$ лето'!y2408-'[2]$ лето'!x2408-'[2]$ лето'!v2408-'[2]$ лето'!u2408-'[2]$ лето'!t2408-'[2]$ лето'!s2408-'[2]$ лето'!r2408-'[2]$ лето'!p2408-'[2]$ лето'!o2408-'[2]$ лето'!n2408-'[2]$ лето'!m2408-'[2]$ лето'!l2408+'[2]$ лето'!k2408+'[2]$ лето'!q2408+'[2]$ лето'!w2408+'[2]$ лето'!ac2408+'[2]$ лето'!ai2408+'[2]$ лето'!ao2408</f>
        <v>8</v>
      </c>
      <c r="I2408" s="109" t="n">
        <f aca="false">'[2]$ лето'!ay2408*1.05</f>
        <v>12226.2</v>
      </c>
      <c r="J2408" s="85" t="n">
        <v>2017</v>
      </c>
    </row>
    <row r="2409" customFormat="false" ht="15" hidden="true" customHeight="false" outlineLevel="0" collapsed="false">
      <c r="A2409" s="115" t="s">
        <v>2988</v>
      </c>
      <c r="B2409" s="115" t="s">
        <v>601</v>
      </c>
      <c r="C2409" s="116" t="s">
        <v>3002</v>
      </c>
      <c r="D2409" s="116"/>
      <c r="E2409" s="116"/>
      <c r="F2409" s="116"/>
      <c r="G2409" s="108" t="s">
        <v>1954</v>
      </c>
      <c r="H2409" s="105" t="n">
        <f aca="false">'[2]$ лето'!j2409-'[2]$ лето'!au2409-'[2]$ лето'!at2409-'[2]$ лето'!as2409-'[2]$ лето'!ar2409-'[2]$ лето'!aq2409-'[2]$ лето'!ap2409-'[2]$ лето'!an2409-'[2]$ лето'!am2409-'[2]$ лето'!al2409-'[2]$ лето'!ak2409-'[2]$ лето'!aj2409-'[2]$ лето'!ah2409-'[2]$ лето'!ag2409-'[2]$ лето'!af2409-'[2]$ лето'!ae2409-'[2]$ лето'!ad2409-'[2]$ лето'!ab2409-'[2]$ лето'!aa2409-'[2]$ лето'!z2409-'[2]$ лето'!y2409-'[2]$ лето'!x2409-'[2]$ лето'!v2409-'[2]$ лето'!u2409-'[2]$ лето'!t2409-'[2]$ лето'!s2409-'[2]$ лето'!r2409-'[2]$ лето'!p2409-'[2]$ лето'!o2409-'[2]$ лето'!n2409-'[2]$ лето'!m2409-'[2]$ лето'!l2409+'[2]$ лето'!k2409+'[2]$ лето'!q2409+'[2]$ лето'!w2409+'[2]$ лето'!ac2409+'[2]$ лето'!ai2409+'[2]$ лето'!ao2409</f>
        <v>0</v>
      </c>
      <c r="I2409" s="109" t="n">
        <f aca="false">'[2]$ лето'!ay2409*1.05</f>
        <v>11331.6</v>
      </c>
    </row>
    <row r="2410" customFormat="false" ht="15" hidden="false" customHeight="false" outlineLevel="0" collapsed="false">
      <c r="A2410" s="115" t="s">
        <v>2988</v>
      </c>
      <c r="B2410" s="115" t="s">
        <v>2710</v>
      </c>
      <c r="C2410" s="116" t="s">
        <v>3003</v>
      </c>
      <c r="D2410" s="116"/>
      <c r="E2410" s="116"/>
      <c r="F2410" s="116"/>
      <c r="G2410" s="108"/>
      <c r="H2410" s="105" t="n">
        <f aca="false">'[2]$ лето'!j2410-'[2]$ лето'!au2410-'[2]$ лето'!at2410-'[2]$ лето'!as2410-'[2]$ лето'!ar2410-'[2]$ лето'!aq2410-'[2]$ лето'!ap2410-'[2]$ лето'!an2410-'[2]$ лето'!am2410-'[2]$ лето'!al2410-'[2]$ лето'!ak2410-'[2]$ лето'!aj2410-'[2]$ лето'!ah2410-'[2]$ лето'!ag2410-'[2]$ лето'!af2410-'[2]$ лето'!ae2410-'[2]$ лето'!ad2410-'[2]$ лето'!ab2410-'[2]$ лето'!aa2410-'[2]$ лето'!z2410-'[2]$ лето'!y2410-'[2]$ лето'!x2410-'[2]$ лето'!v2410-'[2]$ лето'!u2410-'[2]$ лето'!t2410-'[2]$ лето'!s2410-'[2]$ лето'!r2410-'[2]$ лето'!p2410-'[2]$ лето'!o2410-'[2]$ лето'!n2410-'[2]$ лето'!m2410-'[2]$ лето'!l2410+'[2]$ лето'!k2410+'[2]$ лето'!q2410+'[2]$ лето'!w2410+'[2]$ лето'!ac2410+'[2]$ лето'!ai2410+'[2]$ лето'!ao2410</f>
        <v>2</v>
      </c>
      <c r="I2410" s="109" t="n">
        <f aca="false">'[2]$ лето'!ay2410*1.05</f>
        <v>6510</v>
      </c>
    </row>
    <row r="2411" customFormat="false" ht="15" hidden="true" customHeight="false" outlineLevel="0" collapsed="false">
      <c r="A2411" s="115" t="s">
        <v>2988</v>
      </c>
      <c r="B2411" s="115" t="s">
        <v>2710</v>
      </c>
      <c r="C2411" s="116" t="s">
        <v>3004</v>
      </c>
      <c r="D2411" s="116"/>
      <c r="E2411" s="116"/>
      <c r="F2411" s="116"/>
      <c r="G2411" s="108"/>
      <c r="H2411" s="105" t="n">
        <f aca="false">'[2]$ лето'!j2411-'[2]$ лето'!au2411-'[2]$ лето'!at2411-'[2]$ лето'!as2411-'[2]$ лето'!ar2411-'[2]$ лето'!aq2411-'[2]$ лето'!ap2411-'[2]$ лето'!an2411-'[2]$ лето'!am2411-'[2]$ лето'!al2411-'[2]$ лето'!ak2411-'[2]$ лето'!aj2411-'[2]$ лето'!ah2411-'[2]$ лето'!ag2411-'[2]$ лето'!af2411-'[2]$ лето'!ae2411-'[2]$ лето'!ad2411-'[2]$ лето'!ab2411-'[2]$ лето'!aa2411-'[2]$ лето'!z2411-'[2]$ лето'!y2411-'[2]$ лето'!x2411-'[2]$ лето'!v2411-'[2]$ лето'!u2411-'[2]$ лето'!t2411-'[2]$ лето'!s2411-'[2]$ лето'!r2411-'[2]$ лето'!p2411-'[2]$ лето'!o2411-'[2]$ лето'!n2411-'[2]$ лето'!m2411-'[2]$ лето'!l2411+'[2]$ лето'!k2411+'[2]$ лето'!q2411+'[2]$ лето'!w2411+'[2]$ лето'!ac2411+'[2]$ лето'!ai2411+'[2]$ лето'!ao2411</f>
        <v>0</v>
      </c>
      <c r="I2411" s="109" t="n">
        <f aca="false">'[2]$ лето'!ay2411*1.05</f>
        <v>7035</v>
      </c>
    </row>
    <row r="2412" customFormat="false" ht="15" hidden="false" customHeight="false" outlineLevel="0" collapsed="false">
      <c r="A2412" s="115" t="s">
        <v>2988</v>
      </c>
      <c r="B2412" s="115" t="s">
        <v>707</v>
      </c>
      <c r="C2412" s="116" t="s">
        <v>3005</v>
      </c>
      <c r="D2412" s="116"/>
      <c r="E2412" s="116"/>
      <c r="F2412" s="116"/>
      <c r="G2412" s="108" t="s">
        <v>843</v>
      </c>
      <c r="H2412" s="105" t="n">
        <f aca="false">'[2]$ лето'!j2412-'[2]$ лето'!au2412-'[2]$ лето'!at2412-'[2]$ лето'!as2412-'[2]$ лето'!ar2412-'[2]$ лето'!aq2412-'[2]$ лето'!ap2412-'[2]$ лето'!an2412-'[2]$ лето'!am2412-'[2]$ лето'!al2412-'[2]$ лето'!ak2412-'[2]$ лето'!aj2412-'[2]$ лето'!ah2412-'[2]$ лето'!ag2412-'[2]$ лето'!af2412-'[2]$ лето'!ae2412-'[2]$ лето'!ad2412-'[2]$ лето'!ab2412-'[2]$ лето'!aa2412-'[2]$ лето'!z2412-'[2]$ лето'!y2412-'[2]$ лето'!x2412-'[2]$ лето'!v2412-'[2]$ лето'!u2412-'[2]$ лето'!t2412-'[2]$ лето'!s2412-'[2]$ лето'!r2412-'[2]$ лето'!p2412-'[2]$ лето'!o2412-'[2]$ лето'!n2412-'[2]$ лето'!m2412-'[2]$ лето'!l2412+'[2]$ лето'!k2412+'[2]$ лето'!q2412+'[2]$ лето'!w2412+'[2]$ лето'!ac2412+'[2]$ лето'!ai2412+'[2]$ лето'!ao2412</f>
        <v>2</v>
      </c>
      <c r="I2412" s="109" t="n">
        <f aca="false">'[2]$ лето'!ay2412*1.05</f>
        <v>11331.6</v>
      </c>
      <c r="J2412" s="85" t="s">
        <v>3006</v>
      </c>
    </row>
    <row r="2413" customFormat="false" ht="15" hidden="true" customHeight="false" outlineLevel="0" collapsed="false">
      <c r="A2413" s="115" t="s">
        <v>2988</v>
      </c>
      <c r="B2413" s="115" t="s">
        <v>707</v>
      </c>
      <c r="C2413" s="116" t="s">
        <v>3007</v>
      </c>
      <c r="D2413" s="116"/>
      <c r="E2413" s="116"/>
      <c r="F2413" s="116"/>
      <c r="G2413" s="108" t="s">
        <v>868</v>
      </c>
      <c r="H2413" s="105" t="n">
        <f aca="false">'[2]$ лето'!j2413-'[2]$ лето'!au2413-'[2]$ лето'!at2413-'[2]$ лето'!as2413-'[2]$ лето'!ar2413-'[2]$ лето'!aq2413-'[2]$ лето'!ap2413-'[2]$ лето'!an2413-'[2]$ лето'!am2413-'[2]$ лето'!al2413-'[2]$ лето'!ak2413-'[2]$ лето'!aj2413-'[2]$ лето'!ah2413-'[2]$ лето'!ag2413-'[2]$ лето'!af2413-'[2]$ лето'!ae2413-'[2]$ лето'!ad2413-'[2]$ лето'!ab2413-'[2]$ лето'!aa2413-'[2]$ лето'!z2413-'[2]$ лето'!y2413-'[2]$ лето'!x2413-'[2]$ лето'!v2413-'[2]$ лето'!u2413-'[2]$ лето'!t2413-'[2]$ лето'!s2413-'[2]$ лето'!r2413-'[2]$ лето'!p2413-'[2]$ лето'!o2413-'[2]$ лето'!n2413-'[2]$ лето'!m2413-'[2]$ лето'!l2413+'[2]$ лето'!k2413+'[2]$ лето'!q2413+'[2]$ лето'!w2413+'[2]$ лето'!ac2413+'[2]$ лето'!ai2413+'[2]$ лето'!ao2413</f>
        <v>0</v>
      </c>
      <c r="I2413" s="109" t="n">
        <f aca="false">'[2]$ лето'!ay2413*1.05</f>
        <v>11331.6</v>
      </c>
    </row>
    <row r="2414" customFormat="false" ht="15" hidden="true" customHeight="false" outlineLevel="0" collapsed="false">
      <c r="A2414" s="115" t="s">
        <v>2988</v>
      </c>
      <c r="B2414" s="115" t="s">
        <v>707</v>
      </c>
      <c r="C2414" s="116" t="s">
        <v>3008</v>
      </c>
      <c r="D2414" s="116"/>
      <c r="E2414" s="116"/>
      <c r="F2414" s="116"/>
      <c r="G2414" s="108" t="s">
        <v>2827</v>
      </c>
      <c r="H2414" s="105" t="n">
        <f aca="false">'[2]$ лето'!j2414-'[2]$ лето'!au2414-'[2]$ лето'!at2414-'[2]$ лето'!as2414-'[2]$ лето'!ar2414-'[2]$ лето'!aq2414-'[2]$ лето'!ap2414-'[2]$ лето'!an2414-'[2]$ лето'!am2414-'[2]$ лето'!al2414-'[2]$ лето'!ak2414-'[2]$ лето'!aj2414-'[2]$ лето'!ah2414-'[2]$ лето'!ag2414-'[2]$ лето'!af2414-'[2]$ лето'!ae2414-'[2]$ лето'!ad2414-'[2]$ лето'!ab2414-'[2]$ лето'!aa2414-'[2]$ лето'!z2414-'[2]$ лето'!y2414-'[2]$ лето'!x2414-'[2]$ лето'!v2414-'[2]$ лето'!u2414-'[2]$ лето'!t2414-'[2]$ лето'!s2414-'[2]$ лето'!r2414-'[2]$ лето'!p2414-'[2]$ лето'!o2414-'[2]$ лето'!n2414-'[2]$ лето'!m2414-'[2]$ лето'!l2414+'[2]$ лето'!k2414+'[2]$ лето'!q2414+'[2]$ лето'!w2414+'[2]$ лето'!ac2414+'[2]$ лето'!ai2414+'[2]$ лето'!ao2414</f>
        <v>0</v>
      </c>
      <c r="I2414" s="109" t="n">
        <f aca="false">'[2]$ лето'!ay2414*1.05</f>
        <v>12375.3</v>
      </c>
    </row>
    <row r="2415" customFormat="false" ht="15" hidden="true" customHeight="false" outlineLevel="0" collapsed="false">
      <c r="A2415" s="115" t="s">
        <v>2988</v>
      </c>
      <c r="B2415" s="115" t="s">
        <v>2860</v>
      </c>
      <c r="C2415" s="116" t="s">
        <v>3009</v>
      </c>
      <c r="D2415" s="116"/>
      <c r="E2415" s="116"/>
      <c r="F2415" s="116"/>
      <c r="G2415" s="108"/>
      <c r="H2415" s="105" t="n">
        <f aca="false">'[2]$ лето'!j2415-'[2]$ лето'!au2415-'[2]$ лето'!at2415-'[2]$ лето'!as2415-'[2]$ лето'!ar2415-'[2]$ лето'!aq2415-'[2]$ лето'!ap2415-'[2]$ лето'!an2415-'[2]$ лето'!am2415-'[2]$ лето'!al2415-'[2]$ лето'!ak2415-'[2]$ лето'!aj2415-'[2]$ лето'!ah2415-'[2]$ лето'!ag2415-'[2]$ лето'!af2415-'[2]$ лето'!ae2415-'[2]$ лето'!ad2415-'[2]$ лето'!ab2415-'[2]$ лето'!aa2415-'[2]$ лето'!z2415-'[2]$ лето'!y2415-'[2]$ лето'!x2415-'[2]$ лето'!v2415-'[2]$ лето'!u2415-'[2]$ лето'!t2415-'[2]$ лето'!s2415-'[2]$ лето'!r2415-'[2]$ лето'!p2415-'[2]$ лето'!o2415-'[2]$ лето'!n2415-'[2]$ лето'!m2415-'[2]$ лето'!l2415+'[2]$ лето'!k2415+'[2]$ лето'!q2415+'[2]$ лето'!w2415+'[2]$ лето'!ac2415+'[2]$ лето'!ai2415+'[2]$ лето'!ao2415</f>
        <v>0</v>
      </c>
      <c r="I2415" s="109" t="n">
        <f aca="false">'[2]$ лето'!ay2415*1.05</f>
        <v>5512.5</v>
      </c>
    </row>
    <row r="2416" customFormat="false" ht="15" hidden="true" customHeight="false" outlineLevel="0" collapsed="false">
      <c r="A2416" s="115" t="s">
        <v>2988</v>
      </c>
      <c r="B2416" s="115" t="s">
        <v>2713</v>
      </c>
      <c r="C2416" s="116" t="s">
        <v>3010</v>
      </c>
      <c r="D2416" s="116"/>
      <c r="E2416" s="116"/>
      <c r="F2416" s="116"/>
      <c r="G2416" s="108"/>
      <c r="H2416" s="105" t="n">
        <f aca="false">'[2]$ лето'!j2416-'[2]$ лето'!au2416-'[2]$ лето'!at2416-'[2]$ лето'!as2416-'[2]$ лето'!ar2416-'[2]$ лето'!aq2416-'[2]$ лето'!ap2416-'[2]$ лето'!an2416-'[2]$ лето'!am2416-'[2]$ лето'!al2416-'[2]$ лето'!ak2416-'[2]$ лето'!aj2416-'[2]$ лето'!ah2416-'[2]$ лето'!ag2416-'[2]$ лето'!af2416-'[2]$ лето'!ae2416-'[2]$ лето'!ad2416-'[2]$ лето'!ab2416-'[2]$ лето'!aa2416-'[2]$ лето'!z2416-'[2]$ лето'!y2416-'[2]$ лето'!x2416-'[2]$ лето'!v2416-'[2]$ лето'!u2416-'[2]$ лето'!t2416-'[2]$ лето'!s2416-'[2]$ лето'!r2416-'[2]$ лето'!p2416-'[2]$ лето'!o2416-'[2]$ лето'!n2416-'[2]$ лето'!m2416-'[2]$ лето'!l2416+'[2]$ лето'!k2416+'[2]$ лето'!q2416+'[2]$ лето'!w2416+'[2]$ лето'!ac2416+'[2]$ лето'!ai2416+'[2]$ лето'!ao2416</f>
        <v>0</v>
      </c>
      <c r="I2416" s="109" t="n">
        <f aca="false">'[2]$ лето'!ay2416*1.05</f>
        <v>4777.5</v>
      </c>
    </row>
    <row r="2417" customFormat="false" ht="15" hidden="true" customHeight="false" outlineLevel="0" collapsed="false">
      <c r="A2417" s="115" t="s">
        <v>2988</v>
      </c>
      <c r="B2417" s="115" t="s">
        <v>604</v>
      </c>
      <c r="C2417" s="116" t="s">
        <v>3011</v>
      </c>
      <c r="D2417" s="116"/>
      <c r="E2417" s="116"/>
      <c r="F2417" s="116"/>
      <c r="G2417" s="108"/>
      <c r="H2417" s="105" t="n">
        <f aca="false">'[2]$ лето'!j2417-'[2]$ лето'!au2417-'[2]$ лето'!at2417-'[2]$ лето'!as2417-'[2]$ лето'!ar2417-'[2]$ лето'!aq2417-'[2]$ лето'!ap2417-'[2]$ лето'!an2417-'[2]$ лето'!am2417-'[2]$ лето'!al2417-'[2]$ лето'!ak2417-'[2]$ лето'!aj2417-'[2]$ лето'!ah2417-'[2]$ лето'!ag2417-'[2]$ лето'!af2417-'[2]$ лето'!ae2417-'[2]$ лето'!ad2417-'[2]$ лето'!ab2417-'[2]$ лето'!aa2417-'[2]$ лето'!z2417-'[2]$ лето'!y2417-'[2]$ лето'!x2417-'[2]$ лето'!v2417-'[2]$ лето'!u2417-'[2]$ лето'!t2417-'[2]$ лето'!s2417-'[2]$ лето'!r2417-'[2]$ лето'!p2417-'[2]$ лето'!o2417-'[2]$ лето'!n2417-'[2]$ лето'!m2417-'[2]$ лето'!l2417+'[2]$ лето'!k2417+'[2]$ лето'!q2417+'[2]$ лето'!w2417+'[2]$ лето'!ac2417+'[2]$ лето'!ai2417+'[2]$ лето'!ao2417</f>
        <v>0</v>
      </c>
      <c r="I2417" s="109" t="n">
        <f aca="false">'[2]$ лето'!ay2417*1.05</f>
        <v>8190</v>
      </c>
    </row>
    <row r="2418" customFormat="false" ht="15" hidden="true" customHeight="false" outlineLevel="0" collapsed="false">
      <c r="A2418" s="115" t="s">
        <v>2988</v>
      </c>
      <c r="B2418" s="115" t="s">
        <v>604</v>
      </c>
      <c r="C2418" s="116" t="s">
        <v>2968</v>
      </c>
      <c r="D2418" s="116"/>
      <c r="E2418" s="116"/>
      <c r="F2418" s="116"/>
      <c r="G2418" s="108"/>
      <c r="H2418" s="105" t="n">
        <f aca="false">'[2]$ лето'!j2418-'[2]$ лето'!au2418-'[2]$ лето'!at2418-'[2]$ лето'!as2418-'[2]$ лето'!ar2418-'[2]$ лето'!aq2418-'[2]$ лето'!ap2418-'[2]$ лето'!an2418-'[2]$ лето'!am2418-'[2]$ лето'!al2418-'[2]$ лето'!ak2418-'[2]$ лето'!aj2418-'[2]$ лето'!ah2418-'[2]$ лето'!ag2418-'[2]$ лето'!af2418-'[2]$ лето'!ae2418-'[2]$ лето'!ad2418-'[2]$ лето'!ab2418-'[2]$ лето'!aa2418-'[2]$ лето'!z2418-'[2]$ лето'!y2418-'[2]$ лето'!x2418-'[2]$ лето'!v2418-'[2]$ лето'!u2418-'[2]$ лето'!t2418-'[2]$ лето'!s2418-'[2]$ лето'!r2418-'[2]$ лето'!p2418-'[2]$ лето'!o2418-'[2]$ лето'!n2418-'[2]$ лето'!m2418-'[2]$ лето'!l2418+'[2]$ лето'!k2418+'[2]$ лето'!q2418+'[2]$ лето'!w2418+'[2]$ лето'!ac2418+'[2]$ лето'!ai2418+'[2]$ лето'!ao2418</f>
        <v>0</v>
      </c>
      <c r="I2418" s="109" t="n">
        <f aca="false">'[2]$ лето'!ay2418*1.05</f>
        <v>9542.4</v>
      </c>
    </row>
    <row r="2419" customFormat="false" ht="15" hidden="false" customHeight="false" outlineLevel="0" collapsed="false">
      <c r="A2419" s="115" t="s">
        <v>2988</v>
      </c>
      <c r="B2419" s="115" t="s">
        <v>2862</v>
      </c>
      <c r="C2419" s="116" t="s">
        <v>3012</v>
      </c>
      <c r="D2419" s="116" t="s">
        <v>2706</v>
      </c>
      <c r="E2419" s="116"/>
      <c r="F2419" s="116"/>
      <c r="G2419" s="108"/>
      <c r="H2419" s="105" t="n">
        <f aca="false">'[2]$ лето'!j2419-'[2]$ лето'!au2419-'[2]$ лето'!at2419-'[2]$ лето'!as2419-'[2]$ лето'!ar2419-'[2]$ лето'!aq2419-'[2]$ лето'!ap2419-'[2]$ лето'!an2419-'[2]$ лето'!am2419-'[2]$ лето'!al2419-'[2]$ лето'!ak2419-'[2]$ лето'!aj2419-'[2]$ лето'!ah2419-'[2]$ лето'!ag2419-'[2]$ лето'!af2419-'[2]$ лето'!ae2419-'[2]$ лето'!ad2419-'[2]$ лето'!ab2419-'[2]$ лето'!aa2419-'[2]$ лето'!z2419-'[2]$ лето'!y2419-'[2]$ лето'!x2419-'[2]$ лето'!v2419-'[2]$ лето'!u2419-'[2]$ лето'!t2419-'[2]$ лето'!s2419-'[2]$ лето'!r2419-'[2]$ лето'!p2419-'[2]$ лето'!o2419-'[2]$ лето'!n2419-'[2]$ лето'!m2419-'[2]$ лето'!l2419+'[2]$ лето'!k2419+'[2]$ лето'!q2419+'[2]$ лето'!w2419+'[2]$ лето'!ac2419+'[2]$ лето'!ai2419+'[2]$ лето'!ao2419</f>
        <v>2</v>
      </c>
      <c r="I2419" s="109" t="n">
        <f aca="false">'[2]$ лето'!ay2419*1.05</f>
        <v>5565</v>
      </c>
    </row>
    <row r="2420" customFormat="false" ht="15" hidden="true" customHeight="false" outlineLevel="0" collapsed="false">
      <c r="A2420" s="115" t="s">
        <v>2988</v>
      </c>
      <c r="B2420" s="115" t="s">
        <v>2286</v>
      </c>
      <c r="C2420" s="116" t="s">
        <v>3013</v>
      </c>
      <c r="D2420" s="116"/>
      <c r="E2420" s="116"/>
      <c r="F2420" s="116"/>
      <c r="G2420" s="108" t="s">
        <v>2827</v>
      </c>
      <c r="H2420" s="105" t="n">
        <f aca="false">'[2]$ лето'!j2420-'[2]$ лето'!au2420-'[2]$ лето'!at2420-'[2]$ лето'!as2420-'[2]$ лето'!ar2420-'[2]$ лето'!aq2420-'[2]$ лето'!ap2420-'[2]$ лето'!an2420-'[2]$ лето'!am2420-'[2]$ лето'!al2420-'[2]$ лето'!ak2420-'[2]$ лето'!aj2420-'[2]$ лето'!ah2420-'[2]$ лето'!ag2420-'[2]$ лето'!af2420-'[2]$ лето'!ae2420-'[2]$ лето'!ad2420-'[2]$ лето'!ab2420-'[2]$ лето'!aa2420-'[2]$ лето'!z2420-'[2]$ лето'!y2420-'[2]$ лето'!x2420-'[2]$ лето'!v2420-'[2]$ лето'!u2420-'[2]$ лето'!t2420-'[2]$ лето'!s2420-'[2]$ лето'!r2420-'[2]$ лето'!p2420-'[2]$ лето'!o2420-'[2]$ лето'!n2420-'[2]$ лето'!m2420-'[2]$ лето'!l2420+'[2]$ лето'!k2420+'[2]$ лето'!q2420+'[2]$ лето'!w2420+'[2]$ лето'!ac2420+'[2]$ лето'!ai2420+'[2]$ лето'!ao2420</f>
        <v>0</v>
      </c>
      <c r="I2420" s="109" t="n">
        <f aca="false">'[2]$ лето'!ay2420*1.05</f>
        <v>11778.9</v>
      </c>
    </row>
    <row r="2421" customFormat="false" ht="15" hidden="true" customHeight="false" outlineLevel="0" collapsed="false">
      <c r="A2421" s="115" t="s">
        <v>2988</v>
      </c>
      <c r="B2421" s="115" t="s">
        <v>606</v>
      </c>
      <c r="C2421" s="116" t="s">
        <v>3014</v>
      </c>
      <c r="D2421" s="116"/>
      <c r="E2421" s="116"/>
      <c r="F2421" s="116"/>
      <c r="G2421" s="108" t="s">
        <v>857</v>
      </c>
      <c r="H2421" s="105" t="n">
        <f aca="false">'[2]$ лето'!j2421-'[2]$ лето'!au2421-'[2]$ лето'!at2421-'[2]$ лето'!as2421-'[2]$ лето'!ar2421-'[2]$ лето'!aq2421-'[2]$ лето'!ap2421-'[2]$ лето'!an2421-'[2]$ лето'!am2421-'[2]$ лето'!al2421-'[2]$ лето'!ak2421-'[2]$ лето'!aj2421-'[2]$ лето'!ah2421-'[2]$ лето'!ag2421-'[2]$ лето'!af2421-'[2]$ лето'!ae2421-'[2]$ лето'!ad2421-'[2]$ лето'!ab2421-'[2]$ лето'!aa2421-'[2]$ лето'!z2421-'[2]$ лето'!y2421-'[2]$ лето'!x2421-'[2]$ лето'!v2421-'[2]$ лето'!u2421-'[2]$ лето'!t2421-'[2]$ лето'!s2421-'[2]$ лето'!r2421-'[2]$ лето'!p2421-'[2]$ лето'!o2421-'[2]$ лето'!n2421-'[2]$ лето'!m2421-'[2]$ лето'!l2421+'[2]$ лето'!k2421+'[2]$ лето'!q2421+'[2]$ лето'!w2421+'[2]$ лето'!ac2421+'[2]$ лето'!ai2421+'[2]$ лето'!ao2421</f>
        <v>0</v>
      </c>
      <c r="I2421" s="109" t="n">
        <f aca="false">'[2]$ лето'!ay2421*1.05</f>
        <v>11235</v>
      </c>
      <c r="J2421" s="85" t="n">
        <v>2017</v>
      </c>
    </row>
    <row r="2422" customFormat="false" ht="15" hidden="false" customHeight="false" outlineLevel="0" collapsed="false">
      <c r="A2422" s="115" t="s">
        <v>2988</v>
      </c>
      <c r="B2422" s="115" t="s">
        <v>606</v>
      </c>
      <c r="C2422" s="116" t="s">
        <v>2927</v>
      </c>
      <c r="D2422" s="116"/>
      <c r="E2422" s="116"/>
      <c r="F2422" s="116"/>
      <c r="G2422" s="108"/>
      <c r="H2422" s="105" t="n">
        <f aca="false">'[2]$ лето'!j2422-'[2]$ лето'!au2422-'[2]$ лето'!at2422-'[2]$ лето'!as2422-'[2]$ лето'!ar2422-'[2]$ лето'!aq2422-'[2]$ лето'!ap2422-'[2]$ лето'!an2422-'[2]$ лето'!am2422-'[2]$ лето'!al2422-'[2]$ лето'!ak2422-'[2]$ лето'!aj2422-'[2]$ лето'!ah2422-'[2]$ лето'!ag2422-'[2]$ лето'!af2422-'[2]$ лето'!ae2422-'[2]$ лето'!ad2422-'[2]$ лето'!ab2422-'[2]$ лето'!aa2422-'[2]$ лето'!z2422-'[2]$ лето'!y2422-'[2]$ лето'!x2422-'[2]$ лето'!v2422-'[2]$ лето'!u2422-'[2]$ лето'!t2422-'[2]$ лето'!s2422-'[2]$ лето'!r2422-'[2]$ лето'!p2422-'[2]$ лето'!o2422-'[2]$ лето'!n2422-'[2]$ лето'!m2422-'[2]$ лето'!l2422+'[2]$ лето'!k2422+'[2]$ лето'!q2422+'[2]$ лето'!w2422+'[2]$ лето'!ac2422+'[2]$ лето'!ai2422+'[2]$ лето'!ao2422</f>
        <v>4</v>
      </c>
      <c r="I2422" s="109" t="n">
        <f aca="false">'[2]$ лето'!ay2422*1.05</f>
        <v>10080</v>
      </c>
      <c r="J2422" s="85" t="n">
        <v>2017</v>
      </c>
    </row>
    <row r="2423" customFormat="false" ht="15" hidden="true" customHeight="false" outlineLevel="0" collapsed="false">
      <c r="A2423" s="115" t="s">
        <v>2988</v>
      </c>
      <c r="B2423" s="115" t="s">
        <v>3015</v>
      </c>
      <c r="C2423" s="116" t="s">
        <v>2770</v>
      </c>
      <c r="D2423" s="116"/>
      <c r="E2423" s="116"/>
      <c r="F2423" s="116"/>
      <c r="G2423" s="108"/>
      <c r="H2423" s="105" t="n">
        <f aca="false">'[2]$ лето'!j2423-'[2]$ лето'!au2423-'[2]$ лето'!at2423-'[2]$ лето'!as2423-'[2]$ лето'!ar2423-'[2]$ лето'!aq2423-'[2]$ лето'!ap2423-'[2]$ лето'!an2423-'[2]$ лето'!am2423-'[2]$ лето'!al2423-'[2]$ лето'!ak2423-'[2]$ лето'!aj2423-'[2]$ лето'!ah2423-'[2]$ лето'!ag2423-'[2]$ лето'!af2423-'[2]$ лето'!ae2423-'[2]$ лето'!ad2423-'[2]$ лето'!ab2423-'[2]$ лето'!aa2423-'[2]$ лето'!z2423-'[2]$ лето'!y2423-'[2]$ лето'!x2423-'[2]$ лето'!v2423-'[2]$ лето'!u2423-'[2]$ лето'!t2423-'[2]$ лето'!s2423-'[2]$ лето'!r2423-'[2]$ лето'!p2423-'[2]$ лето'!o2423-'[2]$ лето'!n2423-'[2]$ лето'!m2423-'[2]$ лето'!l2423+'[2]$ лето'!k2423+'[2]$ лето'!q2423+'[2]$ лето'!w2423+'[2]$ лето'!ac2423+'[2]$ лето'!ai2423+'[2]$ лето'!ao2423</f>
        <v>0</v>
      </c>
      <c r="I2423" s="109" t="n">
        <f aca="false">'[2]$ лето'!ay2423*1.05</f>
        <v>5565</v>
      </c>
    </row>
    <row r="2424" customFormat="false" ht="15" hidden="true" customHeight="false" outlineLevel="0" collapsed="false">
      <c r="A2424" s="115" t="s">
        <v>2988</v>
      </c>
      <c r="B2424" s="115" t="s">
        <v>572</v>
      </c>
      <c r="C2424" s="107" t="s">
        <v>3016</v>
      </c>
      <c r="D2424" s="107"/>
      <c r="E2424" s="107"/>
      <c r="F2424" s="107"/>
      <c r="G2424" s="108"/>
      <c r="H2424" s="105" t="n">
        <f aca="false">'[2]$ лето'!j2424-'[2]$ лето'!au2424-'[2]$ лето'!at2424-'[2]$ лето'!as2424-'[2]$ лето'!ar2424-'[2]$ лето'!aq2424-'[2]$ лето'!ap2424-'[2]$ лето'!an2424-'[2]$ лето'!am2424-'[2]$ лето'!al2424-'[2]$ лето'!ak2424-'[2]$ лето'!aj2424-'[2]$ лето'!ah2424-'[2]$ лето'!ag2424-'[2]$ лето'!af2424-'[2]$ лето'!ae2424-'[2]$ лето'!ad2424-'[2]$ лето'!ab2424-'[2]$ лето'!aa2424-'[2]$ лето'!z2424-'[2]$ лето'!y2424-'[2]$ лето'!x2424-'[2]$ лето'!v2424-'[2]$ лето'!u2424-'[2]$ лето'!t2424-'[2]$ лето'!s2424-'[2]$ лето'!r2424-'[2]$ лето'!p2424-'[2]$ лето'!o2424-'[2]$ лето'!n2424-'[2]$ лето'!m2424-'[2]$ лето'!l2424+'[2]$ лето'!k2424+'[2]$ лето'!q2424+'[2]$ лето'!w2424+'[2]$ лето'!ac2424+'[2]$ лето'!ai2424+'[2]$ лето'!ao2424</f>
        <v>0</v>
      </c>
      <c r="I2424" s="109" t="n">
        <f aca="false">'[2]$ лето'!ay2424*1.05</f>
        <v>9542.4</v>
      </c>
    </row>
    <row r="2425" customFormat="false" ht="15" hidden="true" customHeight="false" outlineLevel="0" collapsed="false">
      <c r="A2425" s="115" t="s">
        <v>2988</v>
      </c>
      <c r="B2425" s="115" t="s">
        <v>572</v>
      </c>
      <c r="C2425" s="116" t="s">
        <v>3017</v>
      </c>
      <c r="D2425" s="116"/>
      <c r="E2425" s="116"/>
      <c r="F2425" s="116"/>
      <c r="G2425" s="108"/>
      <c r="H2425" s="105" t="n">
        <f aca="false">'[2]$ лето'!j2425-'[2]$ лето'!au2425-'[2]$ лето'!at2425-'[2]$ лето'!as2425-'[2]$ лето'!ar2425-'[2]$ лето'!aq2425-'[2]$ лето'!ap2425-'[2]$ лето'!an2425-'[2]$ лето'!am2425-'[2]$ лето'!al2425-'[2]$ лето'!ak2425-'[2]$ лето'!aj2425-'[2]$ лето'!ah2425-'[2]$ лето'!ag2425-'[2]$ лето'!af2425-'[2]$ лето'!ae2425-'[2]$ лето'!ad2425-'[2]$ лето'!ab2425-'[2]$ лето'!aa2425-'[2]$ лето'!z2425-'[2]$ лето'!y2425-'[2]$ лето'!x2425-'[2]$ лето'!v2425-'[2]$ лето'!u2425-'[2]$ лето'!t2425-'[2]$ лето'!s2425-'[2]$ лето'!r2425-'[2]$ лето'!p2425-'[2]$ лето'!o2425-'[2]$ лето'!n2425-'[2]$ лето'!m2425-'[2]$ лето'!l2425+'[2]$ лето'!k2425+'[2]$ лето'!q2425+'[2]$ лето'!w2425+'[2]$ лето'!ac2425+'[2]$ лето'!ai2425+'[2]$ лето'!ao2425</f>
        <v>0</v>
      </c>
      <c r="I2425" s="109" t="n">
        <f aca="false">'[2]$ лето'!ay2425*1.05</f>
        <v>9542.4</v>
      </c>
    </row>
    <row r="2426" customFormat="false" ht="15" hidden="true" customHeight="false" outlineLevel="0" collapsed="false">
      <c r="A2426" s="115" t="s">
        <v>2988</v>
      </c>
      <c r="B2426" s="115" t="s">
        <v>572</v>
      </c>
      <c r="C2426" s="116" t="s">
        <v>3018</v>
      </c>
      <c r="D2426" s="116"/>
      <c r="E2426" s="116"/>
      <c r="F2426" s="116"/>
      <c r="G2426" s="108"/>
      <c r="H2426" s="105" t="n">
        <f aca="false">'[2]$ лето'!j2426-'[2]$ лето'!au2426-'[2]$ лето'!at2426-'[2]$ лето'!as2426-'[2]$ лето'!ar2426-'[2]$ лето'!aq2426-'[2]$ лето'!ap2426-'[2]$ лето'!an2426-'[2]$ лето'!am2426-'[2]$ лето'!al2426-'[2]$ лето'!ak2426-'[2]$ лето'!aj2426-'[2]$ лето'!ah2426-'[2]$ лето'!ag2426-'[2]$ лето'!af2426-'[2]$ лето'!ae2426-'[2]$ лето'!ad2426-'[2]$ лето'!ab2426-'[2]$ лето'!aa2426-'[2]$ лето'!z2426-'[2]$ лето'!y2426-'[2]$ лето'!x2426-'[2]$ лето'!v2426-'[2]$ лето'!u2426-'[2]$ лето'!t2426-'[2]$ лето'!s2426-'[2]$ лето'!r2426-'[2]$ лето'!p2426-'[2]$ лето'!o2426-'[2]$ лето'!n2426-'[2]$ лето'!m2426-'[2]$ лето'!l2426+'[2]$ лето'!k2426+'[2]$ лето'!q2426+'[2]$ лето'!w2426+'[2]$ лето'!ac2426+'[2]$ лето'!ai2426+'[2]$ лето'!ao2426</f>
        <v>0</v>
      </c>
      <c r="I2426" s="109" t="n">
        <f aca="false">'[2]$ лето'!ay2426*1.05</f>
        <v>9542.4</v>
      </c>
    </row>
    <row r="2427" customFormat="false" ht="15" hidden="true" customHeight="false" outlineLevel="0" collapsed="false">
      <c r="A2427" s="115" t="s">
        <v>2988</v>
      </c>
      <c r="B2427" s="115" t="s">
        <v>572</v>
      </c>
      <c r="C2427" s="116" t="s">
        <v>3019</v>
      </c>
      <c r="D2427" s="116"/>
      <c r="E2427" s="116"/>
      <c r="F2427" s="116"/>
      <c r="G2427" s="108"/>
      <c r="H2427" s="105" t="n">
        <f aca="false">'[2]$ лето'!j2427-'[2]$ лето'!au2427-'[2]$ лето'!at2427-'[2]$ лето'!as2427-'[2]$ лето'!ar2427-'[2]$ лето'!aq2427-'[2]$ лето'!ap2427-'[2]$ лето'!an2427-'[2]$ лето'!am2427-'[2]$ лето'!al2427-'[2]$ лето'!ak2427-'[2]$ лето'!aj2427-'[2]$ лето'!ah2427-'[2]$ лето'!ag2427-'[2]$ лето'!af2427-'[2]$ лето'!ae2427-'[2]$ лето'!ad2427-'[2]$ лето'!ab2427-'[2]$ лето'!aa2427-'[2]$ лето'!z2427-'[2]$ лето'!y2427-'[2]$ лето'!x2427-'[2]$ лето'!v2427-'[2]$ лето'!u2427-'[2]$ лето'!t2427-'[2]$ лето'!s2427-'[2]$ лето'!r2427-'[2]$ лето'!p2427-'[2]$ лето'!o2427-'[2]$ лето'!n2427-'[2]$ лето'!m2427-'[2]$ лето'!l2427+'[2]$ лето'!k2427+'[2]$ лето'!q2427+'[2]$ лето'!w2427+'[2]$ лето'!ac2427+'[2]$ лето'!ai2427+'[2]$ лето'!ao2427</f>
        <v>0</v>
      </c>
      <c r="I2427" s="109" t="n">
        <f aca="false">'[2]$ лето'!ay2427*1.05</f>
        <v>9244.2</v>
      </c>
    </row>
    <row r="2428" customFormat="false" ht="15" hidden="true" customHeight="false" outlineLevel="0" collapsed="false">
      <c r="A2428" s="115" t="s">
        <v>2988</v>
      </c>
      <c r="B2428" s="115" t="s">
        <v>572</v>
      </c>
      <c r="C2428" s="116" t="s">
        <v>3020</v>
      </c>
      <c r="D2428" s="116"/>
      <c r="E2428" s="116"/>
      <c r="F2428" s="116"/>
      <c r="G2428" s="108"/>
      <c r="H2428" s="105" t="n">
        <f aca="false">'[2]$ лето'!j2428-'[2]$ лето'!au2428-'[2]$ лето'!at2428-'[2]$ лето'!as2428-'[2]$ лето'!ar2428-'[2]$ лето'!aq2428-'[2]$ лето'!ap2428-'[2]$ лето'!an2428-'[2]$ лето'!am2428-'[2]$ лето'!al2428-'[2]$ лето'!ak2428-'[2]$ лето'!aj2428-'[2]$ лето'!ah2428-'[2]$ лето'!ag2428-'[2]$ лето'!af2428-'[2]$ лето'!ae2428-'[2]$ лето'!ad2428-'[2]$ лето'!ab2428-'[2]$ лето'!aa2428-'[2]$ лето'!z2428-'[2]$ лето'!y2428-'[2]$ лето'!x2428-'[2]$ лето'!v2428-'[2]$ лето'!u2428-'[2]$ лето'!t2428-'[2]$ лето'!s2428-'[2]$ лето'!r2428-'[2]$ лето'!p2428-'[2]$ лето'!o2428-'[2]$ лето'!n2428-'[2]$ лето'!m2428-'[2]$ лето'!l2428+'[2]$ лето'!k2428+'[2]$ лето'!q2428+'[2]$ лето'!w2428+'[2]$ лето'!ac2428+'[2]$ лето'!ai2428+'[2]$ лето'!ao2428</f>
        <v>0</v>
      </c>
      <c r="I2428" s="109" t="n">
        <f aca="false">'[2]$ лето'!ay2428*1.05</f>
        <v>9542.4</v>
      </c>
    </row>
    <row r="2429" customFormat="false" ht="15" hidden="true" customHeight="false" outlineLevel="0" collapsed="false">
      <c r="A2429" s="115" t="s">
        <v>2988</v>
      </c>
      <c r="B2429" s="115" t="s">
        <v>572</v>
      </c>
      <c r="C2429" s="116" t="s">
        <v>3021</v>
      </c>
      <c r="D2429" s="116"/>
      <c r="E2429" s="116"/>
      <c r="F2429" s="116"/>
      <c r="G2429" s="108"/>
      <c r="H2429" s="105" t="n">
        <f aca="false">'[2]$ лето'!j2429-'[2]$ лето'!au2429-'[2]$ лето'!at2429-'[2]$ лето'!as2429-'[2]$ лето'!ar2429-'[2]$ лето'!aq2429-'[2]$ лето'!ap2429-'[2]$ лето'!an2429-'[2]$ лето'!am2429-'[2]$ лето'!al2429-'[2]$ лето'!ak2429-'[2]$ лето'!aj2429-'[2]$ лето'!ah2429-'[2]$ лето'!ag2429-'[2]$ лето'!af2429-'[2]$ лето'!ae2429-'[2]$ лето'!ad2429-'[2]$ лето'!ab2429-'[2]$ лето'!aa2429-'[2]$ лето'!z2429-'[2]$ лето'!y2429-'[2]$ лето'!x2429-'[2]$ лето'!v2429-'[2]$ лето'!u2429-'[2]$ лето'!t2429-'[2]$ лето'!s2429-'[2]$ лето'!r2429-'[2]$ лето'!p2429-'[2]$ лето'!o2429-'[2]$ лето'!n2429-'[2]$ лето'!m2429-'[2]$ лето'!l2429+'[2]$ лето'!k2429+'[2]$ лето'!q2429+'[2]$ лето'!w2429+'[2]$ лето'!ac2429+'[2]$ лето'!ai2429+'[2]$ лето'!ao2429</f>
        <v>0</v>
      </c>
      <c r="I2429" s="109" t="n">
        <f aca="false">'[2]$ лето'!ay2429*1.05</f>
        <v>6262.2</v>
      </c>
      <c r="J2429" s="85" t="n">
        <v>2014</v>
      </c>
    </row>
    <row r="2430" customFormat="false" ht="15" hidden="true" customHeight="false" outlineLevel="0" collapsed="false">
      <c r="A2430" s="115" t="s">
        <v>2988</v>
      </c>
      <c r="B2430" s="115" t="s">
        <v>2724</v>
      </c>
      <c r="C2430" s="116" t="s">
        <v>3022</v>
      </c>
      <c r="D2430" s="116"/>
      <c r="E2430" s="116"/>
      <c r="F2430" s="116"/>
      <c r="G2430" s="108"/>
      <c r="H2430" s="105" t="n">
        <f aca="false">'[2]$ лето'!j2430-'[2]$ лето'!au2430-'[2]$ лето'!at2430-'[2]$ лето'!as2430-'[2]$ лето'!ar2430-'[2]$ лето'!aq2430-'[2]$ лето'!ap2430-'[2]$ лето'!an2430-'[2]$ лето'!am2430-'[2]$ лето'!al2430-'[2]$ лето'!ak2430-'[2]$ лето'!aj2430-'[2]$ лето'!ah2430-'[2]$ лето'!ag2430-'[2]$ лето'!af2430-'[2]$ лето'!ae2430-'[2]$ лето'!ad2430-'[2]$ лето'!ab2430-'[2]$ лето'!aa2430-'[2]$ лето'!z2430-'[2]$ лето'!y2430-'[2]$ лето'!x2430-'[2]$ лето'!v2430-'[2]$ лето'!u2430-'[2]$ лето'!t2430-'[2]$ лето'!s2430-'[2]$ лето'!r2430-'[2]$ лето'!p2430-'[2]$ лето'!o2430-'[2]$ лето'!n2430-'[2]$ лето'!m2430-'[2]$ лето'!l2430+'[2]$ лето'!k2430+'[2]$ лето'!q2430+'[2]$ лето'!w2430+'[2]$ лето'!ac2430+'[2]$ лето'!ai2430+'[2]$ лето'!ao2430</f>
        <v>0</v>
      </c>
      <c r="I2430" s="109" t="n">
        <f aca="false">'[2]$ лето'!ay2430*1.05</f>
        <v>5355</v>
      </c>
    </row>
    <row r="2431" customFormat="false" ht="15" hidden="true" customHeight="false" outlineLevel="0" collapsed="false">
      <c r="A2431" s="115" t="s">
        <v>2988</v>
      </c>
      <c r="B2431" s="115" t="s">
        <v>2846</v>
      </c>
      <c r="C2431" s="116" t="s">
        <v>3023</v>
      </c>
      <c r="D2431" s="116"/>
      <c r="E2431" s="116"/>
      <c r="F2431" s="116"/>
      <c r="G2431" s="108"/>
      <c r="H2431" s="105" t="n">
        <f aca="false">'[2]$ лето'!j2431-'[2]$ лето'!au2431-'[2]$ лето'!at2431-'[2]$ лето'!as2431-'[2]$ лето'!ar2431-'[2]$ лето'!aq2431-'[2]$ лето'!ap2431-'[2]$ лето'!an2431-'[2]$ лето'!am2431-'[2]$ лето'!al2431-'[2]$ лето'!ak2431-'[2]$ лето'!aj2431-'[2]$ лето'!ah2431-'[2]$ лето'!ag2431-'[2]$ лето'!af2431-'[2]$ лето'!ae2431-'[2]$ лето'!ad2431-'[2]$ лето'!ab2431-'[2]$ лето'!aa2431-'[2]$ лето'!z2431-'[2]$ лето'!y2431-'[2]$ лето'!x2431-'[2]$ лето'!v2431-'[2]$ лето'!u2431-'[2]$ лето'!t2431-'[2]$ лето'!s2431-'[2]$ лето'!r2431-'[2]$ лето'!p2431-'[2]$ лето'!o2431-'[2]$ лето'!n2431-'[2]$ лето'!m2431-'[2]$ лето'!l2431+'[2]$ лето'!k2431+'[2]$ лето'!q2431+'[2]$ лето'!w2431+'[2]$ лето'!ac2431+'[2]$ лето'!ai2431+'[2]$ лето'!ao2431</f>
        <v>0</v>
      </c>
      <c r="I2431" s="109" t="n">
        <f aca="false">'[2]$ лето'!ay2431*1.05</f>
        <v>4515</v>
      </c>
    </row>
    <row r="2432" customFormat="false" ht="15" hidden="false" customHeight="false" outlineLevel="0" collapsed="false">
      <c r="A2432" s="115" t="s">
        <v>2988</v>
      </c>
      <c r="B2432" s="115" t="s">
        <v>583</v>
      </c>
      <c r="C2432" s="107" t="s">
        <v>3024</v>
      </c>
      <c r="D2432" s="107"/>
      <c r="E2432" s="116"/>
      <c r="F2432" s="116"/>
      <c r="G2432" s="108"/>
      <c r="H2432" s="105" t="n">
        <f aca="false">'[2]$ лето'!j2432-'[2]$ лето'!au2432-'[2]$ лето'!at2432-'[2]$ лето'!as2432-'[2]$ лето'!ar2432-'[2]$ лето'!aq2432-'[2]$ лето'!ap2432-'[2]$ лето'!an2432-'[2]$ лето'!am2432-'[2]$ лето'!al2432-'[2]$ лето'!ak2432-'[2]$ лето'!aj2432-'[2]$ лето'!ah2432-'[2]$ лето'!ag2432-'[2]$ лето'!af2432-'[2]$ лето'!ae2432-'[2]$ лето'!ad2432-'[2]$ лето'!ab2432-'[2]$ лето'!aa2432-'[2]$ лето'!z2432-'[2]$ лето'!y2432-'[2]$ лето'!x2432-'[2]$ лето'!v2432-'[2]$ лето'!u2432-'[2]$ лето'!t2432-'[2]$ лето'!s2432-'[2]$ лето'!r2432-'[2]$ лето'!p2432-'[2]$ лето'!o2432-'[2]$ лето'!n2432-'[2]$ лето'!m2432-'[2]$ лето'!l2432+'[2]$ лето'!k2432+'[2]$ лето'!q2432+'[2]$ лето'!w2432+'[2]$ лето'!ac2432+'[2]$ лето'!ai2432+'[2]$ лето'!ao2432</f>
        <v>2</v>
      </c>
      <c r="I2432" s="109" t="n">
        <f aca="false">'[2]$ лето'!ay2432*1.05</f>
        <v>5964</v>
      </c>
      <c r="J2432" s="85" t="s">
        <v>3025</v>
      </c>
    </row>
    <row r="2433" customFormat="false" ht="15" hidden="true" customHeight="false" outlineLevel="0" collapsed="false">
      <c r="A2433" s="115" t="s">
        <v>2988</v>
      </c>
      <c r="B2433" s="115" t="s">
        <v>583</v>
      </c>
      <c r="C2433" s="116" t="s">
        <v>3026</v>
      </c>
      <c r="D2433" s="116"/>
      <c r="E2433" s="116"/>
      <c r="F2433" s="116"/>
      <c r="G2433" s="108" t="s">
        <v>585</v>
      </c>
      <c r="H2433" s="105" t="n">
        <f aca="false">'[2]$ лето'!j2433-'[2]$ лето'!au2433-'[2]$ лето'!at2433-'[2]$ лето'!as2433-'[2]$ лето'!ar2433-'[2]$ лето'!aq2433-'[2]$ лето'!ap2433-'[2]$ лето'!an2433-'[2]$ лето'!am2433-'[2]$ лето'!al2433-'[2]$ лето'!ak2433-'[2]$ лето'!aj2433-'[2]$ лето'!ah2433-'[2]$ лето'!ag2433-'[2]$ лето'!af2433-'[2]$ лето'!ae2433-'[2]$ лето'!ad2433-'[2]$ лето'!ab2433-'[2]$ лето'!aa2433-'[2]$ лето'!z2433-'[2]$ лето'!y2433-'[2]$ лето'!x2433-'[2]$ лето'!v2433-'[2]$ лето'!u2433-'[2]$ лето'!t2433-'[2]$ лето'!s2433-'[2]$ лето'!r2433-'[2]$ лето'!p2433-'[2]$ лето'!o2433-'[2]$ лето'!n2433-'[2]$ лето'!m2433-'[2]$ лето'!l2433+'[2]$ лето'!k2433+'[2]$ лето'!q2433+'[2]$ лето'!w2433+'[2]$ лето'!ac2433+'[2]$ лето'!ai2433+'[2]$ лето'!ao2433</f>
        <v>0</v>
      </c>
      <c r="I2433" s="109" t="n">
        <f aca="false">'[2]$ лето'!ay2433*1.05</f>
        <v>9423.12</v>
      </c>
      <c r="J2433" s="85" t="n">
        <v>2018</v>
      </c>
    </row>
    <row r="2434" customFormat="false" ht="15" hidden="false" customHeight="false" outlineLevel="0" collapsed="false">
      <c r="A2434" s="115" t="s">
        <v>2988</v>
      </c>
      <c r="B2434" s="115" t="s">
        <v>583</v>
      </c>
      <c r="C2434" s="116" t="s">
        <v>3027</v>
      </c>
      <c r="D2434" s="116"/>
      <c r="E2434" s="116"/>
      <c r="F2434" s="116"/>
      <c r="G2434" s="108"/>
      <c r="H2434" s="105" t="n">
        <f aca="false">'[2]$ лето'!j2434-'[2]$ лето'!au2434-'[2]$ лето'!at2434-'[2]$ лето'!as2434-'[2]$ лето'!ar2434-'[2]$ лето'!aq2434-'[2]$ лето'!ap2434-'[2]$ лето'!an2434-'[2]$ лето'!am2434-'[2]$ лето'!al2434-'[2]$ лето'!ak2434-'[2]$ лето'!aj2434-'[2]$ лето'!ah2434-'[2]$ лето'!ag2434-'[2]$ лето'!af2434-'[2]$ лето'!ae2434-'[2]$ лето'!ad2434-'[2]$ лето'!ab2434-'[2]$ лето'!aa2434-'[2]$ лето'!z2434-'[2]$ лето'!y2434-'[2]$ лето'!x2434-'[2]$ лето'!v2434-'[2]$ лето'!u2434-'[2]$ лето'!t2434-'[2]$ лето'!s2434-'[2]$ лето'!r2434-'[2]$ лето'!p2434-'[2]$ лето'!o2434-'[2]$ лето'!n2434-'[2]$ лето'!m2434-'[2]$ лето'!l2434+'[2]$ лето'!k2434+'[2]$ лето'!q2434+'[2]$ лето'!w2434+'[2]$ лето'!ac2434+'[2]$ лето'!ai2434+'[2]$ лето'!ao2434</f>
        <v>4</v>
      </c>
      <c r="I2434" s="109" t="n">
        <f aca="false">'[2]$ лето'!ay2434*1.05</f>
        <v>9393.3</v>
      </c>
    </row>
    <row r="2435" customFormat="false" ht="15" hidden="false" customHeight="false" outlineLevel="0" collapsed="false">
      <c r="A2435" s="115" t="s">
        <v>2988</v>
      </c>
      <c r="B2435" s="115" t="s">
        <v>586</v>
      </c>
      <c r="C2435" s="116" t="s">
        <v>3028</v>
      </c>
      <c r="D2435" s="116"/>
      <c r="E2435" s="116"/>
      <c r="F2435" s="116"/>
      <c r="G2435" s="108" t="s">
        <v>520</v>
      </c>
      <c r="H2435" s="105" t="n">
        <f aca="false">'[2]$ лето'!j2435-'[2]$ лето'!au2435-'[2]$ лето'!at2435-'[2]$ лето'!as2435-'[2]$ лето'!ar2435-'[2]$ лето'!aq2435-'[2]$ лето'!ap2435-'[2]$ лето'!an2435-'[2]$ лето'!am2435-'[2]$ лето'!al2435-'[2]$ лето'!ak2435-'[2]$ лето'!aj2435-'[2]$ лето'!ah2435-'[2]$ лето'!ag2435-'[2]$ лето'!af2435-'[2]$ лето'!ae2435-'[2]$ лето'!ad2435-'[2]$ лето'!ab2435-'[2]$ лето'!aa2435-'[2]$ лето'!z2435-'[2]$ лето'!y2435-'[2]$ лето'!x2435-'[2]$ лето'!v2435-'[2]$ лето'!u2435-'[2]$ лето'!t2435-'[2]$ лето'!s2435-'[2]$ лето'!r2435-'[2]$ лето'!p2435-'[2]$ лето'!o2435-'[2]$ лето'!n2435-'[2]$ лето'!m2435-'[2]$ лето'!l2435+'[2]$ лето'!k2435+'[2]$ лето'!q2435+'[2]$ лето'!w2435+'[2]$ лето'!ac2435+'[2]$ лето'!ai2435+'[2]$ лето'!ao2435</f>
        <v>4</v>
      </c>
      <c r="I2435" s="109" t="n">
        <f aca="false">'[2]$ лето'!ay2435*1.05</f>
        <v>5665.8</v>
      </c>
      <c r="J2435" s="169" t="n">
        <v>2017</v>
      </c>
    </row>
    <row r="2436" customFormat="false" ht="15" hidden="false" customHeight="false" outlineLevel="0" collapsed="false">
      <c r="A2436" s="115" t="s">
        <v>2988</v>
      </c>
      <c r="B2436" s="115" t="s">
        <v>586</v>
      </c>
      <c r="C2436" s="116" t="s">
        <v>3029</v>
      </c>
      <c r="D2436" s="116"/>
      <c r="E2436" s="116"/>
      <c r="F2436" s="116"/>
      <c r="G2436" s="108" t="s">
        <v>520</v>
      </c>
      <c r="H2436" s="105" t="n">
        <f aca="false">'[2]$ лето'!j2436-'[2]$ лето'!au2436-'[2]$ лето'!at2436-'[2]$ лето'!as2436-'[2]$ лето'!ar2436-'[2]$ лето'!aq2436-'[2]$ лето'!ap2436-'[2]$ лето'!an2436-'[2]$ лето'!am2436-'[2]$ лето'!al2436-'[2]$ лето'!ak2436-'[2]$ лето'!aj2436-'[2]$ лето'!ah2436-'[2]$ лето'!ag2436-'[2]$ лето'!af2436-'[2]$ лето'!ae2436-'[2]$ лето'!ad2436-'[2]$ лето'!ab2436-'[2]$ лето'!aa2436-'[2]$ лето'!z2436-'[2]$ лето'!y2436-'[2]$ лето'!x2436-'[2]$ лето'!v2436-'[2]$ лето'!u2436-'[2]$ лето'!t2436-'[2]$ лето'!s2436-'[2]$ лето'!r2436-'[2]$ лето'!p2436-'[2]$ лето'!o2436-'[2]$ лето'!n2436-'[2]$ лето'!m2436-'[2]$ лето'!l2436+'[2]$ лето'!k2436+'[2]$ лето'!q2436+'[2]$ лето'!w2436+'[2]$ лето'!ac2436+'[2]$ лето'!ai2436+'[2]$ лето'!ao2436</f>
        <v>4</v>
      </c>
      <c r="I2436" s="109" t="n">
        <f aca="false">'[2]$ лето'!ay2436*1.05</f>
        <v>5844.72</v>
      </c>
      <c r="J2436" s="85" t="n">
        <v>2017</v>
      </c>
    </row>
    <row r="2437" customFormat="false" ht="15" hidden="false" customHeight="false" outlineLevel="0" collapsed="false">
      <c r="A2437" s="115" t="s">
        <v>2988</v>
      </c>
      <c r="B2437" s="115" t="s">
        <v>3030</v>
      </c>
      <c r="C2437" s="116" t="s">
        <v>3031</v>
      </c>
      <c r="D2437" s="116"/>
      <c r="E2437" s="116"/>
      <c r="F2437" s="116"/>
      <c r="G2437" s="108"/>
      <c r="H2437" s="105" t="n">
        <f aca="false">'[2]$ лето'!j2437-'[2]$ лето'!au2437-'[2]$ лето'!at2437-'[2]$ лето'!as2437-'[2]$ лето'!ar2437-'[2]$ лето'!aq2437-'[2]$ лето'!ap2437-'[2]$ лето'!an2437-'[2]$ лето'!am2437-'[2]$ лето'!al2437-'[2]$ лето'!ak2437-'[2]$ лето'!aj2437-'[2]$ лето'!ah2437-'[2]$ лето'!ag2437-'[2]$ лето'!af2437-'[2]$ лето'!ae2437-'[2]$ лето'!ad2437-'[2]$ лето'!ab2437-'[2]$ лето'!aa2437-'[2]$ лето'!z2437-'[2]$ лето'!y2437-'[2]$ лето'!x2437-'[2]$ лето'!v2437-'[2]$ лето'!u2437-'[2]$ лето'!t2437-'[2]$ лето'!s2437-'[2]$ лето'!r2437-'[2]$ лето'!p2437-'[2]$ лето'!o2437-'[2]$ лето'!n2437-'[2]$ лето'!m2437-'[2]$ лето'!l2437+'[2]$ лето'!k2437+'[2]$ лето'!q2437+'[2]$ лето'!w2437+'[2]$ лето'!ac2437+'[2]$ лето'!ai2437+'[2]$ лето'!ao2437</f>
        <v>4</v>
      </c>
      <c r="I2437" s="109" t="n">
        <f aca="false">'[2]$ лето'!ay2437*1.05</f>
        <v>5355</v>
      </c>
    </row>
    <row r="2438" customFormat="false" ht="15" hidden="true" customHeight="false" outlineLevel="0" collapsed="false">
      <c r="A2438" s="115" t="s">
        <v>2988</v>
      </c>
      <c r="B2438" s="115" t="s">
        <v>3030</v>
      </c>
      <c r="C2438" s="116" t="s">
        <v>3032</v>
      </c>
      <c r="D2438" s="116"/>
      <c r="E2438" s="116"/>
      <c r="F2438" s="116"/>
      <c r="G2438" s="108"/>
      <c r="H2438" s="105" t="n">
        <f aca="false">'[2]$ лето'!j2438-'[2]$ лето'!au2438-'[2]$ лето'!at2438-'[2]$ лето'!as2438-'[2]$ лето'!ar2438-'[2]$ лето'!aq2438-'[2]$ лето'!ap2438-'[2]$ лето'!an2438-'[2]$ лето'!am2438-'[2]$ лето'!al2438-'[2]$ лето'!ak2438-'[2]$ лето'!aj2438-'[2]$ лето'!ah2438-'[2]$ лето'!ag2438-'[2]$ лето'!af2438-'[2]$ лето'!ae2438-'[2]$ лето'!ad2438-'[2]$ лето'!ab2438-'[2]$ лето'!aa2438-'[2]$ лето'!z2438-'[2]$ лето'!y2438-'[2]$ лето'!x2438-'[2]$ лето'!v2438-'[2]$ лето'!u2438-'[2]$ лето'!t2438-'[2]$ лето'!s2438-'[2]$ лето'!r2438-'[2]$ лето'!p2438-'[2]$ лето'!o2438-'[2]$ лето'!n2438-'[2]$ лето'!m2438-'[2]$ лето'!l2438+'[2]$ лето'!k2438+'[2]$ лето'!q2438+'[2]$ лето'!w2438+'[2]$ лето'!ac2438+'[2]$ лето'!ai2438+'[2]$ лето'!ao2438</f>
        <v>0</v>
      </c>
      <c r="I2438" s="109" t="n">
        <f aca="false">'[2]$ лето'!ay2438*1.05</f>
        <v>5250</v>
      </c>
    </row>
    <row r="2439" customFormat="false" ht="15" hidden="true" customHeight="false" outlineLevel="0" collapsed="false">
      <c r="A2439" s="115" t="s">
        <v>2988</v>
      </c>
      <c r="B2439" s="115" t="s">
        <v>3033</v>
      </c>
      <c r="C2439" s="116" t="s">
        <v>3034</v>
      </c>
      <c r="D2439" s="116"/>
      <c r="E2439" s="116"/>
      <c r="F2439" s="116"/>
      <c r="G2439" s="108"/>
      <c r="H2439" s="105" t="n">
        <f aca="false">'[2]$ лето'!j2439-'[2]$ лето'!au2439-'[2]$ лето'!at2439-'[2]$ лето'!as2439-'[2]$ лето'!ar2439-'[2]$ лето'!aq2439-'[2]$ лето'!ap2439-'[2]$ лето'!an2439-'[2]$ лето'!am2439-'[2]$ лето'!al2439-'[2]$ лето'!ak2439-'[2]$ лето'!aj2439-'[2]$ лето'!ah2439-'[2]$ лето'!ag2439-'[2]$ лето'!af2439-'[2]$ лето'!ae2439-'[2]$ лето'!ad2439-'[2]$ лето'!ab2439-'[2]$ лето'!aa2439-'[2]$ лето'!z2439-'[2]$ лето'!y2439-'[2]$ лето'!x2439-'[2]$ лето'!v2439-'[2]$ лето'!u2439-'[2]$ лето'!t2439-'[2]$ лето'!s2439-'[2]$ лето'!r2439-'[2]$ лето'!p2439-'[2]$ лето'!o2439-'[2]$ лето'!n2439-'[2]$ лето'!m2439-'[2]$ лето'!l2439+'[2]$ лето'!k2439+'[2]$ лето'!q2439+'[2]$ лето'!w2439+'[2]$ лето'!ac2439+'[2]$ лето'!ai2439+'[2]$ лето'!ao2439</f>
        <v>0</v>
      </c>
      <c r="I2439" s="109" t="n">
        <f aca="false">'[2]$ лето'!ay2439*1.05</f>
        <v>4830</v>
      </c>
    </row>
    <row r="2440" customFormat="false" ht="15" hidden="true" customHeight="false" outlineLevel="0" collapsed="false">
      <c r="A2440" s="115" t="s">
        <v>2988</v>
      </c>
      <c r="B2440" s="115" t="s">
        <v>3033</v>
      </c>
      <c r="C2440" s="116" t="s">
        <v>3035</v>
      </c>
      <c r="D2440" s="116"/>
      <c r="E2440" s="116"/>
      <c r="F2440" s="116"/>
      <c r="G2440" s="108"/>
      <c r="H2440" s="105" t="n">
        <f aca="false">'[2]$ лето'!j2440-'[2]$ лето'!au2440-'[2]$ лето'!at2440-'[2]$ лето'!as2440-'[2]$ лето'!ar2440-'[2]$ лето'!aq2440-'[2]$ лето'!ap2440-'[2]$ лето'!an2440-'[2]$ лето'!am2440-'[2]$ лето'!al2440-'[2]$ лето'!ak2440-'[2]$ лето'!aj2440-'[2]$ лето'!ah2440-'[2]$ лето'!ag2440-'[2]$ лето'!af2440-'[2]$ лето'!ae2440-'[2]$ лето'!ad2440-'[2]$ лето'!ab2440-'[2]$ лето'!aa2440-'[2]$ лето'!z2440-'[2]$ лето'!y2440-'[2]$ лето'!x2440-'[2]$ лето'!v2440-'[2]$ лето'!u2440-'[2]$ лето'!t2440-'[2]$ лето'!s2440-'[2]$ лето'!r2440-'[2]$ лето'!p2440-'[2]$ лето'!o2440-'[2]$ лето'!n2440-'[2]$ лето'!m2440-'[2]$ лето'!l2440+'[2]$ лето'!k2440+'[2]$ лето'!q2440+'[2]$ лето'!w2440+'[2]$ лето'!ac2440+'[2]$ лето'!ai2440+'[2]$ лето'!ao2440</f>
        <v>0</v>
      </c>
      <c r="I2440" s="109" t="n">
        <f aca="false">'[2]$ лето'!ay2440*1.05</f>
        <v>5407.5</v>
      </c>
    </row>
    <row r="2441" customFormat="false" ht="15" hidden="true" customHeight="false" outlineLevel="0" collapsed="false">
      <c r="A2441" s="115" t="s">
        <v>2988</v>
      </c>
      <c r="B2441" s="115" t="s">
        <v>2866</v>
      </c>
      <c r="C2441" s="116" t="s">
        <v>2980</v>
      </c>
      <c r="D2441" s="116"/>
      <c r="E2441" s="116"/>
      <c r="F2441" s="116"/>
      <c r="G2441" s="108"/>
      <c r="H2441" s="105" t="n">
        <f aca="false">'[2]$ лето'!j2441-'[2]$ лето'!au2441-'[2]$ лето'!at2441-'[2]$ лето'!as2441-'[2]$ лето'!ar2441-'[2]$ лето'!aq2441-'[2]$ лето'!ap2441-'[2]$ лето'!an2441-'[2]$ лето'!am2441-'[2]$ лето'!al2441-'[2]$ лето'!ak2441-'[2]$ лето'!aj2441-'[2]$ лето'!ah2441-'[2]$ лето'!ag2441-'[2]$ лето'!af2441-'[2]$ лето'!ae2441-'[2]$ лето'!ad2441-'[2]$ лето'!ab2441-'[2]$ лето'!aa2441-'[2]$ лето'!z2441-'[2]$ лето'!y2441-'[2]$ лето'!x2441-'[2]$ лето'!v2441-'[2]$ лето'!u2441-'[2]$ лето'!t2441-'[2]$ лето'!s2441-'[2]$ лето'!r2441-'[2]$ лето'!p2441-'[2]$ лето'!o2441-'[2]$ лето'!n2441-'[2]$ лето'!m2441-'[2]$ лето'!l2441+'[2]$ лето'!k2441+'[2]$ лето'!q2441+'[2]$ лето'!w2441+'[2]$ лето'!ac2441+'[2]$ лето'!ai2441+'[2]$ лето'!ao2441</f>
        <v>0</v>
      </c>
      <c r="I2441" s="109" t="n">
        <f aca="false">'[2]$ лето'!ay2441*1.05</f>
        <v>4725</v>
      </c>
    </row>
    <row r="2442" customFormat="false" ht="15" hidden="true" customHeight="false" outlineLevel="0" collapsed="false">
      <c r="A2442" s="115" t="s">
        <v>2988</v>
      </c>
      <c r="B2442" s="115" t="s">
        <v>2866</v>
      </c>
      <c r="C2442" s="116" t="s">
        <v>2981</v>
      </c>
      <c r="D2442" s="116"/>
      <c r="E2442" s="116"/>
      <c r="F2442" s="116"/>
      <c r="G2442" s="108"/>
      <c r="H2442" s="105" t="n">
        <f aca="false">'[2]$ лето'!j2442-'[2]$ лето'!au2442-'[2]$ лето'!at2442-'[2]$ лето'!as2442-'[2]$ лето'!ar2442-'[2]$ лето'!aq2442-'[2]$ лето'!ap2442-'[2]$ лето'!an2442-'[2]$ лето'!am2442-'[2]$ лето'!al2442-'[2]$ лето'!ak2442-'[2]$ лето'!aj2442-'[2]$ лето'!ah2442-'[2]$ лето'!ag2442-'[2]$ лето'!af2442-'[2]$ лето'!ae2442-'[2]$ лето'!ad2442-'[2]$ лето'!ab2442-'[2]$ лето'!aa2442-'[2]$ лето'!z2442-'[2]$ лето'!y2442-'[2]$ лето'!x2442-'[2]$ лето'!v2442-'[2]$ лето'!u2442-'[2]$ лето'!t2442-'[2]$ лето'!s2442-'[2]$ лето'!r2442-'[2]$ лето'!p2442-'[2]$ лето'!o2442-'[2]$ лето'!n2442-'[2]$ лето'!m2442-'[2]$ лето'!l2442+'[2]$ лето'!k2442+'[2]$ лето'!q2442+'[2]$ лето'!w2442+'[2]$ лето'!ac2442+'[2]$ лето'!ai2442+'[2]$ лето'!ao2442</f>
        <v>0</v>
      </c>
      <c r="I2442" s="109" t="n">
        <f aca="false">'[2]$ лето'!ay2442*1.05</f>
        <v>5407.5</v>
      </c>
    </row>
    <row r="2443" customFormat="false" ht="15" hidden="true" customHeight="false" outlineLevel="0" collapsed="false">
      <c r="A2443" s="115" t="s">
        <v>2988</v>
      </c>
      <c r="B2443" s="115" t="s">
        <v>2742</v>
      </c>
      <c r="C2443" s="116" t="s">
        <v>3036</v>
      </c>
      <c r="D2443" s="116"/>
      <c r="E2443" s="116"/>
      <c r="F2443" s="116"/>
      <c r="G2443" s="108"/>
      <c r="H2443" s="105" t="n">
        <f aca="false">'[2]$ лето'!j2443-'[2]$ лето'!au2443-'[2]$ лето'!at2443-'[2]$ лето'!as2443-'[2]$ лето'!ar2443-'[2]$ лето'!aq2443-'[2]$ лето'!ap2443-'[2]$ лето'!an2443-'[2]$ лето'!am2443-'[2]$ лето'!al2443-'[2]$ лето'!ak2443-'[2]$ лето'!aj2443-'[2]$ лето'!ah2443-'[2]$ лето'!ag2443-'[2]$ лето'!af2443-'[2]$ лето'!ae2443-'[2]$ лето'!ad2443-'[2]$ лето'!ab2443-'[2]$ лето'!aa2443-'[2]$ лето'!z2443-'[2]$ лето'!y2443-'[2]$ лето'!x2443-'[2]$ лето'!v2443-'[2]$ лето'!u2443-'[2]$ лето'!t2443-'[2]$ лето'!s2443-'[2]$ лето'!r2443-'[2]$ лето'!p2443-'[2]$ лето'!o2443-'[2]$ лето'!n2443-'[2]$ лето'!m2443-'[2]$ лето'!l2443+'[2]$ лето'!k2443+'[2]$ лето'!q2443+'[2]$ лето'!w2443+'[2]$ лето'!ac2443+'[2]$ лето'!ai2443+'[2]$ лето'!ao2443</f>
        <v>0</v>
      </c>
      <c r="I2443" s="109" t="n">
        <f aca="false">'[2]$ лето'!ay2443*1.05</f>
        <v>5355</v>
      </c>
    </row>
    <row r="2444" customFormat="false" ht="15" hidden="false" customHeight="false" outlineLevel="0" collapsed="false">
      <c r="A2444" s="115" t="s">
        <v>2988</v>
      </c>
      <c r="B2444" s="115" t="s">
        <v>2742</v>
      </c>
      <c r="C2444" s="116" t="s">
        <v>3037</v>
      </c>
      <c r="D2444" s="116"/>
      <c r="E2444" s="116"/>
      <c r="F2444" s="116"/>
      <c r="G2444" s="108"/>
      <c r="H2444" s="105" t="n">
        <f aca="false">'[2]$ лето'!j2444-'[2]$ лето'!au2444-'[2]$ лето'!at2444-'[2]$ лето'!as2444-'[2]$ лето'!ar2444-'[2]$ лето'!aq2444-'[2]$ лето'!ap2444-'[2]$ лето'!an2444-'[2]$ лето'!am2444-'[2]$ лето'!al2444-'[2]$ лето'!ak2444-'[2]$ лето'!aj2444-'[2]$ лето'!ah2444-'[2]$ лето'!ag2444-'[2]$ лето'!af2444-'[2]$ лето'!ae2444-'[2]$ лето'!ad2444-'[2]$ лето'!ab2444-'[2]$ лето'!aa2444-'[2]$ лето'!z2444-'[2]$ лето'!y2444-'[2]$ лето'!x2444-'[2]$ лето'!v2444-'[2]$ лето'!u2444-'[2]$ лето'!t2444-'[2]$ лето'!s2444-'[2]$ лето'!r2444-'[2]$ лето'!p2444-'[2]$ лето'!o2444-'[2]$ лето'!n2444-'[2]$ лето'!m2444-'[2]$ лето'!l2444+'[2]$ лето'!k2444+'[2]$ лето'!q2444+'[2]$ лето'!w2444+'[2]$ лето'!ac2444+'[2]$ лето'!ai2444+'[2]$ лето'!ao2444</f>
        <v>4</v>
      </c>
      <c r="I2444" s="109" t="n">
        <f aca="false">'[2]$ лето'!ay2444*1.05</f>
        <v>6090</v>
      </c>
    </row>
    <row r="2445" customFormat="false" ht="15" hidden="true" customHeight="false" outlineLevel="0" collapsed="false">
      <c r="A2445" s="115" t="s">
        <v>2988</v>
      </c>
      <c r="B2445" s="115" t="s">
        <v>2935</v>
      </c>
      <c r="C2445" s="116" t="s">
        <v>3038</v>
      </c>
      <c r="D2445" s="116"/>
      <c r="E2445" s="116"/>
      <c r="F2445" s="116"/>
      <c r="G2445" s="108"/>
      <c r="H2445" s="105" t="n">
        <f aca="false">'[2]$ лето'!j2445-'[2]$ лето'!au2445-'[2]$ лето'!at2445-'[2]$ лето'!as2445-'[2]$ лето'!ar2445-'[2]$ лето'!aq2445-'[2]$ лето'!ap2445-'[2]$ лето'!an2445-'[2]$ лето'!am2445-'[2]$ лето'!al2445-'[2]$ лето'!ak2445-'[2]$ лето'!aj2445-'[2]$ лето'!ah2445-'[2]$ лето'!ag2445-'[2]$ лето'!af2445-'[2]$ лето'!ae2445-'[2]$ лето'!ad2445-'[2]$ лето'!ab2445-'[2]$ лето'!aa2445-'[2]$ лето'!z2445-'[2]$ лето'!y2445-'[2]$ лето'!x2445-'[2]$ лето'!v2445-'[2]$ лето'!u2445-'[2]$ лето'!t2445-'[2]$ лето'!s2445-'[2]$ лето'!r2445-'[2]$ лето'!p2445-'[2]$ лето'!o2445-'[2]$ лето'!n2445-'[2]$ лето'!m2445-'[2]$ лето'!l2445+'[2]$ лето'!k2445+'[2]$ лето'!q2445+'[2]$ лето'!w2445+'[2]$ лето'!ac2445+'[2]$ лето'!ai2445+'[2]$ лето'!ao2445</f>
        <v>0</v>
      </c>
      <c r="I2445" s="109" t="n">
        <f aca="false">'[2]$ лето'!ay2445*1.05</f>
        <v>5725.44</v>
      </c>
    </row>
    <row r="2446" customFormat="false" ht="15" hidden="true" customHeight="false" outlineLevel="0" collapsed="false">
      <c r="A2446" s="115" t="s">
        <v>2988</v>
      </c>
      <c r="B2446" s="115" t="s">
        <v>652</v>
      </c>
      <c r="C2446" s="134" t="s">
        <v>3039</v>
      </c>
      <c r="D2446" s="134"/>
      <c r="E2446" s="134"/>
      <c r="F2446" s="134"/>
      <c r="G2446" s="108"/>
      <c r="H2446" s="105" t="n">
        <f aca="false">'[2]$ лето'!j2446-'[2]$ лето'!au2446-'[2]$ лето'!at2446-'[2]$ лето'!as2446-'[2]$ лето'!ar2446-'[2]$ лето'!aq2446-'[2]$ лето'!ap2446-'[2]$ лето'!an2446-'[2]$ лето'!am2446-'[2]$ лето'!al2446-'[2]$ лето'!ak2446-'[2]$ лето'!aj2446-'[2]$ лето'!ah2446-'[2]$ лето'!ag2446-'[2]$ лето'!af2446-'[2]$ лето'!ae2446-'[2]$ лето'!ad2446-'[2]$ лето'!ab2446-'[2]$ лето'!aa2446-'[2]$ лето'!z2446-'[2]$ лето'!y2446-'[2]$ лето'!x2446-'[2]$ лето'!v2446-'[2]$ лето'!u2446-'[2]$ лето'!t2446-'[2]$ лето'!s2446-'[2]$ лето'!r2446-'[2]$ лето'!p2446-'[2]$ лето'!o2446-'[2]$ лето'!n2446-'[2]$ лето'!m2446-'[2]$ лето'!l2446+'[2]$ лето'!k2446+'[2]$ лето'!q2446+'[2]$ лето'!w2446+'[2]$ лето'!ac2446+'[2]$ лето'!ai2446+'[2]$ лето'!ao2446</f>
        <v>0</v>
      </c>
      <c r="I2446" s="109" t="n">
        <f aca="false">'[2]$ лето'!ay2446*1.05</f>
        <v>9244.2</v>
      </c>
    </row>
    <row r="2447" customFormat="false" ht="15" hidden="true" customHeight="false" outlineLevel="0" collapsed="false">
      <c r="A2447" s="115" t="s">
        <v>2988</v>
      </c>
      <c r="B2447" s="115" t="s">
        <v>652</v>
      </c>
      <c r="C2447" s="107" t="s">
        <v>3040</v>
      </c>
      <c r="D2447" s="107"/>
      <c r="E2447" s="107"/>
      <c r="F2447" s="107"/>
      <c r="G2447" s="108"/>
      <c r="H2447" s="105" t="n">
        <f aca="false">'[2]$ лето'!j2447-'[2]$ лето'!au2447-'[2]$ лето'!at2447-'[2]$ лето'!as2447-'[2]$ лето'!ar2447-'[2]$ лето'!aq2447-'[2]$ лето'!ap2447-'[2]$ лето'!an2447-'[2]$ лето'!am2447-'[2]$ лето'!al2447-'[2]$ лето'!ak2447-'[2]$ лето'!aj2447-'[2]$ лето'!ah2447-'[2]$ лето'!ag2447-'[2]$ лето'!af2447-'[2]$ лето'!ae2447-'[2]$ лето'!ad2447-'[2]$ лето'!ab2447-'[2]$ лето'!aa2447-'[2]$ лето'!z2447-'[2]$ лето'!y2447-'[2]$ лето'!x2447-'[2]$ лето'!v2447-'[2]$ лето'!u2447-'[2]$ лето'!t2447-'[2]$ лето'!s2447-'[2]$ лето'!r2447-'[2]$ лето'!p2447-'[2]$ лето'!o2447-'[2]$ лето'!n2447-'[2]$ лето'!m2447-'[2]$ лето'!l2447+'[2]$ лето'!k2447+'[2]$ лето'!q2447+'[2]$ лето'!w2447+'[2]$ лето'!ac2447+'[2]$ лето'!ai2447+'[2]$ лето'!ao2447</f>
        <v>0</v>
      </c>
      <c r="I2447" s="109" t="n">
        <f aca="false">'[2]$ лето'!ay2447*1.05</f>
        <v>9393.3</v>
      </c>
    </row>
    <row r="2448" customFormat="false" ht="15" hidden="false" customHeight="false" outlineLevel="0" collapsed="false">
      <c r="A2448" s="115" t="s">
        <v>2988</v>
      </c>
      <c r="B2448" s="115" t="s">
        <v>2888</v>
      </c>
      <c r="C2448" s="107" t="s">
        <v>3041</v>
      </c>
      <c r="D2448" s="107"/>
      <c r="E2448" s="107"/>
      <c r="F2448" s="107"/>
      <c r="G2448" s="108"/>
      <c r="H2448" s="105" t="n">
        <f aca="false">'[2]$ лето'!j2448-'[2]$ лето'!au2448-'[2]$ лето'!at2448-'[2]$ лето'!as2448-'[2]$ лето'!ar2448-'[2]$ лето'!aq2448-'[2]$ лето'!ap2448-'[2]$ лето'!an2448-'[2]$ лето'!am2448-'[2]$ лето'!al2448-'[2]$ лето'!ak2448-'[2]$ лето'!aj2448-'[2]$ лето'!ah2448-'[2]$ лето'!ag2448-'[2]$ лето'!af2448-'[2]$ лето'!ae2448-'[2]$ лето'!ad2448-'[2]$ лето'!ab2448-'[2]$ лето'!aa2448-'[2]$ лето'!z2448-'[2]$ лето'!y2448-'[2]$ лето'!x2448-'[2]$ лето'!v2448-'[2]$ лето'!u2448-'[2]$ лето'!t2448-'[2]$ лето'!s2448-'[2]$ лето'!r2448-'[2]$ лето'!p2448-'[2]$ лето'!o2448-'[2]$ лето'!n2448-'[2]$ лето'!m2448-'[2]$ лето'!l2448+'[2]$ лето'!k2448+'[2]$ лето'!q2448+'[2]$ лето'!w2448+'[2]$ лето'!ac2448+'[2]$ лето'!ai2448+'[2]$ лето'!ao2448</f>
        <v>8</v>
      </c>
      <c r="I2448" s="109" t="n">
        <f aca="false">'[2]$ лето'!ay2448*1.05</f>
        <v>5880</v>
      </c>
    </row>
    <row r="2449" customFormat="false" ht="15" hidden="true" customHeight="false" outlineLevel="0" collapsed="false">
      <c r="A2449" s="115" t="s">
        <v>2988</v>
      </c>
      <c r="B2449" s="115" t="s">
        <v>3042</v>
      </c>
      <c r="C2449" s="107" t="s">
        <v>2981</v>
      </c>
      <c r="D2449" s="107"/>
      <c r="E2449" s="107"/>
      <c r="F2449" s="107"/>
      <c r="G2449" s="108"/>
      <c r="H2449" s="105" t="n">
        <f aca="false">'[2]$ лето'!j2449-'[2]$ лето'!au2449-'[2]$ лето'!at2449-'[2]$ лето'!as2449-'[2]$ лето'!ar2449-'[2]$ лето'!aq2449-'[2]$ лето'!ap2449-'[2]$ лето'!an2449-'[2]$ лето'!am2449-'[2]$ лето'!al2449-'[2]$ лето'!ak2449-'[2]$ лето'!aj2449-'[2]$ лето'!ah2449-'[2]$ лето'!ag2449-'[2]$ лето'!af2449-'[2]$ лето'!ae2449-'[2]$ лето'!ad2449-'[2]$ лето'!ab2449-'[2]$ лето'!aa2449-'[2]$ лето'!z2449-'[2]$ лето'!y2449-'[2]$ лето'!x2449-'[2]$ лето'!v2449-'[2]$ лето'!u2449-'[2]$ лето'!t2449-'[2]$ лето'!s2449-'[2]$ лето'!r2449-'[2]$ лето'!p2449-'[2]$ лето'!o2449-'[2]$ лето'!n2449-'[2]$ лето'!m2449-'[2]$ лето'!l2449+'[2]$ лето'!k2449+'[2]$ лето'!q2449+'[2]$ лето'!w2449+'[2]$ лето'!ac2449+'[2]$ лето'!ai2449+'[2]$ лето'!ao2449</f>
        <v>0</v>
      </c>
      <c r="I2449" s="109" t="n">
        <f aca="false">'[2]$ лето'!ay2449*1.05</f>
        <v>4830</v>
      </c>
    </row>
    <row r="2450" customFormat="false" ht="15" hidden="false" customHeight="false" outlineLevel="0" collapsed="false">
      <c r="A2450" s="115" t="s">
        <v>3043</v>
      </c>
      <c r="B2450" s="115" t="s">
        <v>2705</v>
      </c>
      <c r="C2450" s="107" t="s">
        <v>3044</v>
      </c>
      <c r="D2450" s="107"/>
      <c r="E2450" s="116"/>
      <c r="F2450" s="116"/>
      <c r="G2450" s="108"/>
      <c r="H2450" s="105" t="n">
        <f aca="false">'[2]$ лето'!j2450-'[2]$ лето'!au2450-'[2]$ лето'!at2450-'[2]$ лето'!as2450-'[2]$ лето'!ar2450-'[2]$ лето'!aq2450-'[2]$ лето'!ap2450-'[2]$ лето'!an2450-'[2]$ лето'!am2450-'[2]$ лето'!al2450-'[2]$ лето'!ak2450-'[2]$ лето'!aj2450-'[2]$ лето'!ah2450-'[2]$ лето'!ag2450-'[2]$ лето'!af2450-'[2]$ лето'!ae2450-'[2]$ лето'!ad2450-'[2]$ лето'!ab2450-'[2]$ лето'!aa2450-'[2]$ лето'!z2450-'[2]$ лето'!y2450-'[2]$ лето'!x2450-'[2]$ лето'!v2450-'[2]$ лето'!u2450-'[2]$ лето'!t2450-'[2]$ лето'!s2450-'[2]$ лето'!r2450-'[2]$ лето'!p2450-'[2]$ лето'!o2450-'[2]$ лето'!n2450-'[2]$ лето'!m2450-'[2]$ лето'!l2450+'[2]$ лето'!k2450+'[2]$ лето'!q2450+'[2]$ лето'!w2450+'[2]$ лето'!ac2450+'[2]$ лето'!ai2450+'[2]$ лето'!ao2450</f>
        <v>2</v>
      </c>
      <c r="I2450" s="109" t="n">
        <f aca="false">'[2]$ лето'!ay2450*1.05</f>
        <v>7245</v>
      </c>
    </row>
    <row r="2451" customFormat="false" ht="15" hidden="true" customHeight="false" outlineLevel="0" collapsed="false">
      <c r="A2451" s="115" t="s">
        <v>3043</v>
      </c>
      <c r="B2451" s="115" t="s">
        <v>2710</v>
      </c>
      <c r="C2451" s="107" t="s">
        <v>3045</v>
      </c>
      <c r="D2451" s="107"/>
      <c r="E2451" s="107"/>
      <c r="F2451" s="107"/>
      <c r="G2451" s="108"/>
      <c r="H2451" s="105" t="n">
        <f aca="false">'[2]$ лето'!j2451-'[2]$ лето'!au2451-'[2]$ лето'!at2451-'[2]$ лето'!as2451-'[2]$ лето'!ar2451-'[2]$ лето'!aq2451-'[2]$ лето'!ap2451-'[2]$ лето'!an2451-'[2]$ лето'!am2451-'[2]$ лето'!al2451-'[2]$ лето'!ak2451-'[2]$ лето'!aj2451-'[2]$ лето'!ah2451-'[2]$ лето'!ag2451-'[2]$ лето'!af2451-'[2]$ лето'!ae2451-'[2]$ лето'!ad2451-'[2]$ лето'!ab2451-'[2]$ лето'!aa2451-'[2]$ лето'!z2451-'[2]$ лето'!y2451-'[2]$ лето'!x2451-'[2]$ лето'!v2451-'[2]$ лето'!u2451-'[2]$ лето'!t2451-'[2]$ лето'!s2451-'[2]$ лето'!r2451-'[2]$ лето'!p2451-'[2]$ лето'!o2451-'[2]$ лето'!n2451-'[2]$ лето'!m2451-'[2]$ лето'!l2451+'[2]$ лето'!k2451+'[2]$ лето'!q2451+'[2]$ лето'!w2451+'[2]$ лето'!ac2451+'[2]$ лето'!ai2451+'[2]$ лето'!ao2451</f>
        <v>0</v>
      </c>
      <c r="I2451" s="109" t="n">
        <f aca="false">'[2]$ лето'!ay2451*1.05</f>
        <v>6560.4</v>
      </c>
    </row>
    <row r="2452" customFormat="false" ht="15" hidden="true" customHeight="false" outlineLevel="0" collapsed="false">
      <c r="A2452" s="115" t="s">
        <v>3043</v>
      </c>
      <c r="B2452" s="115" t="s">
        <v>2713</v>
      </c>
      <c r="C2452" s="107" t="s">
        <v>3046</v>
      </c>
      <c r="D2452" s="107"/>
      <c r="E2452" s="107"/>
      <c r="F2452" s="107"/>
      <c r="G2452" s="108"/>
      <c r="H2452" s="105" t="n">
        <f aca="false">'[2]$ лето'!j2452-'[2]$ лето'!au2452-'[2]$ лето'!at2452-'[2]$ лето'!as2452-'[2]$ лето'!ar2452-'[2]$ лето'!aq2452-'[2]$ лето'!ap2452-'[2]$ лето'!an2452-'[2]$ лето'!am2452-'[2]$ лето'!al2452-'[2]$ лето'!ak2452-'[2]$ лето'!aj2452-'[2]$ лето'!ah2452-'[2]$ лето'!ag2452-'[2]$ лето'!af2452-'[2]$ лето'!ae2452-'[2]$ лето'!ad2452-'[2]$ лето'!ab2452-'[2]$ лето'!aa2452-'[2]$ лето'!z2452-'[2]$ лето'!y2452-'[2]$ лето'!x2452-'[2]$ лето'!v2452-'[2]$ лето'!u2452-'[2]$ лето'!t2452-'[2]$ лето'!s2452-'[2]$ лето'!r2452-'[2]$ лето'!p2452-'[2]$ лето'!o2452-'[2]$ лето'!n2452-'[2]$ лето'!m2452-'[2]$ лето'!l2452+'[2]$ лето'!k2452+'[2]$ лето'!q2452+'[2]$ лето'!w2452+'[2]$ лето'!ac2452+'[2]$ лето'!ai2452+'[2]$ лето'!ao2452</f>
        <v>0</v>
      </c>
      <c r="I2452" s="109" t="n">
        <f aca="false">'[2]$ лето'!ay2452*1.05</f>
        <v>6510</v>
      </c>
    </row>
    <row r="2453" customFormat="false" ht="15" hidden="false" customHeight="false" outlineLevel="0" collapsed="false">
      <c r="A2453" s="115" t="s">
        <v>3043</v>
      </c>
      <c r="B2453" s="115" t="s">
        <v>3047</v>
      </c>
      <c r="C2453" s="107" t="s">
        <v>3048</v>
      </c>
      <c r="D2453" s="107"/>
      <c r="E2453" s="116"/>
      <c r="F2453" s="116"/>
      <c r="G2453" s="108" t="s">
        <v>520</v>
      </c>
      <c r="H2453" s="105" t="n">
        <f aca="false">'[2]$ лето'!j2453-'[2]$ лето'!au2453-'[2]$ лето'!at2453-'[2]$ лето'!as2453-'[2]$ лето'!ar2453-'[2]$ лето'!aq2453-'[2]$ лето'!ap2453-'[2]$ лето'!an2453-'[2]$ лето'!am2453-'[2]$ лето'!al2453-'[2]$ лето'!ak2453-'[2]$ лето'!aj2453-'[2]$ лето'!ah2453-'[2]$ лето'!ag2453-'[2]$ лето'!af2453-'[2]$ лето'!ae2453-'[2]$ лето'!ad2453-'[2]$ лето'!ab2453-'[2]$ лето'!aa2453-'[2]$ лето'!z2453-'[2]$ лето'!y2453-'[2]$ лето'!x2453-'[2]$ лето'!v2453-'[2]$ лето'!u2453-'[2]$ лето'!t2453-'[2]$ лето'!s2453-'[2]$ лето'!r2453-'[2]$ лето'!p2453-'[2]$ лето'!o2453-'[2]$ лето'!n2453-'[2]$ лето'!m2453-'[2]$ лето'!l2453+'[2]$ лето'!k2453+'[2]$ лето'!q2453+'[2]$ лето'!w2453+'[2]$ лето'!ac2453+'[2]$ лето'!ai2453+'[2]$ лето'!ao2453</f>
        <v>4</v>
      </c>
      <c r="I2453" s="109" t="n">
        <f aca="false">'[2]$ лето'!ay2453*1.05</f>
        <v>6982.5</v>
      </c>
      <c r="J2453" s="85" t="n">
        <v>2017</v>
      </c>
    </row>
    <row r="2454" customFormat="false" ht="15" hidden="true" customHeight="false" outlineLevel="0" collapsed="false">
      <c r="A2454" s="115" t="s">
        <v>3049</v>
      </c>
      <c r="B2454" s="115" t="s">
        <v>2989</v>
      </c>
      <c r="C2454" s="107" t="s">
        <v>3050</v>
      </c>
      <c r="D2454" s="107"/>
      <c r="E2454" s="107"/>
      <c r="F2454" s="107"/>
      <c r="G2454" s="108"/>
      <c r="H2454" s="105" t="n">
        <f aca="false">'[2]$ лето'!j2454-'[2]$ лето'!au2454-'[2]$ лето'!at2454-'[2]$ лето'!as2454-'[2]$ лето'!ar2454-'[2]$ лето'!aq2454-'[2]$ лето'!ap2454-'[2]$ лето'!an2454-'[2]$ лето'!am2454-'[2]$ лето'!al2454-'[2]$ лето'!ak2454-'[2]$ лето'!aj2454-'[2]$ лето'!ah2454-'[2]$ лето'!ag2454-'[2]$ лето'!af2454-'[2]$ лето'!ae2454-'[2]$ лето'!ad2454-'[2]$ лето'!ab2454-'[2]$ лето'!aa2454-'[2]$ лето'!z2454-'[2]$ лето'!y2454-'[2]$ лето'!x2454-'[2]$ лето'!v2454-'[2]$ лето'!u2454-'[2]$ лето'!t2454-'[2]$ лето'!s2454-'[2]$ лето'!r2454-'[2]$ лето'!p2454-'[2]$ лето'!o2454-'[2]$ лето'!n2454-'[2]$ лето'!m2454-'[2]$ лето'!l2454+'[2]$ лето'!k2454+'[2]$ лето'!q2454+'[2]$ лето'!w2454+'[2]$ лето'!ac2454+'[2]$ лето'!ai2454+'[2]$ лето'!ao2454</f>
        <v>0</v>
      </c>
      <c r="I2454" s="109" t="n">
        <f aca="false">'[2]$ лето'!ay2454*1.05</f>
        <v>6352.5</v>
      </c>
    </row>
    <row r="2455" customFormat="false" ht="15" hidden="true" customHeight="false" outlineLevel="0" collapsed="false">
      <c r="A2455" s="115" t="s">
        <v>3049</v>
      </c>
      <c r="B2455" s="115" t="s">
        <v>991</v>
      </c>
      <c r="C2455" s="107" t="s">
        <v>3051</v>
      </c>
      <c r="D2455" s="107"/>
      <c r="E2455" s="107"/>
      <c r="F2455" s="107"/>
      <c r="G2455" s="108" t="s">
        <v>520</v>
      </c>
      <c r="H2455" s="105" t="n">
        <f aca="false">'[2]$ лето'!j2455-'[2]$ лето'!au2455-'[2]$ лето'!at2455-'[2]$ лето'!as2455-'[2]$ лето'!ar2455-'[2]$ лето'!aq2455-'[2]$ лето'!ap2455-'[2]$ лето'!an2455-'[2]$ лето'!am2455-'[2]$ лето'!al2455-'[2]$ лето'!ak2455-'[2]$ лето'!aj2455-'[2]$ лето'!ah2455-'[2]$ лето'!ag2455-'[2]$ лето'!af2455-'[2]$ лето'!ae2455-'[2]$ лето'!ad2455-'[2]$ лето'!ab2455-'[2]$ лето'!aa2455-'[2]$ лето'!z2455-'[2]$ лето'!y2455-'[2]$ лето'!x2455-'[2]$ лето'!v2455-'[2]$ лето'!u2455-'[2]$ лето'!t2455-'[2]$ лето'!s2455-'[2]$ лето'!r2455-'[2]$ лето'!p2455-'[2]$ лето'!o2455-'[2]$ лето'!n2455-'[2]$ лето'!m2455-'[2]$ лето'!l2455+'[2]$ лето'!k2455+'[2]$ лето'!q2455+'[2]$ лето'!w2455+'[2]$ лето'!ac2455+'[2]$ лето'!ai2455+'[2]$ лето'!ao2455</f>
        <v>0</v>
      </c>
      <c r="I2455" s="109" t="n">
        <f aca="false">'[2]$ лето'!ay2455*1.05</f>
        <v>7875</v>
      </c>
    </row>
    <row r="2456" customFormat="false" ht="15" hidden="true" customHeight="false" outlineLevel="0" collapsed="false">
      <c r="A2456" s="115" t="s">
        <v>3049</v>
      </c>
      <c r="B2456" s="115" t="s">
        <v>2699</v>
      </c>
      <c r="C2456" s="107" t="s">
        <v>3052</v>
      </c>
      <c r="D2456" s="107"/>
      <c r="E2456" s="107"/>
      <c r="F2456" s="107"/>
      <c r="G2456" s="108"/>
      <c r="H2456" s="105" t="n">
        <f aca="false">'[2]$ лето'!j2456-'[2]$ лето'!au2456-'[2]$ лето'!at2456-'[2]$ лето'!as2456-'[2]$ лето'!ar2456-'[2]$ лето'!aq2456-'[2]$ лето'!ap2456-'[2]$ лето'!an2456-'[2]$ лето'!am2456-'[2]$ лето'!al2456-'[2]$ лето'!ak2456-'[2]$ лето'!aj2456-'[2]$ лето'!ah2456-'[2]$ лето'!ag2456-'[2]$ лето'!af2456-'[2]$ лето'!ae2456-'[2]$ лето'!ad2456-'[2]$ лето'!ab2456-'[2]$ лето'!aa2456-'[2]$ лето'!z2456-'[2]$ лето'!y2456-'[2]$ лето'!x2456-'[2]$ лето'!v2456-'[2]$ лето'!u2456-'[2]$ лето'!t2456-'[2]$ лето'!s2456-'[2]$ лето'!r2456-'[2]$ лето'!p2456-'[2]$ лето'!o2456-'[2]$ лето'!n2456-'[2]$ лето'!m2456-'[2]$ лето'!l2456+'[2]$ лето'!k2456+'[2]$ лето'!q2456+'[2]$ лето'!w2456+'[2]$ лето'!ac2456+'[2]$ лето'!ai2456+'[2]$ лето'!ao2456</f>
        <v>0</v>
      </c>
      <c r="I2456" s="109" t="n">
        <f aca="false">'[2]$ лето'!ay2456*1.05</f>
        <v>6195</v>
      </c>
    </row>
    <row r="2457" customFormat="false" ht="15" hidden="true" customHeight="false" outlineLevel="0" collapsed="false">
      <c r="A2457" s="115" t="s">
        <v>3049</v>
      </c>
      <c r="B2457" s="115" t="s">
        <v>3053</v>
      </c>
      <c r="C2457" s="107" t="s">
        <v>3054</v>
      </c>
      <c r="D2457" s="107"/>
      <c r="E2457" s="107"/>
      <c r="F2457" s="107"/>
      <c r="G2457" s="108"/>
      <c r="H2457" s="105" t="n">
        <f aca="false">'[2]$ лето'!j2457-'[2]$ лето'!au2457-'[2]$ лето'!at2457-'[2]$ лето'!as2457-'[2]$ лето'!ar2457-'[2]$ лето'!aq2457-'[2]$ лето'!ap2457-'[2]$ лето'!an2457-'[2]$ лето'!am2457-'[2]$ лето'!al2457-'[2]$ лето'!ak2457-'[2]$ лето'!aj2457-'[2]$ лето'!ah2457-'[2]$ лето'!ag2457-'[2]$ лето'!af2457-'[2]$ лето'!ae2457-'[2]$ лето'!ad2457-'[2]$ лето'!ab2457-'[2]$ лето'!aa2457-'[2]$ лето'!z2457-'[2]$ лето'!y2457-'[2]$ лето'!x2457-'[2]$ лето'!v2457-'[2]$ лето'!u2457-'[2]$ лето'!t2457-'[2]$ лето'!s2457-'[2]$ лето'!r2457-'[2]$ лето'!p2457-'[2]$ лето'!o2457-'[2]$ лето'!n2457-'[2]$ лето'!m2457-'[2]$ лето'!l2457+'[2]$ лето'!k2457+'[2]$ лето'!q2457+'[2]$ лето'!w2457+'[2]$ лето'!ac2457+'[2]$ лето'!ai2457+'[2]$ лето'!ao2457</f>
        <v>0</v>
      </c>
      <c r="I2457" s="109" t="n">
        <f aca="false">'[2]$ лето'!ay2457*1.05</f>
        <v>5565</v>
      </c>
      <c r="J2457" s="85" t="s">
        <v>3055</v>
      </c>
    </row>
    <row r="2458" customFormat="false" ht="15" hidden="true" customHeight="false" outlineLevel="0" collapsed="false">
      <c r="A2458" s="115" t="s">
        <v>3049</v>
      </c>
      <c r="B2458" s="115" t="s">
        <v>2688</v>
      </c>
      <c r="C2458" s="107" t="s">
        <v>3056</v>
      </c>
      <c r="D2458" s="107"/>
      <c r="E2458" s="107"/>
      <c r="F2458" s="107"/>
      <c r="G2458" s="108"/>
      <c r="H2458" s="105" t="n">
        <f aca="false">'[2]$ лето'!j2458-'[2]$ лето'!au2458-'[2]$ лето'!at2458-'[2]$ лето'!as2458-'[2]$ лето'!ar2458-'[2]$ лето'!aq2458-'[2]$ лето'!ap2458-'[2]$ лето'!an2458-'[2]$ лето'!am2458-'[2]$ лето'!al2458-'[2]$ лето'!ak2458-'[2]$ лето'!aj2458-'[2]$ лето'!ah2458-'[2]$ лето'!ag2458-'[2]$ лето'!af2458-'[2]$ лето'!ae2458-'[2]$ лето'!ad2458-'[2]$ лето'!ab2458-'[2]$ лето'!aa2458-'[2]$ лето'!z2458-'[2]$ лето'!y2458-'[2]$ лето'!x2458-'[2]$ лето'!v2458-'[2]$ лето'!u2458-'[2]$ лето'!t2458-'[2]$ лето'!s2458-'[2]$ лето'!r2458-'[2]$ лето'!p2458-'[2]$ лето'!o2458-'[2]$ лето'!n2458-'[2]$ лето'!m2458-'[2]$ лето'!l2458+'[2]$ лето'!k2458+'[2]$ лето'!q2458+'[2]$ лето'!w2458+'[2]$ лето'!ac2458+'[2]$ лето'!ai2458+'[2]$ лето'!ao2458</f>
        <v>0</v>
      </c>
      <c r="I2458" s="109" t="n">
        <f aca="false">'[2]$ лето'!ay2458*1.05</f>
        <v>5665.8</v>
      </c>
    </row>
    <row r="2459" customFormat="false" ht="15" hidden="true" customHeight="false" outlineLevel="0" collapsed="false">
      <c r="A2459" s="115" t="s">
        <v>3049</v>
      </c>
      <c r="B2459" s="115" t="s">
        <v>2688</v>
      </c>
      <c r="C2459" s="116" t="n">
        <v>397</v>
      </c>
      <c r="D2459" s="116"/>
      <c r="E2459" s="116"/>
      <c r="F2459" s="116"/>
      <c r="G2459" s="108"/>
      <c r="H2459" s="105" t="n">
        <f aca="false">'[2]$ лето'!j2459-'[2]$ лето'!au2459-'[2]$ лето'!at2459-'[2]$ лето'!as2459-'[2]$ лето'!ar2459-'[2]$ лето'!aq2459-'[2]$ лето'!ap2459-'[2]$ лето'!an2459-'[2]$ лето'!am2459-'[2]$ лето'!al2459-'[2]$ лето'!ak2459-'[2]$ лето'!aj2459-'[2]$ лето'!ah2459-'[2]$ лето'!ag2459-'[2]$ лето'!af2459-'[2]$ лето'!ae2459-'[2]$ лето'!ad2459-'[2]$ лето'!ab2459-'[2]$ лето'!aa2459-'[2]$ лето'!z2459-'[2]$ лето'!y2459-'[2]$ лето'!x2459-'[2]$ лето'!v2459-'[2]$ лето'!u2459-'[2]$ лето'!t2459-'[2]$ лето'!s2459-'[2]$ лето'!r2459-'[2]$ лето'!p2459-'[2]$ лето'!o2459-'[2]$ лето'!n2459-'[2]$ лето'!m2459-'[2]$ лето'!l2459+'[2]$ лето'!k2459+'[2]$ лето'!q2459+'[2]$ лето'!w2459+'[2]$ лето'!ac2459+'[2]$ лето'!ai2459+'[2]$ лето'!ao2459</f>
        <v>0</v>
      </c>
      <c r="I2459" s="109" t="n">
        <f aca="false">'[2]$ лето'!ay2459*1.05</f>
        <v>7305.9</v>
      </c>
    </row>
    <row r="2460" customFormat="false" ht="15" hidden="true" customHeight="false" outlineLevel="0" collapsed="false">
      <c r="A2460" s="115" t="s">
        <v>3049</v>
      </c>
      <c r="B2460" s="115" t="s">
        <v>3057</v>
      </c>
      <c r="C2460" s="116" t="s">
        <v>3058</v>
      </c>
      <c r="D2460" s="116"/>
      <c r="E2460" s="116"/>
      <c r="F2460" s="116"/>
      <c r="G2460" s="108"/>
      <c r="H2460" s="105" t="n">
        <f aca="false">'[2]$ лето'!j2460-'[2]$ лето'!au2460-'[2]$ лето'!at2460-'[2]$ лето'!as2460-'[2]$ лето'!ar2460-'[2]$ лето'!aq2460-'[2]$ лето'!ap2460-'[2]$ лето'!an2460-'[2]$ лето'!am2460-'[2]$ лето'!al2460-'[2]$ лето'!ak2460-'[2]$ лето'!aj2460-'[2]$ лето'!ah2460-'[2]$ лето'!ag2460-'[2]$ лето'!af2460-'[2]$ лето'!ae2460-'[2]$ лето'!ad2460-'[2]$ лето'!ab2460-'[2]$ лето'!aa2460-'[2]$ лето'!z2460-'[2]$ лето'!y2460-'[2]$ лето'!x2460-'[2]$ лето'!v2460-'[2]$ лето'!u2460-'[2]$ лето'!t2460-'[2]$ лето'!s2460-'[2]$ лето'!r2460-'[2]$ лето'!p2460-'[2]$ лето'!o2460-'[2]$ лето'!n2460-'[2]$ лето'!m2460-'[2]$ лето'!l2460+'[2]$ лето'!k2460+'[2]$ лето'!q2460+'[2]$ лето'!w2460+'[2]$ лето'!ac2460+'[2]$ лето'!ai2460+'[2]$ лето'!ao2460</f>
        <v>0</v>
      </c>
      <c r="I2460" s="109" t="n">
        <f aca="false">'[2]$ лето'!ay2460*1.05</f>
        <v>7216.44</v>
      </c>
    </row>
    <row r="2461" customFormat="false" ht="15" hidden="true" customHeight="false" outlineLevel="0" collapsed="false">
      <c r="A2461" s="115" t="s">
        <v>3049</v>
      </c>
      <c r="B2461" s="115" t="s">
        <v>3057</v>
      </c>
      <c r="C2461" s="116" t="s">
        <v>3059</v>
      </c>
      <c r="D2461" s="116"/>
      <c r="E2461" s="116"/>
      <c r="F2461" s="116"/>
      <c r="G2461" s="108"/>
      <c r="H2461" s="105" t="n">
        <f aca="false">'[2]$ лето'!j2461-'[2]$ лето'!au2461-'[2]$ лето'!at2461-'[2]$ лето'!as2461-'[2]$ лето'!ar2461-'[2]$ лето'!aq2461-'[2]$ лето'!ap2461-'[2]$ лето'!an2461-'[2]$ лето'!am2461-'[2]$ лето'!al2461-'[2]$ лето'!ak2461-'[2]$ лето'!aj2461-'[2]$ лето'!ah2461-'[2]$ лето'!ag2461-'[2]$ лето'!af2461-'[2]$ лето'!ae2461-'[2]$ лето'!ad2461-'[2]$ лето'!ab2461-'[2]$ лето'!aa2461-'[2]$ лето'!z2461-'[2]$ лето'!y2461-'[2]$ лето'!x2461-'[2]$ лето'!v2461-'[2]$ лето'!u2461-'[2]$ лето'!t2461-'[2]$ лето'!s2461-'[2]$ лето'!r2461-'[2]$ лето'!p2461-'[2]$ лето'!o2461-'[2]$ лето'!n2461-'[2]$ лето'!m2461-'[2]$ лето'!l2461+'[2]$ лето'!k2461+'[2]$ лето'!q2461+'[2]$ лето'!w2461+'[2]$ лето'!ac2461+'[2]$ лето'!ai2461+'[2]$ лето'!ao2461</f>
        <v>0</v>
      </c>
      <c r="I2461" s="109" t="n">
        <f aca="false">'[2]$ лето'!ay2461*1.05</f>
        <v>7455</v>
      </c>
    </row>
    <row r="2462" customFormat="false" ht="15" hidden="true" customHeight="false" outlineLevel="0" collapsed="false">
      <c r="A2462" s="115" t="s">
        <v>3049</v>
      </c>
      <c r="B2462" s="115" t="s">
        <v>3060</v>
      </c>
      <c r="C2462" s="116" t="s">
        <v>3061</v>
      </c>
      <c r="D2462" s="116"/>
      <c r="E2462" s="116"/>
      <c r="F2462" s="116"/>
      <c r="G2462" s="108"/>
      <c r="H2462" s="105" t="n">
        <f aca="false">'[2]$ лето'!j2462-'[2]$ лето'!au2462-'[2]$ лето'!at2462-'[2]$ лето'!as2462-'[2]$ лето'!ar2462-'[2]$ лето'!aq2462-'[2]$ лето'!ap2462-'[2]$ лето'!an2462-'[2]$ лето'!am2462-'[2]$ лето'!al2462-'[2]$ лето'!ak2462-'[2]$ лето'!aj2462-'[2]$ лето'!ah2462-'[2]$ лето'!ag2462-'[2]$ лето'!af2462-'[2]$ лето'!ae2462-'[2]$ лето'!ad2462-'[2]$ лето'!ab2462-'[2]$ лето'!aa2462-'[2]$ лето'!z2462-'[2]$ лето'!y2462-'[2]$ лето'!x2462-'[2]$ лето'!v2462-'[2]$ лето'!u2462-'[2]$ лето'!t2462-'[2]$ лето'!s2462-'[2]$ лето'!r2462-'[2]$ лето'!p2462-'[2]$ лето'!o2462-'[2]$ лето'!n2462-'[2]$ лето'!m2462-'[2]$ лето'!l2462+'[2]$ лето'!k2462+'[2]$ лето'!q2462+'[2]$ лето'!w2462+'[2]$ лето'!ac2462+'[2]$ лето'!ai2462+'[2]$ лето'!ao2462</f>
        <v>0</v>
      </c>
      <c r="I2462" s="109" t="n">
        <f aca="false">'[2]$ лето'!ay2462*1.05</f>
        <v>6090</v>
      </c>
    </row>
    <row r="2463" customFormat="false" ht="15" hidden="true" customHeight="false" outlineLevel="0" collapsed="false">
      <c r="A2463" s="115" t="s">
        <v>3049</v>
      </c>
      <c r="B2463" s="115" t="s">
        <v>3062</v>
      </c>
      <c r="C2463" s="116" t="s">
        <v>3063</v>
      </c>
      <c r="D2463" s="116"/>
      <c r="E2463" s="116"/>
      <c r="F2463" s="116"/>
      <c r="G2463" s="108"/>
      <c r="H2463" s="105" t="n">
        <f aca="false">'[2]$ лето'!j2463-'[2]$ лето'!au2463-'[2]$ лето'!at2463-'[2]$ лето'!as2463-'[2]$ лето'!ar2463-'[2]$ лето'!aq2463-'[2]$ лето'!ap2463-'[2]$ лето'!an2463-'[2]$ лето'!am2463-'[2]$ лето'!al2463-'[2]$ лето'!ak2463-'[2]$ лето'!aj2463-'[2]$ лето'!ah2463-'[2]$ лето'!ag2463-'[2]$ лето'!af2463-'[2]$ лето'!ae2463-'[2]$ лето'!ad2463-'[2]$ лето'!ab2463-'[2]$ лето'!aa2463-'[2]$ лето'!z2463-'[2]$ лето'!y2463-'[2]$ лето'!x2463-'[2]$ лето'!v2463-'[2]$ лето'!u2463-'[2]$ лето'!t2463-'[2]$ лето'!s2463-'[2]$ лето'!r2463-'[2]$ лето'!p2463-'[2]$ лето'!o2463-'[2]$ лето'!n2463-'[2]$ лето'!m2463-'[2]$ лето'!l2463+'[2]$ лето'!k2463+'[2]$ лето'!q2463+'[2]$ лето'!w2463+'[2]$ лето'!ac2463+'[2]$ лето'!ai2463+'[2]$ лето'!ao2463</f>
        <v>0</v>
      </c>
      <c r="I2463" s="109" t="n">
        <f aca="false">'[2]$ лето'!ay2463*1.05</f>
        <v>6095.25</v>
      </c>
    </row>
    <row r="2464" customFormat="false" ht="15" hidden="false" customHeight="false" outlineLevel="0" collapsed="false">
      <c r="A2464" s="115" t="s">
        <v>3049</v>
      </c>
      <c r="B2464" s="115" t="s">
        <v>2954</v>
      </c>
      <c r="C2464" s="107" t="s">
        <v>3064</v>
      </c>
      <c r="D2464" s="107"/>
      <c r="E2464" s="116"/>
      <c r="F2464" s="116"/>
      <c r="G2464" s="108"/>
      <c r="H2464" s="105" t="n">
        <f aca="false">'[2]$ лето'!j2464-'[2]$ лето'!au2464-'[2]$ лето'!at2464-'[2]$ лето'!as2464-'[2]$ лето'!ar2464-'[2]$ лето'!aq2464-'[2]$ лето'!ap2464-'[2]$ лето'!an2464-'[2]$ лето'!am2464-'[2]$ лето'!al2464-'[2]$ лето'!ak2464-'[2]$ лето'!aj2464-'[2]$ лето'!ah2464-'[2]$ лето'!ag2464-'[2]$ лето'!af2464-'[2]$ лето'!ae2464-'[2]$ лето'!ad2464-'[2]$ лето'!ab2464-'[2]$ лето'!aa2464-'[2]$ лето'!z2464-'[2]$ лето'!y2464-'[2]$ лето'!x2464-'[2]$ лето'!v2464-'[2]$ лето'!u2464-'[2]$ лето'!t2464-'[2]$ лето'!s2464-'[2]$ лето'!r2464-'[2]$ лето'!p2464-'[2]$ лето'!o2464-'[2]$ лето'!n2464-'[2]$ лето'!m2464-'[2]$ лето'!l2464+'[2]$ лето'!k2464+'[2]$ лето'!q2464+'[2]$ лето'!w2464+'[2]$ лето'!ac2464+'[2]$ лето'!ai2464+'[2]$ лето'!ao2464</f>
        <v>4</v>
      </c>
      <c r="I2464" s="109" t="n">
        <f aca="false">'[2]$ лето'!ay2464*1.05</f>
        <v>7350</v>
      </c>
    </row>
    <row r="2465" customFormat="false" ht="15" hidden="true" customHeight="false" outlineLevel="0" collapsed="false">
      <c r="A2465" s="115" t="s">
        <v>3049</v>
      </c>
      <c r="B2465" s="115" t="s">
        <v>568</v>
      </c>
      <c r="C2465" s="107" t="s">
        <v>3065</v>
      </c>
      <c r="D2465" s="107"/>
      <c r="E2465" s="107"/>
      <c r="F2465" s="107"/>
      <c r="G2465" s="108"/>
      <c r="H2465" s="105" t="n">
        <f aca="false">'[2]$ лето'!j2465-'[2]$ лето'!au2465-'[2]$ лето'!at2465-'[2]$ лето'!as2465-'[2]$ лето'!ar2465-'[2]$ лето'!aq2465-'[2]$ лето'!ap2465-'[2]$ лето'!an2465-'[2]$ лето'!am2465-'[2]$ лето'!al2465-'[2]$ лето'!ak2465-'[2]$ лето'!aj2465-'[2]$ лето'!ah2465-'[2]$ лето'!ag2465-'[2]$ лето'!af2465-'[2]$ лето'!ae2465-'[2]$ лето'!ad2465-'[2]$ лето'!ab2465-'[2]$ лето'!aa2465-'[2]$ лето'!z2465-'[2]$ лето'!y2465-'[2]$ лето'!x2465-'[2]$ лето'!v2465-'[2]$ лето'!u2465-'[2]$ лето'!t2465-'[2]$ лето'!s2465-'[2]$ лето'!r2465-'[2]$ лето'!p2465-'[2]$ лето'!o2465-'[2]$ лето'!n2465-'[2]$ лето'!m2465-'[2]$ лето'!l2465+'[2]$ лето'!k2465+'[2]$ лето'!q2465+'[2]$ лето'!w2465+'[2]$ лето'!ac2465+'[2]$ лето'!ai2465+'[2]$ лето'!ao2465</f>
        <v>0</v>
      </c>
      <c r="I2465" s="109" t="n">
        <f aca="false">'[2]$ лето'!ay2465*1.05</f>
        <v>11928</v>
      </c>
    </row>
    <row r="2466" customFormat="false" ht="15" hidden="false" customHeight="false" outlineLevel="0" collapsed="false">
      <c r="A2466" s="115" t="s">
        <v>3049</v>
      </c>
      <c r="B2466" s="115" t="s">
        <v>601</v>
      </c>
      <c r="C2466" s="107" t="s">
        <v>3066</v>
      </c>
      <c r="D2466" s="107"/>
      <c r="E2466" s="116"/>
      <c r="F2466" s="116"/>
      <c r="G2466" s="108" t="s">
        <v>935</v>
      </c>
      <c r="H2466" s="105" t="n">
        <f aca="false">'[2]$ лето'!j2466-'[2]$ лето'!au2466-'[2]$ лето'!at2466-'[2]$ лето'!as2466-'[2]$ лето'!ar2466-'[2]$ лето'!aq2466-'[2]$ лето'!ap2466-'[2]$ лето'!an2466-'[2]$ лето'!am2466-'[2]$ лето'!al2466-'[2]$ лето'!ak2466-'[2]$ лето'!aj2466-'[2]$ лето'!ah2466-'[2]$ лето'!ag2466-'[2]$ лето'!af2466-'[2]$ лето'!ae2466-'[2]$ лето'!ad2466-'[2]$ лето'!ab2466-'[2]$ лето'!aa2466-'[2]$ лето'!z2466-'[2]$ лето'!y2466-'[2]$ лето'!x2466-'[2]$ лето'!v2466-'[2]$ лето'!u2466-'[2]$ лето'!t2466-'[2]$ лето'!s2466-'[2]$ лето'!r2466-'[2]$ лето'!p2466-'[2]$ лето'!o2466-'[2]$ лето'!n2466-'[2]$ лето'!m2466-'[2]$ лето'!l2466+'[2]$ лето'!k2466+'[2]$ лето'!q2466+'[2]$ лето'!w2466+'[2]$ лето'!ac2466+'[2]$ лето'!ai2466+'[2]$ лето'!ao2466</f>
        <v>2</v>
      </c>
      <c r="I2466" s="109" t="n">
        <f aca="false">'[2]$ лето'!ay2466*1.05</f>
        <v>13120.8</v>
      </c>
    </row>
    <row r="2467" customFormat="false" ht="15" hidden="true" customHeight="false" outlineLevel="0" collapsed="false">
      <c r="A2467" s="115" t="s">
        <v>3049</v>
      </c>
      <c r="B2467" s="115" t="s">
        <v>601</v>
      </c>
      <c r="C2467" s="107" t="s">
        <v>3067</v>
      </c>
      <c r="D2467" s="107"/>
      <c r="E2467" s="116"/>
      <c r="F2467" s="116"/>
      <c r="G2467" s="108" t="s">
        <v>935</v>
      </c>
      <c r="H2467" s="105" t="n">
        <f aca="false">'[2]$ лето'!j2467-'[2]$ лето'!au2467-'[2]$ лето'!at2467-'[2]$ лето'!as2467-'[2]$ лето'!ar2467-'[2]$ лето'!aq2467-'[2]$ лето'!ap2467-'[2]$ лето'!an2467-'[2]$ лето'!am2467-'[2]$ лето'!al2467-'[2]$ лето'!ak2467-'[2]$ лето'!aj2467-'[2]$ лето'!ah2467-'[2]$ лето'!ag2467-'[2]$ лето'!af2467-'[2]$ лето'!ae2467-'[2]$ лето'!ad2467-'[2]$ лето'!ab2467-'[2]$ лето'!aa2467-'[2]$ лето'!z2467-'[2]$ лето'!y2467-'[2]$ лето'!x2467-'[2]$ лето'!v2467-'[2]$ лето'!u2467-'[2]$ лето'!t2467-'[2]$ лето'!s2467-'[2]$ лето'!r2467-'[2]$ лето'!p2467-'[2]$ лето'!o2467-'[2]$ лето'!n2467-'[2]$ лето'!m2467-'[2]$ лето'!l2467+'[2]$ лето'!k2467+'[2]$ лето'!q2467+'[2]$ лето'!w2467+'[2]$ лето'!ac2467+'[2]$ лето'!ai2467+'[2]$ лето'!ao2467</f>
        <v>0</v>
      </c>
      <c r="I2467" s="109" t="n">
        <f aca="false">'[2]$ лето'!ay2467*1.05</f>
        <v>11928</v>
      </c>
      <c r="J2467" s="85" t="n">
        <v>2018</v>
      </c>
    </row>
    <row r="2468" customFormat="false" ht="15" hidden="true" customHeight="false" outlineLevel="0" collapsed="false">
      <c r="A2468" s="115" t="s">
        <v>3049</v>
      </c>
      <c r="B2468" s="115" t="s">
        <v>601</v>
      </c>
      <c r="C2468" s="107" t="s">
        <v>3067</v>
      </c>
      <c r="D2468" s="107"/>
      <c r="E2468" s="107"/>
      <c r="F2468" s="107"/>
      <c r="G2468" s="108" t="s">
        <v>663</v>
      </c>
      <c r="H2468" s="105" t="n">
        <f aca="false">'[2]$ лето'!j2468-'[2]$ лето'!au2468-'[2]$ лето'!at2468-'[2]$ лето'!as2468-'[2]$ лето'!ar2468-'[2]$ лето'!aq2468-'[2]$ лето'!ap2468-'[2]$ лето'!an2468-'[2]$ лето'!am2468-'[2]$ лето'!al2468-'[2]$ лето'!ak2468-'[2]$ лето'!aj2468-'[2]$ лето'!ah2468-'[2]$ лето'!ag2468-'[2]$ лето'!af2468-'[2]$ лето'!ae2468-'[2]$ лето'!ad2468-'[2]$ лето'!ab2468-'[2]$ лето'!aa2468-'[2]$ лето'!z2468-'[2]$ лето'!y2468-'[2]$ лето'!x2468-'[2]$ лето'!v2468-'[2]$ лето'!u2468-'[2]$ лето'!t2468-'[2]$ лето'!s2468-'[2]$ лето'!r2468-'[2]$ лето'!p2468-'[2]$ лето'!o2468-'[2]$ лето'!n2468-'[2]$ лето'!m2468-'[2]$ лето'!l2468+'[2]$ лето'!k2468+'[2]$ лето'!q2468+'[2]$ лето'!w2468+'[2]$ лето'!ac2468+'[2]$ лето'!ai2468+'[2]$ лето'!ao2468</f>
        <v>0</v>
      </c>
      <c r="I2468" s="109" t="n">
        <f aca="false">'[2]$ лето'!ay2468*1.05</f>
        <v>11331.6</v>
      </c>
      <c r="J2468" s="85" t="n">
        <v>2015</v>
      </c>
    </row>
    <row r="2469" customFormat="false" ht="15" hidden="true" customHeight="false" outlineLevel="0" collapsed="false">
      <c r="A2469" s="115" t="s">
        <v>3049</v>
      </c>
      <c r="B2469" s="115" t="s">
        <v>3068</v>
      </c>
      <c r="C2469" s="107" t="s">
        <v>3069</v>
      </c>
      <c r="D2469" s="107"/>
      <c r="E2469" s="107"/>
      <c r="F2469" s="107"/>
      <c r="G2469" s="108"/>
      <c r="H2469" s="105" t="n">
        <f aca="false">'[2]$ лето'!j2469-'[2]$ лето'!au2469-'[2]$ лето'!at2469-'[2]$ лето'!as2469-'[2]$ лето'!ar2469-'[2]$ лето'!aq2469-'[2]$ лето'!ap2469-'[2]$ лето'!an2469-'[2]$ лето'!am2469-'[2]$ лето'!al2469-'[2]$ лето'!ak2469-'[2]$ лето'!aj2469-'[2]$ лето'!ah2469-'[2]$ лето'!ag2469-'[2]$ лето'!af2469-'[2]$ лето'!ae2469-'[2]$ лето'!ad2469-'[2]$ лето'!ab2469-'[2]$ лето'!aa2469-'[2]$ лето'!z2469-'[2]$ лето'!y2469-'[2]$ лето'!x2469-'[2]$ лето'!v2469-'[2]$ лето'!u2469-'[2]$ лето'!t2469-'[2]$ лето'!s2469-'[2]$ лето'!r2469-'[2]$ лето'!p2469-'[2]$ лето'!o2469-'[2]$ лето'!n2469-'[2]$ лето'!m2469-'[2]$ лето'!l2469+'[2]$ лето'!k2469+'[2]$ лето'!q2469+'[2]$ лето'!w2469+'[2]$ лето'!ac2469+'[2]$ лето'!ai2469+'[2]$ лето'!ao2469</f>
        <v>0</v>
      </c>
      <c r="I2469" s="109" t="n">
        <f aca="false">'[2]$ лето'!ay2469*1.05</f>
        <v>5827.5</v>
      </c>
    </row>
    <row r="2470" customFormat="false" ht="15" hidden="true" customHeight="false" outlineLevel="0" collapsed="false">
      <c r="A2470" s="115" t="s">
        <v>3049</v>
      </c>
      <c r="B2470" s="115" t="s">
        <v>3070</v>
      </c>
      <c r="C2470" s="107" t="s">
        <v>3071</v>
      </c>
      <c r="D2470" s="107"/>
      <c r="E2470" s="107"/>
      <c r="F2470" s="107"/>
      <c r="G2470" s="108"/>
      <c r="H2470" s="105" t="n">
        <f aca="false">'[2]$ лето'!j2470-'[2]$ лето'!au2470-'[2]$ лето'!at2470-'[2]$ лето'!as2470-'[2]$ лето'!ar2470-'[2]$ лето'!aq2470-'[2]$ лето'!ap2470-'[2]$ лето'!an2470-'[2]$ лето'!am2470-'[2]$ лето'!al2470-'[2]$ лето'!ak2470-'[2]$ лето'!aj2470-'[2]$ лето'!ah2470-'[2]$ лето'!ag2470-'[2]$ лето'!af2470-'[2]$ лето'!ae2470-'[2]$ лето'!ad2470-'[2]$ лето'!ab2470-'[2]$ лето'!aa2470-'[2]$ лето'!z2470-'[2]$ лето'!y2470-'[2]$ лето'!x2470-'[2]$ лето'!v2470-'[2]$ лето'!u2470-'[2]$ лето'!t2470-'[2]$ лето'!s2470-'[2]$ лето'!r2470-'[2]$ лето'!p2470-'[2]$ лето'!o2470-'[2]$ лето'!n2470-'[2]$ лето'!m2470-'[2]$ лето'!l2470+'[2]$ лето'!k2470+'[2]$ лето'!q2470+'[2]$ лето'!w2470+'[2]$ лето'!ac2470+'[2]$ лето'!ai2470+'[2]$ лето'!ao2470</f>
        <v>0</v>
      </c>
      <c r="I2470" s="109" t="n">
        <f aca="false">'[2]$ лето'!ay2470*1.05</f>
        <v>6090</v>
      </c>
    </row>
    <row r="2471" customFormat="false" ht="15" hidden="true" customHeight="false" outlineLevel="0" collapsed="false">
      <c r="A2471" s="115" t="s">
        <v>3049</v>
      </c>
      <c r="B2471" s="115" t="s">
        <v>3072</v>
      </c>
      <c r="C2471" s="107" t="s">
        <v>3073</v>
      </c>
      <c r="D2471" s="107"/>
      <c r="E2471" s="107"/>
      <c r="F2471" s="107"/>
      <c r="G2471" s="108"/>
      <c r="H2471" s="105" t="n">
        <f aca="false">'[2]$ лето'!j2471-'[2]$ лето'!au2471-'[2]$ лето'!at2471-'[2]$ лето'!as2471-'[2]$ лето'!ar2471-'[2]$ лето'!aq2471-'[2]$ лето'!ap2471-'[2]$ лето'!an2471-'[2]$ лето'!am2471-'[2]$ лето'!al2471-'[2]$ лето'!ak2471-'[2]$ лето'!aj2471-'[2]$ лето'!ah2471-'[2]$ лето'!ag2471-'[2]$ лето'!af2471-'[2]$ лето'!ae2471-'[2]$ лето'!ad2471-'[2]$ лето'!ab2471-'[2]$ лето'!aa2471-'[2]$ лето'!z2471-'[2]$ лето'!y2471-'[2]$ лето'!x2471-'[2]$ лето'!v2471-'[2]$ лето'!u2471-'[2]$ лето'!t2471-'[2]$ лето'!s2471-'[2]$ лето'!r2471-'[2]$ лето'!p2471-'[2]$ лето'!o2471-'[2]$ лето'!n2471-'[2]$ лето'!m2471-'[2]$ лето'!l2471+'[2]$ лето'!k2471+'[2]$ лето'!q2471+'[2]$ лето'!w2471+'[2]$ лето'!ac2471+'[2]$ лето'!ai2471+'[2]$ лето'!ao2471</f>
        <v>0</v>
      </c>
      <c r="I2471" s="109" t="n">
        <f aca="false">'[2]$ лето'!ay2471*1.05</f>
        <v>5880</v>
      </c>
    </row>
    <row r="2472" customFormat="false" ht="15" hidden="true" customHeight="false" outlineLevel="0" collapsed="false">
      <c r="A2472" s="115" t="s">
        <v>3049</v>
      </c>
      <c r="B2472" s="115" t="s">
        <v>2710</v>
      </c>
      <c r="C2472" s="107" t="s">
        <v>3074</v>
      </c>
      <c r="D2472" s="107"/>
      <c r="E2472" s="107"/>
      <c r="F2472" s="107"/>
      <c r="G2472" s="108"/>
      <c r="H2472" s="105" t="n">
        <f aca="false">'[2]$ лето'!j2472-'[2]$ лето'!au2472-'[2]$ лето'!at2472-'[2]$ лето'!as2472-'[2]$ лето'!ar2472-'[2]$ лето'!aq2472-'[2]$ лето'!ap2472-'[2]$ лето'!an2472-'[2]$ лето'!am2472-'[2]$ лето'!al2472-'[2]$ лето'!ak2472-'[2]$ лето'!aj2472-'[2]$ лето'!ah2472-'[2]$ лето'!ag2472-'[2]$ лето'!af2472-'[2]$ лето'!ae2472-'[2]$ лето'!ad2472-'[2]$ лето'!ab2472-'[2]$ лето'!aa2472-'[2]$ лето'!z2472-'[2]$ лето'!y2472-'[2]$ лето'!x2472-'[2]$ лето'!v2472-'[2]$ лето'!u2472-'[2]$ лето'!t2472-'[2]$ лето'!s2472-'[2]$ лето'!r2472-'[2]$ лето'!p2472-'[2]$ лето'!o2472-'[2]$ лето'!n2472-'[2]$ лето'!m2472-'[2]$ лето'!l2472+'[2]$ лето'!k2472+'[2]$ лето'!q2472+'[2]$ лето'!w2472+'[2]$ лето'!ac2472+'[2]$ лето'!ai2472+'[2]$ лето'!ao2472</f>
        <v>0</v>
      </c>
      <c r="I2472" s="109" t="n">
        <f aca="false">'[2]$ лето'!ay2472*1.05</f>
        <v>7276.08</v>
      </c>
    </row>
    <row r="2473" customFormat="false" ht="15" hidden="false" customHeight="false" outlineLevel="0" collapsed="false">
      <c r="A2473" s="115" t="s">
        <v>3049</v>
      </c>
      <c r="B2473" s="115" t="s">
        <v>2710</v>
      </c>
      <c r="C2473" s="107" t="s">
        <v>3075</v>
      </c>
      <c r="D2473" s="107"/>
      <c r="E2473" s="116"/>
      <c r="F2473" s="116"/>
      <c r="G2473" s="108"/>
      <c r="H2473" s="105" t="n">
        <f aca="false">'[2]$ лето'!j2473-'[2]$ лето'!au2473-'[2]$ лето'!at2473-'[2]$ лето'!as2473-'[2]$ лето'!ar2473-'[2]$ лето'!aq2473-'[2]$ лето'!ap2473-'[2]$ лето'!an2473-'[2]$ лето'!am2473-'[2]$ лето'!al2473-'[2]$ лето'!ak2473-'[2]$ лето'!aj2473-'[2]$ лето'!ah2473-'[2]$ лето'!ag2473-'[2]$ лето'!af2473-'[2]$ лето'!ae2473-'[2]$ лето'!ad2473-'[2]$ лето'!ab2473-'[2]$ лето'!aa2473-'[2]$ лето'!z2473-'[2]$ лето'!y2473-'[2]$ лето'!x2473-'[2]$ лето'!v2473-'[2]$ лето'!u2473-'[2]$ лето'!t2473-'[2]$ лето'!s2473-'[2]$ лето'!r2473-'[2]$ лето'!p2473-'[2]$ лето'!o2473-'[2]$ лето'!n2473-'[2]$ лето'!m2473-'[2]$ лето'!l2473+'[2]$ лето'!k2473+'[2]$ лето'!q2473+'[2]$ лето'!w2473+'[2]$ лето'!ac2473+'[2]$ лето'!ai2473+'[2]$ лето'!ao2473</f>
        <v>2</v>
      </c>
      <c r="I2473" s="109" t="n">
        <f aca="false">'[2]$ лето'!ay2473*1.05</f>
        <v>7560</v>
      </c>
    </row>
    <row r="2474" customFormat="false" ht="15" hidden="true" customHeight="false" outlineLevel="0" collapsed="false">
      <c r="A2474" s="115" t="s">
        <v>3049</v>
      </c>
      <c r="B2474" s="115" t="s">
        <v>707</v>
      </c>
      <c r="C2474" s="107" t="s">
        <v>3076</v>
      </c>
      <c r="D2474" s="107"/>
      <c r="E2474" s="107"/>
      <c r="F2474" s="107"/>
      <c r="G2474" s="108" t="s">
        <v>868</v>
      </c>
      <c r="H2474" s="105" t="n">
        <f aca="false">'[2]$ лето'!j2474-'[2]$ лето'!au2474-'[2]$ лето'!at2474-'[2]$ лето'!as2474-'[2]$ лето'!ar2474-'[2]$ лето'!aq2474-'[2]$ лето'!ap2474-'[2]$ лето'!an2474-'[2]$ лето'!am2474-'[2]$ лето'!al2474-'[2]$ лето'!ak2474-'[2]$ лето'!aj2474-'[2]$ лето'!ah2474-'[2]$ лето'!ag2474-'[2]$ лето'!af2474-'[2]$ лето'!ae2474-'[2]$ лето'!ad2474-'[2]$ лето'!ab2474-'[2]$ лето'!aa2474-'[2]$ лето'!z2474-'[2]$ лето'!y2474-'[2]$ лето'!x2474-'[2]$ лето'!v2474-'[2]$ лето'!u2474-'[2]$ лето'!t2474-'[2]$ лето'!s2474-'[2]$ лето'!r2474-'[2]$ лето'!p2474-'[2]$ лето'!o2474-'[2]$ лето'!n2474-'[2]$ лето'!m2474-'[2]$ лето'!l2474+'[2]$ лето'!k2474+'[2]$ лето'!q2474+'[2]$ лето'!w2474+'[2]$ лето'!ac2474+'[2]$ лето'!ai2474+'[2]$ лето'!ao2474</f>
        <v>0</v>
      </c>
      <c r="I2474" s="109" t="n">
        <f aca="false">'[2]$ лето'!ay2474*1.05</f>
        <v>10735.2</v>
      </c>
    </row>
    <row r="2475" customFormat="false" ht="15" hidden="true" customHeight="false" outlineLevel="0" collapsed="false">
      <c r="A2475" s="115" t="s">
        <v>3049</v>
      </c>
      <c r="B2475" s="115" t="s">
        <v>707</v>
      </c>
      <c r="C2475" s="107" t="s">
        <v>3076</v>
      </c>
      <c r="D2475" s="107"/>
      <c r="E2475" s="107"/>
      <c r="F2475" s="107"/>
      <c r="G2475" s="108" t="s">
        <v>1127</v>
      </c>
      <c r="H2475" s="105" t="n">
        <f aca="false">'[2]$ лето'!j2475-'[2]$ лето'!au2475-'[2]$ лето'!at2475-'[2]$ лето'!as2475-'[2]$ лето'!ar2475-'[2]$ лето'!aq2475-'[2]$ лето'!ap2475-'[2]$ лето'!an2475-'[2]$ лето'!am2475-'[2]$ лето'!al2475-'[2]$ лето'!ak2475-'[2]$ лето'!aj2475-'[2]$ лето'!ah2475-'[2]$ лето'!ag2475-'[2]$ лето'!af2475-'[2]$ лето'!ae2475-'[2]$ лето'!ad2475-'[2]$ лето'!ab2475-'[2]$ лето'!aa2475-'[2]$ лето'!z2475-'[2]$ лето'!y2475-'[2]$ лето'!x2475-'[2]$ лето'!v2475-'[2]$ лето'!u2475-'[2]$ лето'!t2475-'[2]$ лето'!s2475-'[2]$ лето'!r2475-'[2]$ лето'!p2475-'[2]$ лето'!o2475-'[2]$ лето'!n2475-'[2]$ лето'!m2475-'[2]$ лето'!l2475+'[2]$ лето'!k2475+'[2]$ лето'!q2475+'[2]$ лето'!w2475+'[2]$ лето'!ac2475+'[2]$ лето'!ai2475+'[2]$ лето'!ao2475</f>
        <v>0</v>
      </c>
      <c r="I2475" s="109" t="n">
        <f aca="false">'[2]$ лето'!ay2475*1.05</f>
        <v>10258.08</v>
      </c>
    </row>
    <row r="2476" customFormat="false" ht="15" hidden="false" customHeight="false" outlineLevel="0" collapsed="false">
      <c r="A2476" s="115" t="s">
        <v>3049</v>
      </c>
      <c r="B2476" s="115" t="s">
        <v>707</v>
      </c>
      <c r="C2476" s="116" t="s">
        <v>3077</v>
      </c>
      <c r="D2476" s="116"/>
      <c r="E2476" s="116"/>
      <c r="F2476" s="116"/>
      <c r="G2476" s="108" t="s">
        <v>2959</v>
      </c>
      <c r="H2476" s="105" t="n">
        <f aca="false">'[2]$ лето'!j2476-'[2]$ лето'!au2476-'[2]$ лето'!at2476-'[2]$ лето'!as2476-'[2]$ лето'!ar2476-'[2]$ лето'!aq2476-'[2]$ лето'!ap2476-'[2]$ лето'!an2476-'[2]$ лето'!am2476-'[2]$ лето'!al2476-'[2]$ лето'!ak2476-'[2]$ лето'!aj2476-'[2]$ лето'!ah2476-'[2]$ лето'!ag2476-'[2]$ лето'!af2476-'[2]$ лето'!ae2476-'[2]$ лето'!ad2476-'[2]$ лето'!ab2476-'[2]$ лето'!aa2476-'[2]$ лето'!z2476-'[2]$ лето'!y2476-'[2]$ лето'!x2476-'[2]$ лето'!v2476-'[2]$ лето'!u2476-'[2]$ лето'!t2476-'[2]$ лето'!s2476-'[2]$ лето'!r2476-'[2]$ лето'!p2476-'[2]$ лето'!o2476-'[2]$ лето'!n2476-'[2]$ лето'!m2476-'[2]$ лето'!l2476+'[2]$ лето'!k2476+'[2]$ лето'!q2476+'[2]$ лето'!w2476+'[2]$ лето'!ac2476+'[2]$ лето'!ai2476+'[2]$ лето'!ao2476</f>
        <v>10</v>
      </c>
      <c r="I2476" s="109" t="n">
        <f aca="false">'[2]$ лето'!ay2476*1.05</f>
        <v>12822.6</v>
      </c>
      <c r="J2476" s="85" t="n">
        <v>2018</v>
      </c>
    </row>
    <row r="2477" customFormat="false" ht="15" hidden="false" customHeight="false" outlineLevel="0" collapsed="false">
      <c r="A2477" s="115" t="s">
        <v>3049</v>
      </c>
      <c r="B2477" s="115" t="s">
        <v>707</v>
      </c>
      <c r="C2477" s="116" t="s">
        <v>3078</v>
      </c>
      <c r="D2477" s="116"/>
      <c r="E2477" s="116"/>
      <c r="F2477" s="116"/>
      <c r="G2477" s="108" t="s">
        <v>843</v>
      </c>
      <c r="H2477" s="105" t="n">
        <f aca="false">'[2]$ лето'!j2477-'[2]$ лето'!au2477-'[2]$ лето'!at2477-'[2]$ лето'!as2477-'[2]$ лето'!ar2477-'[2]$ лето'!aq2477-'[2]$ лето'!ap2477-'[2]$ лето'!an2477-'[2]$ лето'!am2477-'[2]$ лето'!al2477-'[2]$ лето'!ak2477-'[2]$ лето'!aj2477-'[2]$ лето'!ah2477-'[2]$ лето'!ag2477-'[2]$ лето'!af2477-'[2]$ лето'!ae2477-'[2]$ лето'!ad2477-'[2]$ лето'!ab2477-'[2]$ лето'!aa2477-'[2]$ лето'!z2477-'[2]$ лето'!y2477-'[2]$ лето'!x2477-'[2]$ лето'!v2477-'[2]$ лето'!u2477-'[2]$ лето'!t2477-'[2]$ лето'!s2477-'[2]$ лето'!r2477-'[2]$ лето'!p2477-'[2]$ лето'!o2477-'[2]$ лето'!n2477-'[2]$ лето'!m2477-'[2]$ лето'!l2477+'[2]$ лето'!k2477+'[2]$ лето'!q2477+'[2]$ лето'!w2477+'[2]$ лето'!ac2477+'[2]$ лето'!ai2477+'[2]$ лето'!ao2477</f>
        <v>11</v>
      </c>
      <c r="I2477" s="109" t="n">
        <f aca="false">'[2]$ лето'!ay2477*1.05</f>
        <v>11480.7</v>
      </c>
      <c r="J2477" s="85" t="n">
        <v>2017</v>
      </c>
    </row>
    <row r="2478" customFormat="false" ht="15" hidden="false" customHeight="false" outlineLevel="0" collapsed="false">
      <c r="A2478" s="115" t="s">
        <v>3049</v>
      </c>
      <c r="B2478" s="115" t="s">
        <v>553</v>
      </c>
      <c r="C2478" s="116" t="s">
        <v>3079</v>
      </c>
      <c r="D2478" s="116" t="s">
        <v>2774</v>
      </c>
      <c r="E2478" s="116"/>
      <c r="F2478" s="116"/>
      <c r="G2478" s="108"/>
      <c r="H2478" s="105" t="n">
        <f aca="false">'[2]$ лето'!j2478-'[2]$ лето'!au2478-'[2]$ лето'!at2478-'[2]$ лето'!as2478-'[2]$ лето'!ar2478-'[2]$ лето'!aq2478-'[2]$ лето'!ap2478-'[2]$ лето'!an2478-'[2]$ лето'!am2478-'[2]$ лето'!al2478-'[2]$ лето'!ak2478-'[2]$ лето'!aj2478-'[2]$ лето'!ah2478-'[2]$ лето'!ag2478-'[2]$ лето'!af2478-'[2]$ лето'!ae2478-'[2]$ лето'!ad2478-'[2]$ лето'!ab2478-'[2]$ лето'!aa2478-'[2]$ лето'!z2478-'[2]$ лето'!y2478-'[2]$ лето'!x2478-'[2]$ лето'!v2478-'[2]$ лето'!u2478-'[2]$ лето'!t2478-'[2]$ лето'!s2478-'[2]$ лето'!r2478-'[2]$ лето'!p2478-'[2]$ лето'!o2478-'[2]$ лето'!n2478-'[2]$ лето'!m2478-'[2]$ лето'!l2478+'[2]$ лето'!k2478+'[2]$ лето'!q2478+'[2]$ лето'!w2478+'[2]$ лето'!ac2478+'[2]$ лето'!ai2478+'[2]$ лето'!ao2478</f>
        <v>10</v>
      </c>
      <c r="I2478" s="109" t="n">
        <f aca="false">'[2]$ лето'!ay2478*1.05</f>
        <v>10138.8</v>
      </c>
    </row>
    <row r="2479" customFormat="false" ht="15" hidden="true" customHeight="false" outlineLevel="0" collapsed="false">
      <c r="A2479" s="115" t="s">
        <v>3049</v>
      </c>
      <c r="B2479" s="115" t="s">
        <v>3080</v>
      </c>
      <c r="C2479" s="116" t="s">
        <v>3081</v>
      </c>
      <c r="D2479" s="116"/>
      <c r="E2479" s="116"/>
      <c r="F2479" s="116"/>
      <c r="G2479" s="108"/>
      <c r="H2479" s="105" t="n">
        <f aca="false">'[2]$ лето'!j2479-'[2]$ лето'!au2479-'[2]$ лето'!at2479-'[2]$ лето'!as2479-'[2]$ лето'!ar2479-'[2]$ лето'!aq2479-'[2]$ лето'!ap2479-'[2]$ лето'!an2479-'[2]$ лето'!am2479-'[2]$ лето'!al2479-'[2]$ лето'!ak2479-'[2]$ лето'!aj2479-'[2]$ лето'!ah2479-'[2]$ лето'!ag2479-'[2]$ лето'!af2479-'[2]$ лето'!ae2479-'[2]$ лето'!ad2479-'[2]$ лето'!ab2479-'[2]$ лето'!aa2479-'[2]$ лето'!z2479-'[2]$ лето'!y2479-'[2]$ лето'!x2479-'[2]$ лето'!v2479-'[2]$ лето'!u2479-'[2]$ лето'!t2479-'[2]$ лето'!s2479-'[2]$ лето'!r2479-'[2]$ лето'!p2479-'[2]$ лето'!o2479-'[2]$ лето'!n2479-'[2]$ лето'!m2479-'[2]$ лето'!l2479+'[2]$ лето'!k2479+'[2]$ лето'!q2479+'[2]$ лето'!w2479+'[2]$ лето'!ac2479+'[2]$ лето'!ai2479+'[2]$ лето'!ao2479</f>
        <v>0</v>
      </c>
      <c r="I2479" s="109" t="n">
        <f aca="false">'[2]$ лето'!ay2479*1.05</f>
        <v>6142.5</v>
      </c>
    </row>
    <row r="2480" customFormat="false" ht="15" hidden="true" customHeight="false" outlineLevel="0" collapsed="false">
      <c r="A2480" s="115" t="s">
        <v>3049</v>
      </c>
      <c r="B2480" s="115" t="s">
        <v>2860</v>
      </c>
      <c r="C2480" s="116" t="s">
        <v>3050</v>
      </c>
      <c r="D2480" s="116"/>
      <c r="E2480" s="116"/>
      <c r="F2480" s="116"/>
      <c r="G2480" s="108"/>
      <c r="H2480" s="105" t="n">
        <f aca="false">'[2]$ лето'!j2480-'[2]$ лето'!au2480-'[2]$ лето'!at2480-'[2]$ лето'!as2480-'[2]$ лето'!ar2480-'[2]$ лето'!aq2480-'[2]$ лето'!ap2480-'[2]$ лето'!an2480-'[2]$ лето'!am2480-'[2]$ лето'!al2480-'[2]$ лето'!ak2480-'[2]$ лето'!aj2480-'[2]$ лето'!ah2480-'[2]$ лето'!ag2480-'[2]$ лето'!af2480-'[2]$ лето'!ae2480-'[2]$ лето'!ad2480-'[2]$ лето'!ab2480-'[2]$ лето'!aa2480-'[2]$ лето'!z2480-'[2]$ лето'!y2480-'[2]$ лето'!x2480-'[2]$ лето'!v2480-'[2]$ лето'!u2480-'[2]$ лето'!t2480-'[2]$ лето'!s2480-'[2]$ лето'!r2480-'[2]$ лето'!p2480-'[2]$ лето'!o2480-'[2]$ лето'!n2480-'[2]$ лето'!m2480-'[2]$ лето'!l2480+'[2]$ лето'!k2480+'[2]$ лето'!q2480+'[2]$ лето'!w2480+'[2]$ лето'!ac2480+'[2]$ лето'!ai2480+'[2]$ лето'!ao2480</f>
        <v>0</v>
      </c>
      <c r="I2480" s="109" t="n">
        <f aca="false">'[2]$ лето'!ay2480*1.05</f>
        <v>6247.5</v>
      </c>
    </row>
    <row r="2481" customFormat="false" ht="15" hidden="false" customHeight="false" outlineLevel="0" collapsed="false">
      <c r="A2481" s="115" t="s">
        <v>3049</v>
      </c>
      <c r="B2481" s="115" t="s">
        <v>3082</v>
      </c>
      <c r="C2481" s="116" t="s">
        <v>3083</v>
      </c>
      <c r="D2481" s="116"/>
      <c r="E2481" s="116"/>
      <c r="F2481" s="116"/>
      <c r="G2481" s="108"/>
      <c r="H2481" s="105" t="n">
        <f aca="false">'[2]$ лето'!j2481-'[2]$ лето'!au2481-'[2]$ лето'!at2481-'[2]$ лето'!as2481-'[2]$ лето'!ar2481-'[2]$ лето'!aq2481-'[2]$ лето'!ap2481-'[2]$ лето'!an2481-'[2]$ лето'!am2481-'[2]$ лето'!al2481-'[2]$ лето'!ak2481-'[2]$ лето'!aj2481-'[2]$ лето'!ah2481-'[2]$ лето'!ag2481-'[2]$ лето'!af2481-'[2]$ лето'!ae2481-'[2]$ лето'!ad2481-'[2]$ лето'!ab2481-'[2]$ лето'!aa2481-'[2]$ лето'!z2481-'[2]$ лето'!y2481-'[2]$ лето'!x2481-'[2]$ лето'!v2481-'[2]$ лето'!u2481-'[2]$ лето'!t2481-'[2]$ лето'!s2481-'[2]$ лето'!r2481-'[2]$ лето'!p2481-'[2]$ лето'!o2481-'[2]$ лето'!n2481-'[2]$ лето'!m2481-'[2]$ лето'!l2481+'[2]$ лето'!k2481+'[2]$ лето'!q2481+'[2]$ лето'!w2481+'[2]$ лето'!ac2481+'[2]$ лето'!ai2481+'[2]$ лето'!ao2481</f>
        <v>20</v>
      </c>
      <c r="I2481" s="109" t="n">
        <f aca="false">'[2]$ лето'!ay2481*1.05</f>
        <v>6405</v>
      </c>
      <c r="J2481" s="85" t="s">
        <v>3084</v>
      </c>
    </row>
    <row r="2482" customFormat="false" ht="15" hidden="true" customHeight="false" outlineLevel="0" collapsed="false">
      <c r="A2482" s="115" t="s">
        <v>3049</v>
      </c>
      <c r="B2482" s="115" t="s">
        <v>2286</v>
      </c>
      <c r="C2482" s="116" t="s">
        <v>3085</v>
      </c>
      <c r="D2482" s="116"/>
      <c r="E2482" s="116"/>
      <c r="F2482" s="116"/>
      <c r="G2482" s="108" t="s">
        <v>2959</v>
      </c>
      <c r="H2482" s="105" t="n">
        <f aca="false">'[2]$ лето'!j2482-'[2]$ лето'!au2482-'[2]$ лето'!at2482-'[2]$ лето'!as2482-'[2]$ лето'!ar2482-'[2]$ лето'!aq2482-'[2]$ лето'!ap2482-'[2]$ лето'!an2482-'[2]$ лето'!am2482-'[2]$ лето'!al2482-'[2]$ лето'!ak2482-'[2]$ лето'!aj2482-'[2]$ лето'!ah2482-'[2]$ лето'!ag2482-'[2]$ лето'!af2482-'[2]$ лето'!ae2482-'[2]$ лето'!ad2482-'[2]$ лето'!ab2482-'[2]$ лето'!aa2482-'[2]$ лето'!z2482-'[2]$ лето'!y2482-'[2]$ лето'!x2482-'[2]$ лето'!v2482-'[2]$ лето'!u2482-'[2]$ лето'!t2482-'[2]$ лето'!s2482-'[2]$ лето'!r2482-'[2]$ лето'!p2482-'[2]$ лето'!o2482-'[2]$ лето'!n2482-'[2]$ лето'!m2482-'[2]$ лето'!l2482+'[2]$ лето'!k2482+'[2]$ лето'!q2482+'[2]$ лето'!w2482+'[2]$ лето'!ac2482+'[2]$ лето'!ai2482+'[2]$ лето'!ao2482</f>
        <v>0</v>
      </c>
      <c r="I2482" s="109" t="n">
        <f aca="false">'[2]$ лето'!ay2482*1.05</f>
        <v>13120.8</v>
      </c>
    </row>
    <row r="2483" customFormat="false" ht="15" hidden="true" customHeight="false" outlineLevel="0" collapsed="false">
      <c r="A2483" s="115" t="s">
        <v>3049</v>
      </c>
      <c r="B2483" s="115" t="s">
        <v>2286</v>
      </c>
      <c r="C2483" s="116" t="s">
        <v>3086</v>
      </c>
      <c r="D2483" s="116"/>
      <c r="E2483" s="116"/>
      <c r="F2483" s="116"/>
      <c r="G2483" s="108" t="s">
        <v>868</v>
      </c>
      <c r="H2483" s="105" t="n">
        <f aca="false">'[2]$ лето'!j2483-'[2]$ лето'!au2483-'[2]$ лето'!at2483-'[2]$ лето'!as2483-'[2]$ лето'!ar2483-'[2]$ лето'!aq2483-'[2]$ лето'!ap2483-'[2]$ лето'!an2483-'[2]$ лето'!am2483-'[2]$ лето'!al2483-'[2]$ лето'!ak2483-'[2]$ лето'!aj2483-'[2]$ лето'!ah2483-'[2]$ лето'!ag2483-'[2]$ лето'!af2483-'[2]$ лето'!ae2483-'[2]$ лето'!ad2483-'[2]$ лето'!ab2483-'[2]$ лето'!aa2483-'[2]$ лето'!z2483-'[2]$ лето'!y2483-'[2]$ лето'!x2483-'[2]$ лето'!v2483-'[2]$ лето'!u2483-'[2]$ лето'!t2483-'[2]$ лето'!s2483-'[2]$ лето'!r2483-'[2]$ лето'!p2483-'[2]$ лето'!o2483-'[2]$ лето'!n2483-'[2]$ лето'!m2483-'[2]$ лето'!l2483+'[2]$ лето'!k2483+'[2]$ лето'!q2483+'[2]$ лето'!w2483+'[2]$ лето'!ac2483+'[2]$ лето'!ai2483+'[2]$ лето'!ao2483</f>
        <v>0</v>
      </c>
      <c r="I2483" s="109" t="n">
        <f aca="false">'[2]$ лето'!ay2483*1.05</f>
        <v>11182.5</v>
      </c>
    </row>
    <row r="2484" customFormat="false" ht="15" hidden="true" customHeight="false" outlineLevel="0" collapsed="false">
      <c r="A2484" s="115" t="s">
        <v>3049</v>
      </c>
      <c r="B2484" s="115" t="s">
        <v>3087</v>
      </c>
      <c r="C2484" s="116" t="s">
        <v>3088</v>
      </c>
      <c r="D2484" s="116"/>
      <c r="E2484" s="116"/>
      <c r="F2484" s="116"/>
      <c r="G2484" s="108"/>
      <c r="H2484" s="105" t="n">
        <f aca="false">'[2]$ лето'!j2484-'[2]$ лето'!au2484-'[2]$ лето'!at2484-'[2]$ лето'!as2484-'[2]$ лето'!ar2484-'[2]$ лето'!aq2484-'[2]$ лето'!ap2484-'[2]$ лето'!an2484-'[2]$ лето'!am2484-'[2]$ лето'!al2484-'[2]$ лето'!ak2484-'[2]$ лето'!aj2484-'[2]$ лето'!ah2484-'[2]$ лето'!ag2484-'[2]$ лето'!af2484-'[2]$ лето'!ae2484-'[2]$ лето'!ad2484-'[2]$ лето'!ab2484-'[2]$ лето'!aa2484-'[2]$ лето'!z2484-'[2]$ лето'!y2484-'[2]$ лето'!x2484-'[2]$ лето'!v2484-'[2]$ лето'!u2484-'[2]$ лето'!t2484-'[2]$ лето'!s2484-'[2]$ лето'!r2484-'[2]$ лето'!p2484-'[2]$ лето'!o2484-'[2]$ лето'!n2484-'[2]$ лето'!m2484-'[2]$ лето'!l2484+'[2]$ лето'!k2484+'[2]$ лето'!q2484+'[2]$ лето'!w2484+'[2]$ лето'!ac2484+'[2]$ лето'!ai2484+'[2]$ лето'!ao2484</f>
        <v>0</v>
      </c>
      <c r="I2484" s="109" t="n">
        <f aca="false">'[2]$ лето'!ay2484*1.05</f>
        <v>5355</v>
      </c>
    </row>
    <row r="2485" customFormat="false" ht="15" hidden="true" customHeight="false" outlineLevel="0" collapsed="false">
      <c r="A2485" s="115" t="s">
        <v>3049</v>
      </c>
      <c r="B2485" s="115" t="s">
        <v>3087</v>
      </c>
      <c r="C2485" s="116" t="s">
        <v>3089</v>
      </c>
      <c r="D2485" s="116"/>
      <c r="E2485" s="116"/>
      <c r="F2485" s="116"/>
      <c r="G2485" s="108"/>
      <c r="H2485" s="105" t="n">
        <f aca="false">'[2]$ лето'!j2485-'[2]$ лето'!au2485-'[2]$ лето'!at2485-'[2]$ лето'!as2485-'[2]$ лето'!ar2485-'[2]$ лето'!aq2485-'[2]$ лето'!ap2485-'[2]$ лето'!an2485-'[2]$ лето'!am2485-'[2]$ лето'!al2485-'[2]$ лето'!ak2485-'[2]$ лето'!aj2485-'[2]$ лето'!ah2485-'[2]$ лето'!ag2485-'[2]$ лето'!af2485-'[2]$ лето'!ae2485-'[2]$ лето'!ad2485-'[2]$ лето'!ab2485-'[2]$ лето'!aa2485-'[2]$ лето'!z2485-'[2]$ лето'!y2485-'[2]$ лето'!x2485-'[2]$ лето'!v2485-'[2]$ лето'!u2485-'[2]$ лето'!t2485-'[2]$ лето'!s2485-'[2]$ лето'!r2485-'[2]$ лето'!p2485-'[2]$ лето'!o2485-'[2]$ лето'!n2485-'[2]$ лето'!m2485-'[2]$ лето'!l2485+'[2]$ лето'!k2485+'[2]$ лето'!q2485+'[2]$ лето'!w2485+'[2]$ лето'!ac2485+'[2]$ лето'!ai2485+'[2]$ лето'!ao2485</f>
        <v>0</v>
      </c>
      <c r="I2485" s="109" t="n">
        <f aca="false">'[2]$ лето'!ay2485*1.05</f>
        <v>5460</v>
      </c>
    </row>
    <row r="2486" customFormat="false" ht="15" hidden="true" customHeight="false" outlineLevel="0" collapsed="false">
      <c r="A2486" s="115" t="s">
        <v>3049</v>
      </c>
      <c r="B2486" s="115" t="s">
        <v>3090</v>
      </c>
      <c r="C2486" s="116" t="s">
        <v>2706</v>
      </c>
      <c r="D2486" s="116"/>
      <c r="E2486" s="116"/>
      <c r="F2486" s="116"/>
      <c r="G2486" s="108"/>
      <c r="H2486" s="105" t="n">
        <f aca="false">'[2]$ лето'!j2486-'[2]$ лето'!au2486-'[2]$ лето'!at2486-'[2]$ лето'!as2486-'[2]$ лето'!ar2486-'[2]$ лето'!aq2486-'[2]$ лето'!ap2486-'[2]$ лето'!an2486-'[2]$ лето'!am2486-'[2]$ лето'!al2486-'[2]$ лето'!ak2486-'[2]$ лето'!aj2486-'[2]$ лето'!ah2486-'[2]$ лето'!ag2486-'[2]$ лето'!af2486-'[2]$ лето'!ae2486-'[2]$ лето'!ad2486-'[2]$ лето'!ab2486-'[2]$ лето'!aa2486-'[2]$ лето'!z2486-'[2]$ лето'!y2486-'[2]$ лето'!x2486-'[2]$ лето'!v2486-'[2]$ лето'!u2486-'[2]$ лето'!t2486-'[2]$ лето'!s2486-'[2]$ лето'!r2486-'[2]$ лето'!p2486-'[2]$ лето'!o2486-'[2]$ лето'!n2486-'[2]$ лето'!m2486-'[2]$ лето'!l2486+'[2]$ лето'!k2486+'[2]$ лето'!q2486+'[2]$ лето'!w2486+'[2]$ лето'!ac2486+'[2]$ лето'!ai2486+'[2]$ лето'!ao2486</f>
        <v>0</v>
      </c>
      <c r="I2486" s="109" t="n">
        <f aca="false">'[2]$ лето'!ay2486*1.05</f>
        <v>6562.5</v>
      </c>
    </row>
    <row r="2487" customFormat="false" ht="15" hidden="false" customHeight="false" outlineLevel="0" collapsed="false">
      <c r="A2487" s="115" t="s">
        <v>3049</v>
      </c>
      <c r="B2487" s="115" t="s">
        <v>3015</v>
      </c>
      <c r="C2487" s="116" t="s">
        <v>3091</v>
      </c>
      <c r="D2487" s="116"/>
      <c r="E2487" s="116"/>
      <c r="F2487" s="116"/>
      <c r="G2487" s="108"/>
      <c r="H2487" s="105" t="n">
        <f aca="false">'[2]$ лето'!j2487-'[2]$ лето'!au2487-'[2]$ лето'!at2487-'[2]$ лето'!as2487-'[2]$ лето'!ar2487-'[2]$ лето'!aq2487-'[2]$ лето'!ap2487-'[2]$ лето'!an2487-'[2]$ лето'!am2487-'[2]$ лето'!al2487-'[2]$ лето'!ak2487-'[2]$ лето'!aj2487-'[2]$ лето'!ah2487-'[2]$ лето'!ag2487-'[2]$ лето'!af2487-'[2]$ лето'!ae2487-'[2]$ лето'!ad2487-'[2]$ лето'!ab2487-'[2]$ лето'!aa2487-'[2]$ лето'!z2487-'[2]$ лето'!y2487-'[2]$ лето'!x2487-'[2]$ лето'!v2487-'[2]$ лето'!u2487-'[2]$ лето'!t2487-'[2]$ лето'!s2487-'[2]$ лето'!r2487-'[2]$ лето'!p2487-'[2]$ лето'!o2487-'[2]$ лето'!n2487-'[2]$ лето'!m2487-'[2]$ лето'!l2487+'[2]$ лето'!k2487+'[2]$ лето'!q2487+'[2]$ лето'!w2487+'[2]$ лето'!ac2487+'[2]$ лето'!ai2487+'[2]$ лето'!ao2487</f>
        <v>2</v>
      </c>
      <c r="I2487" s="109" t="n">
        <f aca="false">'[2]$ лето'!ay2487*1.05</f>
        <v>7245</v>
      </c>
    </row>
    <row r="2488" customFormat="false" ht="15" hidden="false" customHeight="false" outlineLevel="0" collapsed="false">
      <c r="A2488" s="115" t="s">
        <v>3049</v>
      </c>
      <c r="B2488" s="115" t="s">
        <v>2423</v>
      </c>
      <c r="C2488" s="134" t="s">
        <v>3092</v>
      </c>
      <c r="D2488" s="134"/>
      <c r="E2488" s="134"/>
      <c r="F2488" s="134"/>
      <c r="G2488" s="108"/>
      <c r="H2488" s="105" t="n">
        <f aca="false">'[2]$ лето'!j2488-'[2]$ лето'!au2488-'[2]$ лето'!at2488-'[2]$ лето'!as2488-'[2]$ лето'!ar2488-'[2]$ лето'!aq2488-'[2]$ лето'!ap2488-'[2]$ лето'!an2488-'[2]$ лето'!am2488-'[2]$ лето'!al2488-'[2]$ лето'!ak2488-'[2]$ лето'!aj2488-'[2]$ лето'!ah2488-'[2]$ лето'!ag2488-'[2]$ лето'!af2488-'[2]$ лето'!ae2488-'[2]$ лето'!ad2488-'[2]$ лето'!ab2488-'[2]$ лето'!aa2488-'[2]$ лето'!z2488-'[2]$ лето'!y2488-'[2]$ лето'!x2488-'[2]$ лето'!v2488-'[2]$ лето'!u2488-'[2]$ лето'!t2488-'[2]$ лето'!s2488-'[2]$ лето'!r2488-'[2]$ лето'!p2488-'[2]$ лето'!o2488-'[2]$ лето'!n2488-'[2]$ лето'!m2488-'[2]$ лето'!l2488+'[2]$ лето'!k2488+'[2]$ лето'!q2488+'[2]$ лето'!w2488+'[2]$ лето'!ac2488+'[2]$ лето'!ai2488+'[2]$ лето'!ao2488</f>
        <v>16</v>
      </c>
      <c r="I2488" s="109" t="n">
        <f aca="false">'[2]$ лето'!ay2488*1.05</f>
        <v>6562.5</v>
      </c>
    </row>
    <row r="2489" customFormat="false" ht="15" hidden="true" customHeight="false" outlineLevel="0" collapsed="false">
      <c r="A2489" s="115" t="s">
        <v>3049</v>
      </c>
      <c r="B2489" s="115" t="s">
        <v>606</v>
      </c>
      <c r="C2489" s="134" t="s">
        <v>3093</v>
      </c>
      <c r="D2489" s="134"/>
      <c r="E2489" s="134"/>
      <c r="F2489" s="134"/>
      <c r="G2489" s="108"/>
      <c r="H2489" s="105" t="n">
        <f aca="false">'[2]$ лето'!j2489-'[2]$ лето'!au2489-'[2]$ лето'!at2489-'[2]$ лето'!as2489-'[2]$ лето'!ar2489-'[2]$ лето'!aq2489-'[2]$ лето'!ap2489-'[2]$ лето'!an2489-'[2]$ лето'!am2489-'[2]$ лето'!al2489-'[2]$ лето'!ak2489-'[2]$ лето'!aj2489-'[2]$ лето'!ah2489-'[2]$ лето'!ag2489-'[2]$ лето'!af2489-'[2]$ лето'!ae2489-'[2]$ лето'!ad2489-'[2]$ лето'!ab2489-'[2]$ лето'!aa2489-'[2]$ лето'!z2489-'[2]$ лето'!y2489-'[2]$ лето'!x2489-'[2]$ лето'!v2489-'[2]$ лето'!u2489-'[2]$ лето'!t2489-'[2]$ лето'!s2489-'[2]$ лето'!r2489-'[2]$ лето'!p2489-'[2]$ лето'!o2489-'[2]$ лето'!n2489-'[2]$ лето'!m2489-'[2]$ лето'!l2489+'[2]$ лето'!k2489+'[2]$ лето'!q2489+'[2]$ лето'!w2489+'[2]$ лето'!ac2489+'[2]$ лето'!ai2489+'[2]$ лето'!ao2489</f>
        <v>0</v>
      </c>
      <c r="I2489" s="109" t="n">
        <f aca="false">'[2]$ лето'!ay2489*1.05</f>
        <v>9555</v>
      </c>
    </row>
    <row r="2490" customFormat="false" ht="15" hidden="true" customHeight="false" outlineLevel="0" collapsed="false">
      <c r="A2490" s="115" t="s">
        <v>3049</v>
      </c>
      <c r="B2490" s="115" t="s">
        <v>2724</v>
      </c>
      <c r="C2490" s="107" t="s">
        <v>2788</v>
      </c>
      <c r="D2490" s="107"/>
      <c r="E2490" s="107"/>
      <c r="F2490" s="107"/>
      <c r="G2490" s="108"/>
      <c r="H2490" s="105" t="n">
        <f aca="false">'[2]$ лето'!j2490-'[2]$ лето'!au2490-'[2]$ лето'!at2490-'[2]$ лето'!as2490-'[2]$ лето'!ar2490-'[2]$ лето'!aq2490-'[2]$ лето'!ap2490-'[2]$ лето'!an2490-'[2]$ лето'!am2490-'[2]$ лето'!al2490-'[2]$ лето'!ak2490-'[2]$ лето'!aj2490-'[2]$ лето'!ah2490-'[2]$ лето'!ag2490-'[2]$ лето'!af2490-'[2]$ лето'!ae2490-'[2]$ лето'!ad2490-'[2]$ лето'!ab2490-'[2]$ лето'!aa2490-'[2]$ лето'!z2490-'[2]$ лето'!y2490-'[2]$ лето'!x2490-'[2]$ лето'!v2490-'[2]$ лето'!u2490-'[2]$ лето'!t2490-'[2]$ лето'!s2490-'[2]$ лето'!r2490-'[2]$ лето'!p2490-'[2]$ лето'!o2490-'[2]$ лето'!n2490-'[2]$ лето'!m2490-'[2]$ лето'!l2490+'[2]$ лето'!k2490+'[2]$ лето'!q2490+'[2]$ лето'!w2490+'[2]$ лето'!ac2490+'[2]$ лето'!ai2490+'[2]$ лето'!ao2490</f>
        <v>0</v>
      </c>
      <c r="I2490" s="109" t="n">
        <f aca="false">'[2]$ лето'!ay2490*1.05</f>
        <v>6772.5</v>
      </c>
    </row>
    <row r="2491" customFormat="false" ht="15" hidden="false" customHeight="false" outlineLevel="0" collapsed="false">
      <c r="A2491" s="115" t="s">
        <v>3049</v>
      </c>
      <c r="B2491" s="115" t="s">
        <v>3094</v>
      </c>
      <c r="C2491" s="116" t="s">
        <v>3095</v>
      </c>
      <c r="D2491" s="116"/>
      <c r="E2491" s="116"/>
      <c r="F2491" s="116"/>
      <c r="G2491" s="108"/>
      <c r="H2491" s="105" t="n">
        <f aca="false">'[2]$ лето'!j2491-'[2]$ лето'!au2491-'[2]$ лето'!at2491-'[2]$ лето'!as2491-'[2]$ лето'!ar2491-'[2]$ лето'!aq2491-'[2]$ лето'!ap2491-'[2]$ лето'!an2491-'[2]$ лето'!am2491-'[2]$ лето'!al2491-'[2]$ лето'!ak2491-'[2]$ лето'!aj2491-'[2]$ лето'!ah2491-'[2]$ лето'!ag2491-'[2]$ лето'!af2491-'[2]$ лето'!ae2491-'[2]$ лето'!ad2491-'[2]$ лето'!ab2491-'[2]$ лето'!aa2491-'[2]$ лето'!z2491-'[2]$ лето'!y2491-'[2]$ лето'!x2491-'[2]$ лето'!v2491-'[2]$ лето'!u2491-'[2]$ лето'!t2491-'[2]$ лето'!s2491-'[2]$ лето'!r2491-'[2]$ лето'!p2491-'[2]$ лето'!o2491-'[2]$ лето'!n2491-'[2]$ лето'!m2491-'[2]$ лето'!l2491+'[2]$ лето'!k2491+'[2]$ лето'!q2491+'[2]$ лето'!w2491+'[2]$ лето'!ac2491+'[2]$ лето'!ai2491+'[2]$ лето'!ao2491</f>
        <v>2</v>
      </c>
      <c r="I2491" s="109" t="n">
        <f aca="false">'[2]$ лето'!ay2491*1.05</f>
        <v>6405</v>
      </c>
    </row>
    <row r="2492" customFormat="false" ht="15" hidden="true" customHeight="false" outlineLevel="0" collapsed="false">
      <c r="A2492" s="115" t="s">
        <v>3049</v>
      </c>
      <c r="B2492" s="115" t="s">
        <v>583</v>
      </c>
      <c r="C2492" s="116" t="s">
        <v>3096</v>
      </c>
      <c r="D2492" s="116"/>
      <c r="E2492" s="116"/>
      <c r="F2492" s="116"/>
      <c r="G2492" s="108"/>
      <c r="H2492" s="105" t="n">
        <f aca="false">'[2]$ лето'!j2492-'[2]$ лето'!au2492-'[2]$ лето'!at2492-'[2]$ лето'!as2492-'[2]$ лето'!ar2492-'[2]$ лето'!aq2492-'[2]$ лето'!ap2492-'[2]$ лето'!an2492-'[2]$ лето'!am2492-'[2]$ лето'!al2492-'[2]$ лето'!ak2492-'[2]$ лето'!aj2492-'[2]$ лето'!ah2492-'[2]$ лето'!ag2492-'[2]$ лето'!af2492-'[2]$ лето'!ae2492-'[2]$ лето'!ad2492-'[2]$ лето'!ab2492-'[2]$ лето'!aa2492-'[2]$ лето'!z2492-'[2]$ лето'!y2492-'[2]$ лето'!x2492-'[2]$ лето'!v2492-'[2]$ лето'!u2492-'[2]$ лето'!t2492-'[2]$ лето'!s2492-'[2]$ лето'!r2492-'[2]$ лето'!p2492-'[2]$ лето'!o2492-'[2]$ лето'!n2492-'[2]$ лето'!m2492-'[2]$ лето'!l2492+'[2]$ лето'!k2492+'[2]$ лето'!q2492+'[2]$ лето'!w2492+'[2]$ лето'!ac2492+'[2]$ лето'!ai2492+'[2]$ лето'!ao2492</f>
        <v>0</v>
      </c>
      <c r="I2492" s="109" t="n">
        <f aca="false">'[2]$ лето'!ay2492*1.05</f>
        <v>9482.76</v>
      </c>
      <c r="J2492" s="85" t="n">
        <v>2017</v>
      </c>
    </row>
    <row r="2493" customFormat="false" ht="15" hidden="true" customHeight="false" outlineLevel="0" collapsed="false">
      <c r="A2493" s="115" t="s">
        <v>3049</v>
      </c>
      <c r="B2493" s="115" t="s">
        <v>583</v>
      </c>
      <c r="C2493" s="116" t="s">
        <v>3097</v>
      </c>
      <c r="D2493" s="116"/>
      <c r="E2493" s="116"/>
      <c r="F2493" s="116"/>
      <c r="G2493" s="108"/>
      <c r="H2493" s="105" t="n">
        <f aca="false">'[2]$ лето'!j2493-'[2]$ лето'!au2493-'[2]$ лето'!at2493-'[2]$ лето'!as2493-'[2]$ лето'!ar2493-'[2]$ лето'!aq2493-'[2]$ лето'!ap2493-'[2]$ лето'!an2493-'[2]$ лето'!am2493-'[2]$ лето'!al2493-'[2]$ лето'!ak2493-'[2]$ лето'!aj2493-'[2]$ лето'!ah2493-'[2]$ лето'!ag2493-'[2]$ лето'!af2493-'[2]$ лето'!ae2493-'[2]$ лето'!ad2493-'[2]$ лето'!ab2493-'[2]$ лето'!aa2493-'[2]$ лето'!z2493-'[2]$ лето'!y2493-'[2]$ лето'!x2493-'[2]$ лето'!v2493-'[2]$ лето'!u2493-'[2]$ лето'!t2493-'[2]$ лето'!s2493-'[2]$ лето'!r2493-'[2]$ лето'!p2493-'[2]$ лето'!o2493-'[2]$ лето'!n2493-'[2]$ лето'!m2493-'[2]$ лето'!l2493+'[2]$ лето'!k2493+'[2]$ лето'!q2493+'[2]$ лето'!w2493+'[2]$ лето'!ac2493+'[2]$ лето'!ai2493+'[2]$ лето'!ao2493</f>
        <v>0</v>
      </c>
      <c r="I2493" s="109" t="n">
        <f aca="false">'[2]$ лето'!ay2493*1.05</f>
        <v>9154.74</v>
      </c>
      <c r="J2493" s="85" t="s">
        <v>3098</v>
      </c>
    </row>
    <row r="2494" customFormat="false" ht="15" hidden="false" customHeight="false" outlineLevel="0" collapsed="false">
      <c r="A2494" s="115" t="s">
        <v>3049</v>
      </c>
      <c r="B2494" s="123" t="s">
        <v>586</v>
      </c>
      <c r="C2494" s="107" t="s">
        <v>3099</v>
      </c>
      <c r="D2494" s="107"/>
      <c r="E2494" s="116"/>
      <c r="F2494" s="116"/>
      <c r="G2494" s="108" t="s">
        <v>520</v>
      </c>
      <c r="H2494" s="105" t="n">
        <f aca="false">'[2]$ лето'!j2494-'[2]$ лето'!au2494-'[2]$ лето'!at2494-'[2]$ лето'!as2494-'[2]$ лето'!ar2494-'[2]$ лето'!aq2494-'[2]$ лето'!ap2494-'[2]$ лето'!an2494-'[2]$ лето'!am2494-'[2]$ лето'!al2494-'[2]$ лето'!ak2494-'[2]$ лето'!aj2494-'[2]$ лето'!ah2494-'[2]$ лето'!ag2494-'[2]$ лето'!af2494-'[2]$ лето'!ae2494-'[2]$ лето'!ad2494-'[2]$ лето'!ab2494-'[2]$ лето'!aa2494-'[2]$ лето'!z2494-'[2]$ лето'!y2494-'[2]$ лето'!x2494-'[2]$ лето'!v2494-'[2]$ лето'!u2494-'[2]$ лето'!t2494-'[2]$ лето'!s2494-'[2]$ лето'!r2494-'[2]$ лето'!p2494-'[2]$ лето'!o2494-'[2]$ лето'!n2494-'[2]$ лето'!m2494-'[2]$ лето'!l2494+'[2]$ лето'!k2494+'[2]$ лето'!q2494+'[2]$ лето'!w2494+'[2]$ лето'!ac2494+'[2]$ лето'!ai2494+'[2]$ лето'!ao2494</f>
        <v>10</v>
      </c>
      <c r="I2494" s="109" t="n">
        <f aca="false">'[2]$ лето'!ay2494*1.05</f>
        <v>6709.5</v>
      </c>
    </row>
    <row r="2495" customFormat="false" ht="15" hidden="true" customHeight="false" outlineLevel="0" collapsed="false">
      <c r="A2495" s="115" t="s">
        <v>3049</v>
      </c>
      <c r="B2495" s="123" t="s">
        <v>3100</v>
      </c>
      <c r="C2495" s="107" t="s">
        <v>3101</v>
      </c>
      <c r="D2495" s="107"/>
      <c r="E2495" s="107"/>
      <c r="F2495" s="107"/>
      <c r="G2495" s="108"/>
      <c r="H2495" s="105" t="n">
        <f aca="false">'[2]$ лето'!j2495-'[2]$ лето'!au2495-'[2]$ лето'!at2495-'[2]$ лето'!as2495-'[2]$ лето'!ar2495-'[2]$ лето'!aq2495-'[2]$ лето'!ap2495-'[2]$ лето'!an2495-'[2]$ лето'!am2495-'[2]$ лето'!al2495-'[2]$ лето'!ak2495-'[2]$ лето'!aj2495-'[2]$ лето'!ah2495-'[2]$ лето'!ag2495-'[2]$ лето'!af2495-'[2]$ лето'!ae2495-'[2]$ лето'!ad2495-'[2]$ лето'!ab2495-'[2]$ лето'!aa2495-'[2]$ лето'!z2495-'[2]$ лето'!y2495-'[2]$ лето'!x2495-'[2]$ лето'!v2495-'[2]$ лето'!u2495-'[2]$ лето'!t2495-'[2]$ лето'!s2495-'[2]$ лето'!r2495-'[2]$ лето'!p2495-'[2]$ лето'!o2495-'[2]$ лето'!n2495-'[2]$ лето'!m2495-'[2]$ лето'!l2495+'[2]$ лето'!k2495+'[2]$ лето'!q2495+'[2]$ лето'!w2495+'[2]$ лето'!ac2495+'[2]$ лето'!ai2495+'[2]$ лето'!ao2495</f>
        <v>0</v>
      </c>
      <c r="I2495" s="109" t="n">
        <f aca="false">'[2]$ лето'!ay2495*1.05</f>
        <v>6321.84</v>
      </c>
    </row>
    <row r="2496" customFormat="false" ht="15" hidden="false" customHeight="false" outlineLevel="0" collapsed="false">
      <c r="A2496" s="115" t="s">
        <v>3049</v>
      </c>
      <c r="B2496" s="123" t="s">
        <v>801</v>
      </c>
      <c r="C2496" s="107" t="s">
        <v>3102</v>
      </c>
      <c r="D2496" s="107"/>
      <c r="E2496" s="116"/>
      <c r="F2496" s="116"/>
      <c r="G2496" s="108" t="s">
        <v>576</v>
      </c>
      <c r="H2496" s="105" t="n">
        <f aca="false">'[2]$ лето'!j2496-'[2]$ лето'!au2496-'[2]$ лето'!at2496-'[2]$ лето'!as2496-'[2]$ лето'!ar2496-'[2]$ лето'!aq2496-'[2]$ лето'!ap2496-'[2]$ лето'!an2496-'[2]$ лето'!am2496-'[2]$ лето'!al2496-'[2]$ лето'!ak2496-'[2]$ лето'!aj2496-'[2]$ лето'!ah2496-'[2]$ лето'!ag2496-'[2]$ лето'!af2496-'[2]$ лето'!ae2496-'[2]$ лето'!ad2496-'[2]$ лето'!ab2496-'[2]$ лето'!aa2496-'[2]$ лето'!z2496-'[2]$ лето'!y2496-'[2]$ лето'!x2496-'[2]$ лето'!v2496-'[2]$ лето'!u2496-'[2]$ лето'!t2496-'[2]$ лето'!s2496-'[2]$ лето'!r2496-'[2]$ лето'!p2496-'[2]$ лето'!o2496-'[2]$ лето'!n2496-'[2]$ лето'!m2496-'[2]$ лето'!l2496+'[2]$ лето'!k2496+'[2]$ лето'!q2496+'[2]$ лето'!w2496+'[2]$ лето'!ac2496+'[2]$ лето'!ai2496+'[2]$ лето'!ao2496</f>
        <v>4</v>
      </c>
      <c r="I2496" s="109" t="n">
        <f aca="false">'[2]$ лето'!ay2496*1.05</f>
        <v>12285.84</v>
      </c>
      <c r="J2496" s="85" t="n">
        <v>2017</v>
      </c>
    </row>
    <row r="2497" customFormat="false" ht="15" hidden="true" customHeight="false" outlineLevel="0" collapsed="false">
      <c r="A2497" s="115" t="s">
        <v>3049</v>
      </c>
      <c r="B2497" s="123" t="s">
        <v>3103</v>
      </c>
      <c r="C2497" s="107" t="s">
        <v>3104</v>
      </c>
      <c r="D2497" s="107"/>
      <c r="E2497" s="107"/>
      <c r="F2497" s="107"/>
      <c r="G2497" s="108"/>
      <c r="H2497" s="105" t="n">
        <f aca="false">'[2]$ лето'!j2497-'[2]$ лето'!au2497-'[2]$ лето'!at2497-'[2]$ лето'!as2497-'[2]$ лето'!ar2497-'[2]$ лето'!aq2497-'[2]$ лето'!ap2497-'[2]$ лето'!an2497-'[2]$ лето'!am2497-'[2]$ лето'!al2497-'[2]$ лето'!ak2497-'[2]$ лето'!aj2497-'[2]$ лето'!ah2497-'[2]$ лето'!ag2497-'[2]$ лето'!af2497-'[2]$ лето'!ae2497-'[2]$ лето'!ad2497-'[2]$ лето'!ab2497-'[2]$ лето'!aa2497-'[2]$ лето'!z2497-'[2]$ лето'!y2497-'[2]$ лето'!x2497-'[2]$ лето'!v2497-'[2]$ лето'!u2497-'[2]$ лето'!t2497-'[2]$ лето'!s2497-'[2]$ лето'!r2497-'[2]$ лето'!p2497-'[2]$ лето'!o2497-'[2]$ лето'!n2497-'[2]$ лето'!m2497-'[2]$ лето'!l2497+'[2]$ лето'!k2497+'[2]$ лето'!q2497+'[2]$ лето'!w2497+'[2]$ лето'!ac2497+'[2]$ лето'!ai2497+'[2]$ лето'!ao2497</f>
        <v>0</v>
      </c>
      <c r="I2497" s="109" t="n">
        <f aca="false">'[2]$ лето'!ay2497*1.05</f>
        <v>6405</v>
      </c>
    </row>
    <row r="2498" customFormat="false" ht="15" hidden="true" customHeight="false" outlineLevel="0" collapsed="false">
      <c r="A2498" s="115" t="s">
        <v>3049</v>
      </c>
      <c r="B2498" s="123" t="s">
        <v>2935</v>
      </c>
      <c r="C2498" s="107" t="s">
        <v>3105</v>
      </c>
      <c r="D2498" s="107"/>
      <c r="E2498" s="107"/>
      <c r="F2498" s="107"/>
      <c r="G2498" s="108"/>
      <c r="H2498" s="105" t="n">
        <f aca="false">'[2]$ лето'!j2498-'[2]$ лето'!au2498-'[2]$ лето'!at2498-'[2]$ лето'!as2498-'[2]$ лето'!ar2498-'[2]$ лето'!aq2498-'[2]$ лето'!ap2498-'[2]$ лето'!an2498-'[2]$ лето'!am2498-'[2]$ лето'!al2498-'[2]$ лето'!ak2498-'[2]$ лето'!aj2498-'[2]$ лето'!ah2498-'[2]$ лето'!ag2498-'[2]$ лето'!af2498-'[2]$ лето'!ae2498-'[2]$ лето'!ad2498-'[2]$ лето'!ab2498-'[2]$ лето'!aa2498-'[2]$ лето'!z2498-'[2]$ лето'!y2498-'[2]$ лето'!x2498-'[2]$ лето'!v2498-'[2]$ лето'!u2498-'[2]$ лето'!t2498-'[2]$ лето'!s2498-'[2]$ лето'!r2498-'[2]$ лето'!p2498-'[2]$ лето'!o2498-'[2]$ лето'!n2498-'[2]$ лето'!m2498-'[2]$ лето'!l2498+'[2]$ лето'!k2498+'[2]$ лето'!q2498+'[2]$ лето'!w2498+'[2]$ лето'!ac2498+'[2]$ лето'!ai2498+'[2]$ лето'!ao2498</f>
        <v>0</v>
      </c>
      <c r="I2498" s="109" t="n">
        <f aca="false">'[2]$ лето'!ay2498*1.05</f>
        <v>5827.5</v>
      </c>
    </row>
    <row r="2499" customFormat="false" ht="15" hidden="false" customHeight="false" outlineLevel="0" collapsed="false">
      <c r="A2499" s="115" t="s">
        <v>3049</v>
      </c>
      <c r="B2499" s="123" t="s">
        <v>652</v>
      </c>
      <c r="C2499" s="107" t="s">
        <v>3106</v>
      </c>
      <c r="D2499" s="107"/>
      <c r="E2499" s="116"/>
      <c r="F2499" s="116"/>
      <c r="G2499" s="108" t="s">
        <v>2959</v>
      </c>
      <c r="H2499" s="105" t="n">
        <f aca="false">'[2]$ лето'!j2499-'[2]$ лето'!au2499-'[2]$ лето'!at2499-'[2]$ лето'!as2499-'[2]$ лето'!ar2499-'[2]$ лето'!aq2499-'[2]$ лето'!ap2499-'[2]$ лето'!an2499-'[2]$ лето'!am2499-'[2]$ лето'!al2499-'[2]$ лето'!ak2499-'[2]$ лето'!aj2499-'[2]$ лето'!ah2499-'[2]$ лето'!ag2499-'[2]$ лето'!af2499-'[2]$ лето'!ae2499-'[2]$ лето'!ad2499-'[2]$ лето'!ab2499-'[2]$ лето'!aa2499-'[2]$ лето'!z2499-'[2]$ лето'!y2499-'[2]$ лето'!x2499-'[2]$ лето'!v2499-'[2]$ лето'!u2499-'[2]$ лето'!t2499-'[2]$ лето'!s2499-'[2]$ лето'!r2499-'[2]$ лето'!p2499-'[2]$ лето'!o2499-'[2]$ лето'!n2499-'[2]$ лето'!m2499-'[2]$ лето'!l2499+'[2]$ лето'!k2499+'[2]$ лето'!q2499+'[2]$ лето'!w2499+'[2]$ лето'!ac2499+'[2]$ лето'!ai2499+'[2]$ лето'!ao2499</f>
        <v>4</v>
      </c>
      <c r="I2499" s="109" t="n">
        <f aca="false">'[2]$ лето'!ay2499*1.05</f>
        <v>10586.1</v>
      </c>
      <c r="J2499" s="85" t="n">
        <v>2018</v>
      </c>
    </row>
    <row r="2500" customFormat="false" ht="15" hidden="true" customHeight="false" outlineLevel="0" collapsed="false">
      <c r="A2500" s="115" t="s">
        <v>3049</v>
      </c>
      <c r="B2500" s="115" t="s">
        <v>2888</v>
      </c>
      <c r="C2500" s="107" t="s">
        <v>3107</v>
      </c>
      <c r="D2500" s="107"/>
      <c r="E2500" s="107"/>
      <c r="F2500" s="107"/>
      <c r="G2500" s="108"/>
      <c r="H2500" s="105" t="n">
        <f aca="false">'[2]$ лето'!j2500-'[2]$ лето'!au2500-'[2]$ лето'!at2500-'[2]$ лето'!as2500-'[2]$ лето'!ar2500-'[2]$ лето'!aq2500-'[2]$ лето'!ap2500-'[2]$ лето'!an2500-'[2]$ лето'!am2500-'[2]$ лето'!al2500-'[2]$ лето'!ak2500-'[2]$ лето'!aj2500-'[2]$ лето'!ah2500-'[2]$ лето'!ag2500-'[2]$ лето'!af2500-'[2]$ лето'!ae2500-'[2]$ лето'!ad2500-'[2]$ лето'!ab2500-'[2]$ лето'!aa2500-'[2]$ лето'!z2500-'[2]$ лето'!y2500-'[2]$ лето'!x2500-'[2]$ лето'!v2500-'[2]$ лето'!u2500-'[2]$ лето'!t2500-'[2]$ лето'!s2500-'[2]$ лето'!r2500-'[2]$ лето'!p2500-'[2]$ лето'!o2500-'[2]$ лето'!n2500-'[2]$ лето'!m2500-'[2]$ лето'!l2500+'[2]$ лето'!k2500+'[2]$ лето'!q2500+'[2]$ лето'!w2500+'[2]$ лето'!ac2500+'[2]$ лето'!ai2500+'[2]$ лето'!ao2500</f>
        <v>0</v>
      </c>
      <c r="I2500" s="109" t="n">
        <f aca="false">'[2]$ лето'!ay2500*1.05</f>
        <v>6300</v>
      </c>
    </row>
    <row r="2501" customFormat="false" ht="15" hidden="true" customHeight="false" outlineLevel="0" collapsed="false">
      <c r="A2501" s="115" t="s">
        <v>3049</v>
      </c>
      <c r="B2501" s="115" t="s">
        <v>3108</v>
      </c>
      <c r="C2501" s="107" t="s">
        <v>3109</v>
      </c>
      <c r="D2501" s="107"/>
      <c r="E2501" s="107"/>
      <c r="F2501" s="107"/>
      <c r="G2501" s="108"/>
      <c r="H2501" s="105" t="n">
        <f aca="false">'[2]$ лето'!j2501-'[2]$ лето'!au2501-'[2]$ лето'!at2501-'[2]$ лето'!as2501-'[2]$ лето'!ar2501-'[2]$ лето'!aq2501-'[2]$ лето'!ap2501-'[2]$ лето'!an2501-'[2]$ лето'!am2501-'[2]$ лето'!al2501-'[2]$ лето'!ak2501-'[2]$ лето'!aj2501-'[2]$ лето'!ah2501-'[2]$ лето'!ag2501-'[2]$ лето'!af2501-'[2]$ лето'!ae2501-'[2]$ лето'!ad2501-'[2]$ лето'!ab2501-'[2]$ лето'!aa2501-'[2]$ лето'!z2501-'[2]$ лето'!y2501-'[2]$ лето'!x2501-'[2]$ лето'!v2501-'[2]$ лето'!u2501-'[2]$ лето'!t2501-'[2]$ лето'!s2501-'[2]$ лето'!r2501-'[2]$ лето'!p2501-'[2]$ лето'!o2501-'[2]$ лето'!n2501-'[2]$ лето'!m2501-'[2]$ лето'!l2501+'[2]$ лето'!k2501+'[2]$ лето'!q2501+'[2]$ лето'!w2501+'[2]$ лето'!ac2501+'[2]$ лето'!ai2501+'[2]$ лето'!ao2501</f>
        <v>0</v>
      </c>
      <c r="I2501" s="109" t="n">
        <f aca="false">'[2]$ лето'!ay2501*1.05</f>
        <v>6405</v>
      </c>
    </row>
    <row r="2502" customFormat="false" ht="15" hidden="true" customHeight="false" outlineLevel="0" collapsed="false">
      <c r="A2502" s="115" t="s">
        <v>3049</v>
      </c>
      <c r="B2502" s="115" t="s">
        <v>2742</v>
      </c>
      <c r="C2502" s="107" t="s">
        <v>3110</v>
      </c>
      <c r="D2502" s="107"/>
      <c r="E2502" s="107"/>
      <c r="F2502" s="107"/>
      <c r="G2502" s="108"/>
      <c r="H2502" s="105" t="n">
        <f aca="false">'[2]$ лето'!j2502-'[2]$ лето'!au2502-'[2]$ лето'!at2502-'[2]$ лето'!as2502-'[2]$ лето'!ar2502-'[2]$ лето'!aq2502-'[2]$ лето'!ap2502-'[2]$ лето'!an2502-'[2]$ лето'!am2502-'[2]$ лето'!al2502-'[2]$ лето'!ak2502-'[2]$ лето'!aj2502-'[2]$ лето'!ah2502-'[2]$ лето'!ag2502-'[2]$ лето'!af2502-'[2]$ лето'!ae2502-'[2]$ лето'!ad2502-'[2]$ лето'!ab2502-'[2]$ лето'!aa2502-'[2]$ лето'!z2502-'[2]$ лето'!y2502-'[2]$ лето'!x2502-'[2]$ лето'!v2502-'[2]$ лето'!u2502-'[2]$ лето'!t2502-'[2]$ лето'!s2502-'[2]$ лето'!r2502-'[2]$ лето'!p2502-'[2]$ лето'!o2502-'[2]$ лето'!n2502-'[2]$ лето'!m2502-'[2]$ лето'!l2502+'[2]$ лето'!k2502+'[2]$ лето'!q2502+'[2]$ лето'!w2502+'[2]$ лето'!ac2502+'[2]$ лето'!ai2502+'[2]$ лето'!ao2502</f>
        <v>0</v>
      </c>
      <c r="I2502" s="109" t="n">
        <f aca="false">'[2]$ лето'!ay2502*1.05</f>
        <v>6405</v>
      </c>
    </row>
    <row r="2503" customFormat="false" ht="15" hidden="true" customHeight="false" outlineLevel="0" collapsed="false">
      <c r="A2503" s="115" t="s">
        <v>3049</v>
      </c>
      <c r="B2503" s="115" t="s">
        <v>2797</v>
      </c>
      <c r="C2503" s="107" t="s">
        <v>3111</v>
      </c>
      <c r="D2503" s="107"/>
      <c r="E2503" s="107"/>
      <c r="F2503" s="107"/>
      <c r="G2503" s="108"/>
      <c r="H2503" s="105" t="n">
        <f aca="false">'[2]$ лето'!j2503-'[2]$ лето'!au2503-'[2]$ лето'!at2503-'[2]$ лето'!as2503-'[2]$ лето'!ar2503-'[2]$ лето'!aq2503-'[2]$ лето'!ap2503-'[2]$ лето'!an2503-'[2]$ лето'!am2503-'[2]$ лето'!al2503-'[2]$ лето'!ak2503-'[2]$ лето'!aj2503-'[2]$ лето'!ah2503-'[2]$ лето'!ag2503-'[2]$ лето'!af2503-'[2]$ лето'!ae2503-'[2]$ лето'!ad2503-'[2]$ лето'!ab2503-'[2]$ лето'!aa2503-'[2]$ лето'!z2503-'[2]$ лето'!y2503-'[2]$ лето'!x2503-'[2]$ лето'!v2503-'[2]$ лето'!u2503-'[2]$ лето'!t2503-'[2]$ лето'!s2503-'[2]$ лето'!r2503-'[2]$ лето'!p2503-'[2]$ лето'!o2503-'[2]$ лето'!n2503-'[2]$ лето'!m2503-'[2]$ лето'!l2503+'[2]$ лето'!k2503+'[2]$ лето'!q2503+'[2]$ лето'!w2503+'[2]$ лето'!ac2503+'[2]$ лето'!ai2503+'[2]$ лето'!ao2503</f>
        <v>0</v>
      </c>
      <c r="I2503" s="109" t="n">
        <f aca="false">'[2]$ лето'!ay2503*1.05</f>
        <v>5880</v>
      </c>
    </row>
    <row r="2504" customFormat="false" ht="15" hidden="false" customHeight="false" outlineLevel="0" collapsed="false">
      <c r="A2504" s="115" t="s">
        <v>3049</v>
      </c>
      <c r="B2504" s="115" t="s">
        <v>3112</v>
      </c>
      <c r="C2504" s="107" t="s">
        <v>3113</v>
      </c>
      <c r="D2504" s="107"/>
      <c r="E2504" s="116"/>
      <c r="F2504" s="116"/>
      <c r="G2504" s="108" t="s">
        <v>520</v>
      </c>
      <c r="H2504" s="105" t="n">
        <f aca="false">'[2]$ лето'!j2504-'[2]$ лето'!au2504-'[2]$ лето'!at2504-'[2]$ лето'!as2504-'[2]$ лето'!ar2504-'[2]$ лето'!aq2504-'[2]$ лето'!ap2504-'[2]$ лето'!an2504-'[2]$ лето'!am2504-'[2]$ лето'!al2504-'[2]$ лето'!ak2504-'[2]$ лето'!aj2504-'[2]$ лето'!ah2504-'[2]$ лето'!ag2504-'[2]$ лето'!af2504-'[2]$ лето'!ae2504-'[2]$ лето'!ad2504-'[2]$ лето'!ab2504-'[2]$ лето'!aa2504-'[2]$ лето'!z2504-'[2]$ лето'!y2504-'[2]$ лето'!x2504-'[2]$ лето'!v2504-'[2]$ лето'!u2504-'[2]$ лето'!t2504-'[2]$ лето'!s2504-'[2]$ лето'!r2504-'[2]$ лето'!p2504-'[2]$ лето'!o2504-'[2]$ лето'!n2504-'[2]$ лето'!m2504-'[2]$ лето'!l2504+'[2]$ лето'!k2504+'[2]$ лето'!q2504+'[2]$ лето'!w2504+'[2]$ лето'!ac2504+'[2]$ лето'!ai2504+'[2]$ лето'!ao2504</f>
        <v>6</v>
      </c>
      <c r="I2504" s="109" t="n">
        <f aca="false">'[2]$ лето'!ay2504*1.05</f>
        <v>7245</v>
      </c>
    </row>
    <row r="2505" customFormat="false" ht="15" hidden="true" customHeight="false" outlineLevel="0" collapsed="false">
      <c r="A2505" s="115" t="s">
        <v>3049</v>
      </c>
      <c r="B2505" s="115" t="s">
        <v>3114</v>
      </c>
      <c r="C2505" s="107" t="s">
        <v>3115</v>
      </c>
      <c r="D2505" s="107"/>
      <c r="E2505" s="107"/>
      <c r="F2505" s="107"/>
      <c r="G2505" s="108"/>
      <c r="H2505" s="105" t="n">
        <f aca="false">'[2]$ лето'!j2505-'[2]$ лето'!au2505-'[2]$ лето'!at2505-'[2]$ лето'!as2505-'[2]$ лето'!ar2505-'[2]$ лето'!aq2505-'[2]$ лето'!ap2505-'[2]$ лето'!an2505-'[2]$ лето'!am2505-'[2]$ лето'!al2505-'[2]$ лето'!ak2505-'[2]$ лето'!aj2505-'[2]$ лето'!ah2505-'[2]$ лето'!ag2505-'[2]$ лето'!af2505-'[2]$ лето'!ae2505-'[2]$ лето'!ad2505-'[2]$ лето'!ab2505-'[2]$ лето'!aa2505-'[2]$ лето'!z2505-'[2]$ лето'!y2505-'[2]$ лето'!x2505-'[2]$ лето'!v2505-'[2]$ лето'!u2505-'[2]$ лето'!t2505-'[2]$ лето'!s2505-'[2]$ лето'!r2505-'[2]$ лето'!p2505-'[2]$ лето'!o2505-'[2]$ лето'!n2505-'[2]$ лето'!m2505-'[2]$ лето'!l2505+'[2]$ лето'!k2505+'[2]$ лето'!q2505+'[2]$ лето'!w2505+'[2]$ лето'!ac2505+'[2]$ лето'!ai2505+'[2]$ лето'!ao2505</f>
        <v>0</v>
      </c>
      <c r="I2505" s="109" t="n">
        <f aca="false">'[2]$ лето'!ay2505*1.05</f>
        <v>6405</v>
      </c>
    </row>
    <row r="2506" customFormat="false" ht="15" hidden="true" customHeight="false" outlineLevel="0" collapsed="false">
      <c r="A2506" s="115" t="s">
        <v>3049</v>
      </c>
      <c r="B2506" s="115" t="s">
        <v>3116</v>
      </c>
      <c r="C2506" s="107" t="s">
        <v>3117</v>
      </c>
      <c r="D2506" s="107"/>
      <c r="E2506" s="107"/>
      <c r="F2506" s="107"/>
      <c r="G2506" s="108"/>
      <c r="H2506" s="105" t="n">
        <f aca="false">'[2]$ лето'!j2506-'[2]$ лето'!au2506-'[2]$ лето'!at2506-'[2]$ лето'!as2506-'[2]$ лето'!ar2506-'[2]$ лето'!aq2506-'[2]$ лето'!ap2506-'[2]$ лето'!an2506-'[2]$ лето'!am2506-'[2]$ лето'!al2506-'[2]$ лето'!ak2506-'[2]$ лето'!aj2506-'[2]$ лето'!ah2506-'[2]$ лето'!ag2506-'[2]$ лето'!af2506-'[2]$ лето'!ae2506-'[2]$ лето'!ad2506-'[2]$ лето'!ab2506-'[2]$ лето'!aa2506-'[2]$ лето'!z2506-'[2]$ лето'!y2506-'[2]$ лето'!x2506-'[2]$ лето'!v2506-'[2]$ лето'!u2506-'[2]$ лето'!t2506-'[2]$ лето'!s2506-'[2]$ лето'!r2506-'[2]$ лето'!p2506-'[2]$ лето'!o2506-'[2]$ лето'!n2506-'[2]$ лето'!m2506-'[2]$ лето'!l2506+'[2]$ лето'!k2506+'[2]$ лето'!q2506+'[2]$ лето'!w2506+'[2]$ лето'!ac2506+'[2]$ лето'!ai2506+'[2]$ лето'!ao2506</f>
        <v>0</v>
      </c>
      <c r="I2506" s="109" t="n">
        <f aca="false">'[2]$ лето'!ay2506*1.05</f>
        <v>6321.84</v>
      </c>
    </row>
    <row r="2507" customFormat="false" ht="15" hidden="true" customHeight="false" outlineLevel="0" collapsed="false">
      <c r="A2507" s="115" t="s">
        <v>3049</v>
      </c>
      <c r="B2507" s="115" t="s">
        <v>3118</v>
      </c>
      <c r="C2507" s="107" t="s">
        <v>3119</v>
      </c>
      <c r="D2507" s="107"/>
      <c r="E2507" s="107"/>
      <c r="F2507" s="107"/>
      <c r="G2507" s="108"/>
      <c r="H2507" s="105" t="n">
        <f aca="false">'[2]$ лето'!j2507-'[2]$ лето'!au2507-'[2]$ лето'!at2507-'[2]$ лето'!as2507-'[2]$ лето'!ar2507-'[2]$ лето'!aq2507-'[2]$ лето'!ap2507-'[2]$ лето'!an2507-'[2]$ лето'!am2507-'[2]$ лето'!al2507-'[2]$ лето'!ak2507-'[2]$ лето'!aj2507-'[2]$ лето'!ah2507-'[2]$ лето'!ag2507-'[2]$ лето'!af2507-'[2]$ лето'!ae2507-'[2]$ лето'!ad2507-'[2]$ лето'!ab2507-'[2]$ лето'!aa2507-'[2]$ лето'!z2507-'[2]$ лето'!y2507-'[2]$ лето'!x2507-'[2]$ лето'!v2507-'[2]$ лето'!u2507-'[2]$ лето'!t2507-'[2]$ лето'!s2507-'[2]$ лето'!r2507-'[2]$ лето'!p2507-'[2]$ лето'!o2507-'[2]$ лето'!n2507-'[2]$ лето'!m2507-'[2]$ лето'!l2507+'[2]$ лето'!k2507+'[2]$ лето'!q2507+'[2]$ лето'!w2507+'[2]$ лето'!ac2507+'[2]$ лето'!ai2507+'[2]$ лето'!ao2507</f>
        <v>0</v>
      </c>
      <c r="I2507" s="109" t="n">
        <f aca="false">'[2]$ лето'!ay2507*1.05</f>
        <v>5250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H1:H251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30" topLeftCell="A1" activePane="bottomLeft" state="split"/>
      <selection pane="topLeft" activeCell="A1" activeCellId="0" sqref="A1"/>
      <selection pane="bottomLeft" activeCell="P34" activeCellId="0" sqref="P34"/>
    </sheetView>
  </sheetViews>
  <sheetFormatPr defaultRowHeight="15" zeroHeight="false" outlineLevelRow="0" outlineLevelCol="0"/>
  <cols>
    <col collapsed="false" customWidth="true" hidden="false" outlineLevel="0" max="1" min="1" style="1" width="12.13"/>
    <col collapsed="false" customWidth="true" hidden="false" outlineLevel="0" max="2" min="2" style="1" width="19.28"/>
    <col collapsed="false" customWidth="true" hidden="false" outlineLevel="0" max="3" min="3" style="1" width="30.99"/>
    <col collapsed="false" customWidth="true" hidden="true" outlineLevel="0" max="4" min="4" style="1" width="4.99"/>
    <col collapsed="false" customWidth="true" hidden="true" outlineLevel="0" max="5" min="5" style="170" width="4.85"/>
    <col collapsed="false" customWidth="true" hidden="true" outlineLevel="0" max="6" min="6" style="170" width="4.55"/>
    <col collapsed="false" customWidth="true" hidden="false" outlineLevel="0" max="7" min="7" style="171" width="7.85"/>
    <col collapsed="false" customWidth="true" hidden="false" outlineLevel="0" max="8" min="8" style="3" width="5.7"/>
    <col collapsed="false" customWidth="true" hidden="false" outlineLevel="0" max="9" min="9" style="172" width="5.7"/>
    <col collapsed="false" customWidth="true" hidden="false" outlineLevel="0" max="10" min="10" style="171" width="8.55"/>
    <col collapsed="false" customWidth="true" hidden="false" outlineLevel="0" max="1025" min="11" style="0" width="8.96"/>
  </cols>
  <sheetData>
    <row r="1" customFormat="false" ht="15.75" hidden="false" customHeight="false" outlineLevel="0" collapsed="false">
      <c r="A1" s="4"/>
      <c r="B1" s="4"/>
      <c r="C1" s="6" t="s">
        <v>0</v>
      </c>
      <c r="D1" s="173"/>
      <c r="E1" s="173"/>
      <c r="F1" s="173"/>
      <c r="G1" s="174"/>
      <c r="H1" s="175"/>
      <c r="I1" s="176"/>
    </row>
    <row r="2" customFormat="false" ht="57" hidden="false" customHeight="false" outlineLevel="0" collapsed="false">
      <c r="A2" s="8" t="s">
        <v>1</v>
      </c>
      <c r="B2" s="177" t="s">
        <v>2</v>
      </c>
      <c r="C2" s="178" t="s">
        <v>3120</v>
      </c>
      <c r="D2" s="179" t="s">
        <v>547</v>
      </c>
      <c r="E2" s="180" t="s">
        <v>548</v>
      </c>
      <c r="F2" s="180" t="s">
        <v>549</v>
      </c>
      <c r="G2" s="181" t="s">
        <v>550</v>
      </c>
      <c r="H2" s="10" t="s">
        <v>551</v>
      </c>
      <c r="I2" s="182" t="s">
        <v>552</v>
      </c>
    </row>
    <row r="3" customFormat="false" ht="15.75" hidden="false" customHeight="false" outlineLevel="0" collapsed="false">
      <c r="A3" s="183" t="s">
        <v>15</v>
      </c>
      <c r="B3" s="184"/>
      <c r="C3" s="184"/>
      <c r="D3" s="184"/>
      <c r="E3" s="185"/>
      <c r="F3" s="185"/>
      <c r="G3" s="186"/>
      <c r="H3" s="105"/>
      <c r="I3" s="187" t="n">
        <f aca="false">'[2]$ зима'!ay3*1.1</f>
        <v>0</v>
      </c>
    </row>
    <row r="4" customFormat="false" ht="15" hidden="true" customHeight="false" outlineLevel="0" collapsed="false">
      <c r="A4" s="188" t="s">
        <v>19</v>
      </c>
      <c r="B4" s="149" t="s">
        <v>568</v>
      </c>
      <c r="C4" s="148" t="s">
        <v>3121</v>
      </c>
      <c r="D4" s="189"/>
      <c r="E4" s="189"/>
      <c r="F4" s="189"/>
      <c r="G4" s="190"/>
      <c r="H4" s="105" t="n">
        <f aca="false">'[2]$ зима'!j4-'[2]$ зима'!au4-'[2]$ зима'!at4-'[2]$ зима'!as4-'[2]$ зима'!ar4-'[2]$ зима'!aq4-'[2]$ зима'!ap4-'[2]$ зима'!an4-'[2]$ зима'!am4-'[2]$ зима'!al4-'[2]$ зима'!ak4-'[2]$ зима'!aj4-'[2]$ зима'!ah4-'[2]$ зима'!ag4-'[2]$ зима'!af4-'[2]$ зима'!ae4-'[2]$ зима'!ad4-'[2]$ зима'!ab4-'[2]$ зима'!aa4-'[2]$ зима'!z4-'[2]$ зима'!y4-'[2]$ зима'!x4-'[2]$ зима'!v4-'[2]$ зима'!u4-'[2]$ зима'!t4-'[2]$ зима'!s4-'[2]$ зима'!r4-'[2]$ зима'!p4-'[2]$ зима'!o4-'[2]$ зима'!n4-'[2]$ зима'!m4-'[2]$ зима'!l4+'[2]$ зима'!q4+'[2]$ зима'!w4+'[2]$ зима'!ac4+'[2]$ зима'!ai4+'[2]$ зима'!ao4+'[2]$ зима'!k4</f>
        <v>0</v>
      </c>
      <c r="I4" s="191" t="n">
        <f aca="false">'[2]$ зима'!ay4*1.1</f>
        <v>0</v>
      </c>
    </row>
    <row r="5" customFormat="false" ht="15" hidden="false" customHeight="false" outlineLevel="0" collapsed="false">
      <c r="A5" s="188" t="s">
        <v>19</v>
      </c>
      <c r="B5" s="149" t="s">
        <v>844</v>
      </c>
      <c r="C5" s="149" t="s">
        <v>3122</v>
      </c>
      <c r="D5" s="149"/>
      <c r="E5" s="192"/>
      <c r="F5" s="192"/>
      <c r="G5" s="193" t="s">
        <v>631</v>
      </c>
      <c r="H5" s="105" t="n">
        <f aca="false">'[2]$ зима'!j5-'[2]$ зима'!au5-'[2]$ зима'!at5-'[2]$ зима'!as5-'[2]$ зима'!ar5-'[2]$ зима'!aq5-'[2]$ зима'!ap5-'[2]$ зима'!an5-'[2]$ зима'!am5-'[2]$ зима'!al5-'[2]$ зима'!ak5-'[2]$ зима'!aj5-'[2]$ зима'!ah5-'[2]$ зима'!ag5-'[2]$ зима'!af5-'[2]$ зима'!ae5-'[2]$ зима'!ad5-'[2]$ зима'!ab5-'[2]$ зима'!aa5-'[2]$ зима'!z5-'[2]$ зима'!y5-'[2]$ зима'!x5-'[2]$ зима'!v5-'[2]$ зима'!u5-'[2]$ зима'!t5-'[2]$ зима'!s5-'[2]$ зима'!r5-'[2]$ зима'!p5-'[2]$ зима'!o5-'[2]$ зима'!n5-'[2]$ зима'!m5-'[2]$ зима'!l5+'[2]$ зима'!q5+'[2]$ зима'!w5+'[2]$ зима'!ac5+'[2]$ зима'!ai5+'[2]$ зима'!ao5+'[2]$ зима'!k5</f>
        <v>6</v>
      </c>
      <c r="I5" s="191" t="n">
        <f aca="false">'[2]$ зима'!ay5*1.1</f>
        <v>770</v>
      </c>
      <c r="J5" s="171" t="n">
        <v>2012</v>
      </c>
    </row>
    <row r="6" customFormat="false" ht="15" hidden="true" customHeight="false" outlineLevel="0" collapsed="false">
      <c r="A6" s="188" t="s">
        <v>19</v>
      </c>
      <c r="B6" s="149" t="s">
        <v>555</v>
      </c>
      <c r="C6" s="148" t="s">
        <v>3123</v>
      </c>
      <c r="D6" s="148"/>
      <c r="E6" s="148"/>
      <c r="F6" s="148"/>
      <c r="G6" s="193"/>
      <c r="H6" s="105" t="n">
        <f aca="false">'[2]$ зима'!j6-'[2]$ зима'!au6-'[2]$ зима'!at6-'[2]$ зима'!as6-'[2]$ зима'!ar6-'[2]$ зима'!aq6-'[2]$ зима'!ap6-'[2]$ зима'!an6-'[2]$ зима'!am6-'[2]$ зима'!al6-'[2]$ зима'!ak6-'[2]$ зима'!aj6-'[2]$ зима'!ah6-'[2]$ зима'!ag6-'[2]$ зима'!af6-'[2]$ зима'!ae6-'[2]$ зима'!ad6-'[2]$ зима'!ab6-'[2]$ зима'!aa6-'[2]$ зима'!z6-'[2]$ зима'!y6-'[2]$ зима'!x6-'[2]$ зима'!v6-'[2]$ зима'!u6-'[2]$ зима'!t6-'[2]$ зима'!s6-'[2]$ зима'!r6-'[2]$ зима'!p6-'[2]$ зима'!o6-'[2]$ зима'!n6-'[2]$ зима'!m6-'[2]$ зима'!l6+'[2]$ зима'!q6+'[2]$ зима'!w6+'[2]$ зима'!ac6+'[2]$ зима'!ai6+'[2]$ зима'!ao6+'[2]$ зима'!k6</f>
        <v>0</v>
      </c>
      <c r="I6" s="191" t="n">
        <f aca="false">'[2]$ зима'!ay6*1.1</f>
        <v>800.8</v>
      </c>
    </row>
    <row r="7" customFormat="false" ht="15" hidden="true" customHeight="false" outlineLevel="0" collapsed="false">
      <c r="A7" s="188" t="s">
        <v>19</v>
      </c>
      <c r="B7" s="149" t="s">
        <v>2480</v>
      </c>
      <c r="C7" s="194" t="s">
        <v>3124</v>
      </c>
      <c r="D7" s="194"/>
      <c r="E7" s="194"/>
      <c r="F7" s="194"/>
      <c r="G7" s="193"/>
      <c r="H7" s="105" t="n">
        <f aca="false">'[2]$ зима'!j7-'[2]$ зима'!au7-'[2]$ зима'!at7-'[2]$ зима'!as7-'[2]$ зима'!ar7-'[2]$ зима'!aq7-'[2]$ зима'!ap7-'[2]$ зима'!an7-'[2]$ зима'!am7-'[2]$ зима'!al7-'[2]$ зима'!ak7-'[2]$ зима'!aj7-'[2]$ зима'!ah7-'[2]$ зима'!ag7-'[2]$ зима'!af7-'[2]$ зима'!ae7-'[2]$ зима'!ad7-'[2]$ зима'!ab7-'[2]$ зима'!aa7-'[2]$ зима'!z7-'[2]$ зима'!y7-'[2]$ зима'!x7-'[2]$ зима'!v7-'[2]$ зима'!u7-'[2]$ зима'!t7-'[2]$ зима'!s7-'[2]$ зима'!r7-'[2]$ зима'!p7-'[2]$ зима'!o7-'[2]$ зима'!n7-'[2]$ зима'!m7-'[2]$ зима'!l7+'[2]$ зима'!q7+'[2]$ зима'!w7+'[2]$ зима'!ac7+'[2]$ зима'!ai7+'[2]$ зима'!ao7+'[2]$ зима'!k7</f>
        <v>0</v>
      </c>
      <c r="I7" s="191" t="n">
        <f aca="false">'[2]$ зима'!ay7*1.1</f>
        <v>770</v>
      </c>
    </row>
    <row r="8" customFormat="false" ht="15" hidden="true" customHeight="false" outlineLevel="0" collapsed="false">
      <c r="A8" s="188" t="s">
        <v>19</v>
      </c>
      <c r="B8" s="149" t="s">
        <v>606</v>
      </c>
      <c r="C8" s="148" t="s">
        <v>3125</v>
      </c>
      <c r="D8" s="194"/>
      <c r="E8" s="194"/>
      <c r="F8" s="194"/>
      <c r="G8" s="193"/>
      <c r="H8" s="105" t="n">
        <f aca="false">'[2]$ зима'!j8-'[2]$ зима'!au8-'[2]$ зима'!at8-'[2]$ зима'!as8-'[2]$ зима'!ar8-'[2]$ зима'!aq8-'[2]$ зима'!ap8-'[2]$ зима'!an8-'[2]$ зима'!am8-'[2]$ зима'!al8-'[2]$ зима'!ak8-'[2]$ зима'!aj8-'[2]$ зима'!ah8-'[2]$ зима'!ag8-'[2]$ зима'!af8-'[2]$ зима'!ae8-'[2]$ зима'!ad8-'[2]$ зима'!ab8-'[2]$ зима'!aa8-'[2]$ зима'!z8-'[2]$ зима'!y8-'[2]$ зима'!x8-'[2]$ зима'!v8-'[2]$ зима'!u8-'[2]$ зима'!t8-'[2]$ зима'!s8-'[2]$ зима'!r8-'[2]$ зима'!p8-'[2]$ зима'!o8-'[2]$ зима'!n8-'[2]$ зима'!m8-'[2]$ зима'!l8+'[2]$ зима'!q8+'[2]$ зима'!w8+'[2]$ зима'!ac8+'[2]$ зима'!ai8+'[2]$ зима'!ao8+'[2]$ зима'!k8</f>
        <v>0</v>
      </c>
      <c r="I8" s="191" t="n">
        <f aca="false">'[2]$ зима'!ay8*1.1</f>
        <v>924</v>
      </c>
    </row>
    <row r="9" customFormat="false" ht="15" hidden="true" customHeight="false" outlineLevel="0" collapsed="false">
      <c r="A9" s="188" t="s">
        <v>19</v>
      </c>
      <c r="B9" s="149" t="s">
        <v>668</v>
      </c>
      <c r="C9" s="194" t="s">
        <v>3126</v>
      </c>
      <c r="D9" s="148" t="s">
        <v>3127</v>
      </c>
      <c r="E9" s="148"/>
      <c r="F9" s="148"/>
      <c r="G9" s="193"/>
      <c r="H9" s="105" t="n">
        <f aca="false">'[2]$ зима'!j9-'[2]$ зима'!au9-'[2]$ зима'!at9-'[2]$ зима'!as9-'[2]$ зима'!ar9-'[2]$ зима'!aq9-'[2]$ зима'!ap9-'[2]$ зима'!an9-'[2]$ зима'!am9-'[2]$ зима'!al9-'[2]$ зима'!ak9-'[2]$ зима'!aj9-'[2]$ зима'!ah9-'[2]$ зима'!ag9-'[2]$ зима'!af9-'[2]$ зима'!ae9-'[2]$ зима'!ad9-'[2]$ зима'!ab9-'[2]$ зима'!aa9-'[2]$ зима'!z9-'[2]$ зима'!y9-'[2]$ зима'!x9-'[2]$ зима'!v9-'[2]$ зима'!u9-'[2]$ зима'!t9-'[2]$ зима'!s9-'[2]$ зима'!r9-'[2]$ зима'!p9-'[2]$ зима'!o9-'[2]$ зима'!n9-'[2]$ зима'!m9-'[2]$ зима'!l9+'[2]$ зима'!q9+'[2]$ зима'!w9+'[2]$ зима'!ac9+'[2]$ зима'!ai9+'[2]$ зима'!ao9+'[2]$ зима'!k9</f>
        <v>0</v>
      </c>
      <c r="I9" s="191" t="n">
        <f aca="false">'[2]$ зима'!ay9*1.1</f>
        <v>831.6</v>
      </c>
    </row>
    <row r="10" customFormat="false" ht="15" hidden="false" customHeight="false" outlineLevel="0" collapsed="false">
      <c r="A10" s="188" t="s">
        <v>19</v>
      </c>
      <c r="B10" s="149" t="s">
        <v>574</v>
      </c>
      <c r="C10" s="148" t="s">
        <v>3128</v>
      </c>
      <c r="D10" s="148"/>
      <c r="E10" s="192"/>
      <c r="F10" s="192"/>
      <c r="G10" s="193" t="s">
        <v>576</v>
      </c>
      <c r="H10" s="105" t="n">
        <f aca="false">'[2]$ зима'!j10-'[2]$ зима'!au10-'[2]$ зима'!at10-'[2]$ зима'!as10-'[2]$ зима'!ar10-'[2]$ зима'!aq10-'[2]$ зима'!ap10-'[2]$ зима'!an10-'[2]$ зима'!am10-'[2]$ зима'!al10-'[2]$ зима'!ak10-'[2]$ зима'!aj10-'[2]$ зима'!ah10-'[2]$ зима'!ag10-'[2]$ зима'!af10-'[2]$ зима'!ae10-'[2]$ зима'!ad10-'[2]$ зима'!ab10-'[2]$ зима'!aa10-'[2]$ зима'!z10-'[2]$ зима'!y10-'[2]$ зима'!x10-'[2]$ зима'!v10-'[2]$ зима'!u10-'[2]$ зима'!t10-'[2]$ зима'!s10-'[2]$ зима'!r10-'[2]$ зима'!p10-'[2]$ зима'!o10-'[2]$ зима'!n10-'[2]$ зима'!m10-'[2]$ зима'!l10+'[2]$ зима'!q10+'[2]$ зима'!w10+'[2]$ зима'!ac10+'[2]$ зима'!ai10+'[2]$ зима'!ao10+'[2]$ зима'!k10</f>
        <v>4</v>
      </c>
      <c r="I10" s="191" t="n">
        <f aca="false">'[2]$ зима'!ay10*1.1</f>
        <v>999.68</v>
      </c>
      <c r="J10" s="171" t="n">
        <v>2018</v>
      </c>
    </row>
    <row r="11" customFormat="false" ht="15" hidden="true" customHeight="false" outlineLevel="0" collapsed="false">
      <c r="A11" s="188" t="s">
        <v>19</v>
      </c>
      <c r="B11" s="149" t="s">
        <v>1471</v>
      </c>
      <c r="C11" s="148" t="s">
        <v>3129</v>
      </c>
      <c r="D11" s="148"/>
      <c r="E11" s="148"/>
      <c r="F11" s="148"/>
      <c r="G11" s="193"/>
      <c r="H11" s="105" t="n">
        <f aca="false">'[2]$ зима'!j11-'[2]$ зима'!au11-'[2]$ зима'!at11-'[2]$ зима'!as11-'[2]$ зима'!ar11-'[2]$ зима'!aq11-'[2]$ зима'!ap11-'[2]$ зима'!an11-'[2]$ зима'!am11-'[2]$ зима'!al11-'[2]$ зима'!ak11-'[2]$ зима'!aj11-'[2]$ зима'!ah11-'[2]$ зима'!ag11-'[2]$ зима'!af11-'[2]$ зима'!ae11-'[2]$ зима'!ad11-'[2]$ зима'!ab11-'[2]$ зима'!aa11-'[2]$ зима'!z11-'[2]$ зима'!y11-'[2]$ зима'!x11-'[2]$ зима'!v11-'[2]$ зима'!u11-'[2]$ зима'!t11-'[2]$ зима'!s11-'[2]$ зима'!r11-'[2]$ зима'!p11-'[2]$ зима'!o11-'[2]$ зима'!n11-'[2]$ зима'!m11-'[2]$ зима'!l11+'[2]$ зима'!q11+'[2]$ зима'!w11+'[2]$ зима'!ac11+'[2]$ зима'!ai11+'[2]$ зима'!ao11+'[2]$ зима'!k11</f>
        <v>0</v>
      </c>
      <c r="I11" s="191" t="n">
        <f aca="false">'[2]$ зима'!ay11*1.1</f>
        <v>800.8</v>
      </c>
    </row>
    <row r="12" customFormat="false" ht="15" hidden="true" customHeight="false" outlineLevel="0" collapsed="false">
      <c r="A12" s="188" t="s">
        <v>19</v>
      </c>
      <c r="B12" s="149" t="s">
        <v>583</v>
      </c>
      <c r="C12" s="148" t="s">
        <v>3130</v>
      </c>
      <c r="D12" s="148"/>
      <c r="E12" s="148"/>
      <c r="F12" s="148"/>
      <c r="G12" s="193"/>
      <c r="H12" s="105" t="n">
        <f aca="false">'[2]$ зима'!j12-'[2]$ зима'!au12-'[2]$ зима'!at12-'[2]$ зима'!as12-'[2]$ зима'!ar12-'[2]$ зима'!aq12-'[2]$ зима'!ap12-'[2]$ зима'!an12-'[2]$ зима'!am12-'[2]$ зима'!al12-'[2]$ зима'!ak12-'[2]$ зима'!aj12-'[2]$ зима'!ah12-'[2]$ зима'!ag12-'[2]$ зима'!af12-'[2]$ зима'!ae12-'[2]$ зима'!ad12-'[2]$ зима'!ab12-'[2]$ зима'!aa12-'[2]$ зима'!z12-'[2]$ зима'!y12-'[2]$ зима'!x12-'[2]$ зима'!v12-'[2]$ зима'!u12-'[2]$ зима'!t12-'[2]$ зима'!s12-'[2]$ зима'!r12-'[2]$ зима'!p12-'[2]$ зима'!o12-'[2]$ зима'!n12-'[2]$ зима'!m12-'[2]$ зима'!l12+'[2]$ зима'!q12+'[2]$ зима'!w12+'[2]$ зима'!ac12+'[2]$ зима'!ai12+'[2]$ зима'!ao12+'[2]$ зима'!k12</f>
        <v>0</v>
      </c>
      <c r="I12" s="191" t="n">
        <f aca="false">'[2]$ зима'!ay12*1.1</f>
        <v>739.2</v>
      </c>
    </row>
    <row r="13" customFormat="false" ht="15" hidden="true" customHeight="false" outlineLevel="0" collapsed="false">
      <c r="A13" s="188" t="s">
        <v>19</v>
      </c>
      <c r="B13" s="149" t="s">
        <v>583</v>
      </c>
      <c r="C13" s="148" t="s">
        <v>3131</v>
      </c>
      <c r="D13" s="148"/>
      <c r="E13" s="148"/>
      <c r="F13" s="148"/>
      <c r="G13" s="193" t="s">
        <v>1075</v>
      </c>
      <c r="H13" s="105" t="n">
        <f aca="false">'[2]$ зима'!j13-'[2]$ зима'!au13-'[2]$ зима'!at13-'[2]$ зима'!as13-'[2]$ зима'!ar13-'[2]$ зима'!aq13-'[2]$ зима'!ap13-'[2]$ зима'!an13-'[2]$ зима'!am13-'[2]$ зима'!al13-'[2]$ зима'!ak13-'[2]$ зима'!aj13-'[2]$ зима'!ah13-'[2]$ зима'!ag13-'[2]$ зима'!af13-'[2]$ зима'!ae13-'[2]$ зима'!ad13-'[2]$ зима'!ab13-'[2]$ зима'!aa13-'[2]$ зима'!z13-'[2]$ зима'!y13-'[2]$ зима'!x13-'[2]$ зима'!v13-'[2]$ зима'!u13-'[2]$ зима'!t13-'[2]$ зима'!s13-'[2]$ зима'!r13-'[2]$ зима'!p13-'[2]$ зима'!o13-'[2]$ зима'!n13-'[2]$ зима'!m13-'[2]$ зима'!l13+'[2]$ зима'!q13+'[2]$ зима'!w13+'[2]$ зима'!ac13+'[2]$ зима'!ai13+'[2]$ зима'!ao13+'[2]$ зима'!k13</f>
        <v>0</v>
      </c>
      <c r="I13" s="191" t="n">
        <f aca="false">'[2]$ зима'!ay13*1.1</f>
        <v>924</v>
      </c>
      <c r="J13" s="171" t="n">
        <v>2017</v>
      </c>
    </row>
    <row r="14" customFormat="false" ht="15" hidden="true" customHeight="false" outlineLevel="0" collapsed="false">
      <c r="A14" s="188" t="s">
        <v>19</v>
      </c>
      <c r="B14" s="149" t="s">
        <v>613</v>
      </c>
      <c r="C14" s="148" t="s">
        <v>3132</v>
      </c>
      <c r="D14" s="148"/>
      <c r="E14" s="148" t="n">
        <v>75</v>
      </c>
      <c r="F14" s="148" t="s">
        <v>562</v>
      </c>
      <c r="G14" s="193" t="s">
        <v>2973</v>
      </c>
      <c r="H14" s="105" t="n">
        <f aca="false">'[2]$ зима'!j14-'[2]$ зима'!au14-'[2]$ зима'!at14-'[2]$ зима'!as14-'[2]$ зима'!ar14-'[2]$ зима'!aq14-'[2]$ зима'!ap14-'[2]$ зима'!an14-'[2]$ зима'!am14-'[2]$ зима'!al14-'[2]$ зима'!ak14-'[2]$ зима'!aj14-'[2]$ зима'!ah14-'[2]$ зима'!ag14-'[2]$ зима'!af14-'[2]$ зима'!ae14-'[2]$ зима'!ad14-'[2]$ зима'!ab14-'[2]$ зима'!aa14-'[2]$ зима'!z14-'[2]$ зима'!y14-'[2]$ зима'!x14-'[2]$ зима'!v14-'[2]$ зима'!u14-'[2]$ зима'!t14-'[2]$ зима'!s14-'[2]$ зима'!r14-'[2]$ зима'!p14-'[2]$ зима'!o14-'[2]$ зима'!n14-'[2]$ зима'!m14-'[2]$ зима'!l14+'[2]$ зима'!q14+'[2]$ зима'!w14+'[2]$ зима'!ac14+'[2]$ зима'!ai14+'[2]$ зима'!ao14+'[2]$ зима'!k14</f>
        <v>0</v>
      </c>
      <c r="I14" s="191" t="n">
        <f aca="false">'[2]$ зима'!ay14*1.1</f>
        <v>831.6</v>
      </c>
      <c r="J14" s="171" t="n">
        <v>2017</v>
      </c>
    </row>
    <row r="15" customFormat="false" ht="15" hidden="true" customHeight="false" outlineLevel="0" collapsed="false">
      <c r="A15" s="188" t="s">
        <v>19</v>
      </c>
      <c r="B15" s="149" t="s">
        <v>586</v>
      </c>
      <c r="C15" s="148" t="s">
        <v>3133</v>
      </c>
      <c r="D15" s="148"/>
      <c r="E15" s="148"/>
      <c r="F15" s="148"/>
      <c r="G15" s="193"/>
      <c r="H15" s="105" t="n">
        <f aca="false">'[2]$ зима'!j15-'[2]$ зима'!au15-'[2]$ зима'!at15-'[2]$ зима'!as15-'[2]$ зима'!ar15-'[2]$ зима'!aq15-'[2]$ зима'!ap15-'[2]$ зима'!an15-'[2]$ зима'!am15-'[2]$ зима'!al15-'[2]$ зима'!ak15-'[2]$ зима'!aj15-'[2]$ зима'!ah15-'[2]$ зима'!ag15-'[2]$ зима'!af15-'[2]$ зима'!ae15-'[2]$ зима'!ad15-'[2]$ зима'!ab15-'[2]$ зима'!aa15-'[2]$ зима'!z15-'[2]$ зима'!y15-'[2]$ зима'!x15-'[2]$ зима'!v15-'[2]$ зима'!u15-'[2]$ зима'!t15-'[2]$ зима'!s15-'[2]$ зима'!r15-'[2]$ зима'!p15-'[2]$ зима'!o15-'[2]$ зима'!n15-'[2]$ зима'!m15-'[2]$ зима'!l15+'[2]$ зима'!q15+'[2]$ зима'!w15+'[2]$ зима'!ac15+'[2]$ зима'!ai15+'[2]$ зима'!ao15+'[2]$ зима'!k15</f>
        <v>0</v>
      </c>
      <c r="I15" s="191" t="n">
        <f aca="false">'[2]$ зима'!ay15*1.1</f>
        <v>646.8</v>
      </c>
      <c r="J15" s="171" t="n">
        <v>2017</v>
      </c>
    </row>
    <row r="16" customFormat="false" ht="15" hidden="true" customHeight="false" outlineLevel="0" collapsed="false">
      <c r="A16" s="188" t="s">
        <v>19</v>
      </c>
      <c r="B16" s="149" t="s">
        <v>617</v>
      </c>
      <c r="C16" s="194" t="s">
        <v>3134</v>
      </c>
      <c r="D16" s="194"/>
      <c r="E16" s="194"/>
      <c r="F16" s="194"/>
      <c r="G16" s="193" t="s">
        <v>837</v>
      </c>
      <c r="H16" s="105" t="n">
        <f aca="false">'[2]$ зима'!j16-'[2]$ зима'!au16-'[2]$ зима'!at16-'[2]$ зима'!as16-'[2]$ зима'!ar16-'[2]$ зима'!aq16-'[2]$ зима'!ap16-'[2]$ зима'!an16-'[2]$ зима'!am16-'[2]$ зима'!al16-'[2]$ зима'!ak16-'[2]$ зима'!aj16-'[2]$ зима'!ah16-'[2]$ зима'!ag16-'[2]$ зима'!af16-'[2]$ зима'!ae16-'[2]$ зима'!ad16-'[2]$ зима'!ab16-'[2]$ зима'!aa16-'[2]$ зима'!z16-'[2]$ зима'!y16-'[2]$ зима'!x16-'[2]$ зима'!v16-'[2]$ зима'!u16-'[2]$ зима'!t16-'[2]$ зима'!s16-'[2]$ зима'!r16-'[2]$ зима'!p16-'[2]$ зима'!o16-'[2]$ зима'!n16-'[2]$ зима'!m16-'[2]$ зима'!l16+'[2]$ зима'!q16+'[2]$ зима'!w16+'[2]$ зима'!ac16+'[2]$ зима'!ai16+'[2]$ зима'!ao16+'[2]$ зима'!k16</f>
        <v>0</v>
      </c>
      <c r="I16" s="191" t="n">
        <f aca="false">'[2]$ зима'!ay16*1.1</f>
        <v>770</v>
      </c>
      <c r="J16" s="171" t="n">
        <v>2012</v>
      </c>
    </row>
    <row r="17" customFormat="false" ht="15" hidden="false" customHeight="false" outlineLevel="0" collapsed="false">
      <c r="A17" s="188" t="s">
        <v>19</v>
      </c>
      <c r="B17" s="149" t="s">
        <v>677</v>
      </c>
      <c r="C17" s="194" t="s">
        <v>3135</v>
      </c>
      <c r="D17" s="194"/>
      <c r="E17" s="195"/>
      <c r="F17" s="195"/>
      <c r="G17" s="193"/>
      <c r="H17" s="105" t="n">
        <f aca="false">'[2]$ зима'!j17-'[2]$ зима'!au17-'[2]$ зима'!at17-'[2]$ зима'!as17-'[2]$ зима'!ar17-'[2]$ зима'!aq17-'[2]$ зима'!ap17-'[2]$ зима'!an17-'[2]$ зима'!am17-'[2]$ зима'!al17-'[2]$ зима'!ak17-'[2]$ зима'!aj17-'[2]$ зима'!ah17-'[2]$ зима'!ag17-'[2]$ зима'!af17-'[2]$ зима'!ae17-'[2]$ зима'!ad17-'[2]$ зима'!ab17-'[2]$ зима'!aa17-'[2]$ зима'!z17-'[2]$ зима'!y17-'[2]$ зима'!x17-'[2]$ зима'!v17-'[2]$ зима'!u17-'[2]$ зима'!t17-'[2]$ зима'!s17-'[2]$ зима'!r17-'[2]$ зима'!p17-'[2]$ зима'!o17-'[2]$ зима'!n17-'[2]$ зима'!m17-'[2]$ зима'!l17+'[2]$ зима'!q17+'[2]$ зима'!w17+'[2]$ зима'!ac17+'[2]$ зима'!ai17+'[2]$ зима'!ao17+'[2]$ зима'!k17</f>
        <v>2</v>
      </c>
      <c r="I17" s="191" t="n">
        <f aca="false">'[2]$ зима'!ay17*1.1</f>
        <v>708.4</v>
      </c>
      <c r="J17" s="171" t="n">
        <v>2013</v>
      </c>
    </row>
    <row r="18" customFormat="false" ht="15" hidden="true" customHeight="false" outlineLevel="0" collapsed="false">
      <c r="A18" s="188" t="s">
        <v>19</v>
      </c>
      <c r="B18" s="149" t="s">
        <v>677</v>
      </c>
      <c r="C18" s="194" t="s">
        <v>3136</v>
      </c>
      <c r="D18" s="194"/>
      <c r="E18" s="194"/>
      <c r="F18" s="194"/>
      <c r="G18" s="193"/>
      <c r="H18" s="105" t="n">
        <f aca="false">'[2]$ зима'!j18-'[2]$ зима'!au18-'[2]$ зима'!at18-'[2]$ зима'!as18-'[2]$ зима'!ar18-'[2]$ зима'!aq18-'[2]$ зима'!ap18-'[2]$ зима'!an18-'[2]$ зима'!am18-'[2]$ зима'!al18-'[2]$ зима'!ak18-'[2]$ зима'!aj18-'[2]$ зима'!ah18-'[2]$ зима'!ag18-'[2]$ зима'!af18-'[2]$ зима'!ae18-'[2]$ зима'!ad18-'[2]$ зима'!ab18-'[2]$ зима'!aa18-'[2]$ зима'!z18-'[2]$ зима'!y18-'[2]$ зима'!x18-'[2]$ зима'!v18-'[2]$ зима'!u18-'[2]$ зима'!t18-'[2]$ зима'!s18-'[2]$ зима'!r18-'[2]$ зима'!p18-'[2]$ зима'!o18-'[2]$ зима'!n18-'[2]$ зима'!m18-'[2]$ зима'!l18+'[2]$ зима'!q18+'[2]$ зима'!w18+'[2]$ зима'!ac18+'[2]$ зима'!ai18+'[2]$ зима'!ao18+'[2]$ зима'!k18</f>
        <v>0</v>
      </c>
      <c r="I18" s="191" t="n">
        <f aca="false">'[2]$ зима'!ay18*1.1</f>
        <v>708.4</v>
      </c>
    </row>
    <row r="19" customFormat="false" ht="15" hidden="false" customHeight="false" outlineLevel="0" collapsed="false">
      <c r="A19" s="188" t="s">
        <v>19</v>
      </c>
      <c r="B19" s="149" t="s">
        <v>652</v>
      </c>
      <c r="C19" s="148" t="s">
        <v>3137</v>
      </c>
      <c r="D19" s="148"/>
      <c r="E19" s="192"/>
      <c r="F19" s="192"/>
      <c r="G19" s="193" t="s">
        <v>663</v>
      </c>
      <c r="H19" s="105" t="n">
        <f aca="false">'[2]$ зима'!j19-'[2]$ зима'!au19-'[2]$ зима'!at19-'[2]$ зима'!as19-'[2]$ зима'!ar19-'[2]$ зима'!aq19-'[2]$ зима'!ap19-'[2]$ зима'!an19-'[2]$ зима'!am19-'[2]$ зима'!al19-'[2]$ зима'!ak19-'[2]$ зима'!aj19-'[2]$ зима'!ah19-'[2]$ зима'!ag19-'[2]$ зима'!af19-'[2]$ зима'!ae19-'[2]$ зима'!ad19-'[2]$ зима'!ab19-'[2]$ зима'!aa19-'[2]$ зима'!z19-'[2]$ зима'!y19-'[2]$ зима'!x19-'[2]$ зима'!v19-'[2]$ зима'!u19-'[2]$ зима'!t19-'[2]$ зима'!s19-'[2]$ зима'!r19-'[2]$ зима'!p19-'[2]$ зима'!o19-'[2]$ зима'!n19-'[2]$ зима'!m19-'[2]$ зима'!l19+'[2]$ зима'!q19+'[2]$ зима'!w19+'[2]$ зима'!ac19+'[2]$ зима'!ai19+'[2]$ зима'!ao19+'[2]$ зима'!k19</f>
        <v>4</v>
      </c>
      <c r="I19" s="191" t="n">
        <f aca="false">'[2]$ зима'!ay19*1.1</f>
        <v>985.6</v>
      </c>
      <c r="J19" s="171" t="n">
        <v>2017</v>
      </c>
    </row>
    <row r="20" customFormat="false" ht="15" hidden="true" customHeight="false" outlineLevel="0" collapsed="false">
      <c r="A20" s="188" t="s">
        <v>19</v>
      </c>
      <c r="B20" s="149" t="s">
        <v>564</v>
      </c>
      <c r="C20" s="148" t="s">
        <v>3138</v>
      </c>
      <c r="D20" s="148"/>
      <c r="E20" s="148"/>
      <c r="F20" s="148"/>
      <c r="G20" s="193"/>
      <c r="H20" s="105" t="n">
        <f aca="false">'[2]$ зима'!j20-'[2]$ зима'!au20-'[2]$ зима'!at20-'[2]$ зима'!as20-'[2]$ зима'!ar20-'[2]$ зима'!aq20-'[2]$ зима'!ap20-'[2]$ зима'!an20-'[2]$ зима'!am20-'[2]$ зима'!al20-'[2]$ зима'!ak20-'[2]$ зима'!aj20-'[2]$ зима'!ah20-'[2]$ зима'!ag20-'[2]$ зима'!af20-'[2]$ зима'!ae20-'[2]$ зима'!ad20-'[2]$ зима'!ab20-'[2]$ зима'!aa20-'[2]$ зима'!z20-'[2]$ зима'!y20-'[2]$ зима'!x20-'[2]$ зима'!v20-'[2]$ зима'!u20-'[2]$ зима'!t20-'[2]$ зима'!s20-'[2]$ зима'!r20-'[2]$ зима'!p20-'[2]$ зима'!o20-'[2]$ зима'!n20-'[2]$ зима'!m20-'[2]$ зима'!l20+'[2]$ зима'!q20+'[2]$ зима'!w20+'[2]$ зима'!ac20+'[2]$ зима'!ai20+'[2]$ зима'!ao20+'[2]$ зима'!k20</f>
        <v>0</v>
      </c>
      <c r="I20" s="191" t="n">
        <f aca="false">'[2]$ зима'!ay20*1.1</f>
        <v>638</v>
      </c>
    </row>
    <row r="21" customFormat="false" ht="15" hidden="true" customHeight="false" outlineLevel="0" collapsed="false">
      <c r="A21" s="196" t="s">
        <v>34</v>
      </c>
      <c r="B21" s="149" t="s">
        <v>568</v>
      </c>
      <c r="C21" s="148" t="s">
        <v>3139</v>
      </c>
      <c r="D21" s="148"/>
      <c r="E21" s="148" t="n">
        <v>79</v>
      </c>
      <c r="F21" s="148" t="s">
        <v>562</v>
      </c>
      <c r="G21" s="193"/>
      <c r="H21" s="105" t="n">
        <f aca="false">'[2]$ зима'!j21-'[2]$ зима'!au21-'[2]$ зима'!at21-'[2]$ зима'!as21-'[2]$ зима'!ar21-'[2]$ зима'!aq21-'[2]$ зима'!ap21-'[2]$ зима'!an21-'[2]$ зима'!am21-'[2]$ зима'!al21-'[2]$ зима'!ak21-'[2]$ зима'!aj21-'[2]$ зима'!ah21-'[2]$ зима'!ag21-'[2]$ зима'!af21-'[2]$ зима'!ae21-'[2]$ зима'!ad21-'[2]$ зима'!ab21-'[2]$ зима'!aa21-'[2]$ зима'!z21-'[2]$ зима'!y21-'[2]$ зима'!x21-'[2]$ зима'!v21-'[2]$ зима'!u21-'[2]$ зима'!t21-'[2]$ зима'!s21-'[2]$ зима'!r21-'[2]$ зима'!p21-'[2]$ зима'!o21-'[2]$ зима'!n21-'[2]$ зима'!m21-'[2]$ зима'!l21+'[2]$ зима'!q21+'[2]$ зима'!w21+'[2]$ зима'!ac21+'[2]$ зима'!ai21+'[2]$ зима'!ao21+'[2]$ зима'!k21</f>
        <v>0</v>
      </c>
      <c r="I21" s="191" t="n">
        <f aca="false">'[2]$ зима'!ay21*1.1</f>
        <v>893.2</v>
      </c>
    </row>
    <row r="22" customFormat="false" ht="15" hidden="true" customHeight="false" outlineLevel="0" collapsed="false">
      <c r="A22" s="196" t="s">
        <v>34</v>
      </c>
      <c r="B22" s="149" t="s">
        <v>555</v>
      </c>
      <c r="C22" s="148" t="s">
        <v>3140</v>
      </c>
      <c r="D22" s="148"/>
      <c r="E22" s="148"/>
      <c r="F22" s="148"/>
      <c r="G22" s="193"/>
      <c r="H22" s="105" t="n">
        <f aca="false">'[2]$ зима'!j22-'[2]$ зима'!au22-'[2]$ зима'!at22-'[2]$ зима'!as22-'[2]$ зима'!ar22-'[2]$ зима'!aq22-'[2]$ зима'!ap22-'[2]$ зима'!an22-'[2]$ зима'!am22-'[2]$ зима'!al22-'[2]$ зима'!ak22-'[2]$ зима'!aj22-'[2]$ зима'!ah22-'[2]$ зима'!ag22-'[2]$ зима'!af22-'[2]$ зима'!ae22-'[2]$ зима'!ad22-'[2]$ зима'!ab22-'[2]$ зима'!aa22-'[2]$ зима'!z22-'[2]$ зима'!y22-'[2]$ зима'!x22-'[2]$ зима'!v22-'[2]$ зима'!u22-'[2]$ зима'!t22-'[2]$ зима'!s22-'[2]$ зима'!r22-'[2]$ зима'!p22-'[2]$ зима'!o22-'[2]$ зима'!n22-'[2]$ зима'!m22-'[2]$ зима'!l22+'[2]$ зима'!q22+'[2]$ зима'!w22+'[2]$ зима'!ac22+'[2]$ зима'!ai22+'[2]$ зима'!ao22+'[2]$ зима'!k22</f>
        <v>0</v>
      </c>
      <c r="I22" s="191" t="n">
        <f aca="false">'[2]$ зима'!ay22*1.1</f>
        <v>862.4</v>
      </c>
    </row>
    <row r="23" customFormat="false" ht="15" hidden="true" customHeight="false" outlineLevel="0" collapsed="false">
      <c r="A23" s="196" t="s">
        <v>34</v>
      </c>
      <c r="B23" s="149" t="s">
        <v>583</v>
      </c>
      <c r="C23" s="148" t="s">
        <v>3131</v>
      </c>
      <c r="D23" s="148"/>
      <c r="E23" s="148"/>
      <c r="F23" s="148"/>
      <c r="G23" s="193"/>
      <c r="H23" s="105" t="n">
        <f aca="false">'[2]$ зима'!j23-'[2]$ зима'!au23-'[2]$ зима'!at23-'[2]$ зима'!as23-'[2]$ зима'!ar23-'[2]$ зима'!aq23-'[2]$ зима'!ap23-'[2]$ зима'!an23-'[2]$ зима'!am23-'[2]$ зима'!al23-'[2]$ зима'!ak23-'[2]$ зима'!aj23-'[2]$ зима'!ah23-'[2]$ зима'!ag23-'[2]$ зима'!af23-'[2]$ зима'!ae23-'[2]$ зима'!ad23-'[2]$ зима'!ab23-'[2]$ зима'!aa23-'[2]$ зима'!z23-'[2]$ зима'!y23-'[2]$ зима'!x23-'[2]$ зима'!v23-'[2]$ зима'!u23-'[2]$ зима'!t23-'[2]$ зима'!s23-'[2]$ зима'!r23-'[2]$ зима'!p23-'[2]$ зима'!o23-'[2]$ зима'!n23-'[2]$ зима'!m23-'[2]$ зима'!l23+'[2]$ зима'!q23+'[2]$ зима'!w23+'[2]$ зима'!ac23+'[2]$ зима'!ai23+'[2]$ зима'!ao23+'[2]$ зима'!k23</f>
        <v>0</v>
      </c>
      <c r="I23" s="191" t="n">
        <f aca="false">'[2]$ зима'!ay23*1.1</f>
        <v>893.2</v>
      </c>
    </row>
    <row r="24" customFormat="false" ht="15" hidden="true" customHeight="false" outlineLevel="0" collapsed="false">
      <c r="A24" s="196" t="s">
        <v>34</v>
      </c>
      <c r="B24" s="149" t="s">
        <v>583</v>
      </c>
      <c r="C24" s="148" t="s">
        <v>3141</v>
      </c>
      <c r="D24" s="148"/>
      <c r="E24" s="148"/>
      <c r="F24" s="148"/>
      <c r="G24" s="193"/>
      <c r="H24" s="105" t="n">
        <f aca="false">'[2]$ зима'!j24-'[2]$ зима'!au24-'[2]$ зима'!at24-'[2]$ зима'!as24-'[2]$ зима'!ar24-'[2]$ зима'!aq24-'[2]$ зима'!ap24-'[2]$ зима'!an24-'[2]$ зима'!am24-'[2]$ зима'!al24-'[2]$ зима'!ak24-'[2]$ зима'!aj24-'[2]$ зима'!ah24-'[2]$ зима'!ag24-'[2]$ зима'!af24-'[2]$ зима'!ae24-'[2]$ зима'!ad24-'[2]$ зима'!ab24-'[2]$ зима'!aa24-'[2]$ зима'!z24-'[2]$ зима'!y24-'[2]$ зима'!x24-'[2]$ зима'!v24-'[2]$ зима'!u24-'[2]$ зима'!t24-'[2]$ зима'!s24-'[2]$ зима'!r24-'[2]$ зима'!p24-'[2]$ зима'!o24-'[2]$ зима'!n24-'[2]$ зима'!m24-'[2]$ зима'!l24+'[2]$ зима'!q24+'[2]$ зима'!w24+'[2]$ зима'!ac24+'[2]$ зима'!ai24+'[2]$ зима'!ao24+'[2]$ зима'!k24</f>
        <v>0</v>
      </c>
      <c r="I24" s="191" t="n">
        <f aca="false">'[2]$ зима'!ay24*1.1</f>
        <v>462</v>
      </c>
    </row>
    <row r="25" customFormat="false" ht="15" hidden="true" customHeight="false" outlineLevel="0" collapsed="false">
      <c r="A25" s="196" t="s">
        <v>34</v>
      </c>
      <c r="B25" s="149" t="s">
        <v>586</v>
      </c>
      <c r="C25" s="148" t="s">
        <v>3133</v>
      </c>
      <c r="D25" s="148"/>
      <c r="E25" s="148"/>
      <c r="F25" s="148"/>
      <c r="G25" s="193"/>
      <c r="H25" s="105" t="n">
        <f aca="false">'[2]$ зима'!j25-'[2]$ зима'!au25-'[2]$ зима'!at25-'[2]$ зима'!as25-'[2]$ зима'!ar25-'[2]$ зима'!aq25-'[2]$ зима'!ap25-'[2]$ зима'!an25-'[2]$ зима'!am25-'[2]$ зима'!al25-'[2]$ зима'!ak25-'[2]$ зима'!aj25-'[2]$ зима'!ah25-'[2]$ зима'!ag25-'[2]$ зима'!af25-'[2]$ зима'!ae25-'[2]$ зима'!ad25-'[2]$ зима'!ab25-'[2]$ зима'!aa25-'[2]$ зима'!z25-'[2]$ зима'!y25-'[2]$ зима'!x25-'[2]$ зима'!v25-'[2]$ зима'!u25-'[2]$ зима'!t25-'[2]$ зима'!s25-'[2]$ зима'!r25-'[2]$ зима'!p25-'[2]$ зима'!o25-'[2]$ зима'!n25-'[2]$ зима'!m25-'[2]$ зима'!l25+'[2]$ зима'!q25+'[2]$ зима'!w25+'[2]$ зима'!ac25+'[2]$ зима'!ai25+'[2]$ зима'!ao25+'[2]$ зима'!k25</f>
        <v>0</v>
      </c>
      <c r="I25" s="191" t="n">
        <f aca="false">'[2]$ зима'!ay25*1.1</f>
        <v>708.4</v>
      </c>
      <c r="J25" s="171" t="n">
        <v>2017</v>
      </c>
    </row>
    <row r="26" customFormat="false" ht="15" hidden="true" customHeight="false" outlineLevel="0" collapsed="false">
      <c r="A26" s="196" t="s">
        <v>34</v>
      </c>
      <c r="B26" s="149" t="s">
        <v>3142</v>
      </c>
      <c r="C26" s="148" t="s">
        <v>3143</v>
      </c>
      <c r="D26" s="148"/>
      <c r="E26" s="148"/>
      <c r="F26" s="148"/>
      <c r="G26" s="193"/>
      <c r="H26" s="105" t="n">
        <f aca="false">'[2]$ зима'!j26-'[2]$ зима'!au26-'[2]$ зима'!at26-'[2]$ зима'!as26-'[2]$ зима'!ar26-'[2]$ зима'!aq26-'[2]$ зима'!ap26-'[2]$ зима'!an26-'[2]$ зима'!am26-'[2]$ зима'!al26-'[2]$ зима'!ak26-'[2]$ зима'!aj26-'[2]$ зима'!ah26-'[2]$ зима'!ag26-'[2]$ зима'!af26-'[2]$ зима'!ae26-'[2]$ зима'!ad26-'[2]$ зима'!ab26-'[2]$ зима'!aa26-'[2]$ зима'!z26-'[2]$ зима'!y26-'[2]$ зима'!x26-'[2]$ зима'!v26-'[2]$ зима'!u26-'[2]$ зима'!t26-'[2]$ зима'!s26-'[2]$ зима'!r26-'[2]$ зима'!p26-'[2]$ зима'!o26-'[2]$ зима'!n26-'[2]$ зима'!m26-'[2]$ зима'!l26+'[2]$ зима'!q26+'[2]$ зима'!w26+'[2]$ зима'!ac26+'[2]$ зима'!ai26+'[2]$ зима'!ao26+'[2]$ зима'!k26</f>
        <v>0</v>
      </c>
      <c r="I26" s="191" t="n">
        <f aca="false">'[2]$ зима'!ay26*1.1</f>
        <v>800.8</v>
      </c>
    </row>
    <row r="27" customFormat="false" ht="15" hidden="true" customHeight="false" outlineLevel="0" collapsed="false">
      <c r="A27" s="196" t="s">
        <v>34</v>
      </c>
      <c r="B27" s="149" t="s">
        <v>652</v>
      </c>
      <c r="C27" s="148" t="s">
        <v>3144</v>
      </c>
      <c r="D27" s="148"/>
      <c r="E27" s="148"/>
      <c r="F27" s="148"/>
      <c r="G27" s="193"/>
      <c r="H27" s="105" t="n">
        <f aca="false">'[2]$ зима'!j27-'[2]$ зима'!au27-'[2]$ зима'!at27-'[2]$ зима'!as27-'[2]$ зима'!ar27-'[2]$ зима'!aq27-'[2]$ зима'!ap27-'[2]$ зима'!an27-'[2]$ зима'!am27-'[2]$ зима'!al27-'[2]$ зима'!ak27-'[2]$ зима'!aj27-'[2]$ зима'!ah27-'[2]$ зима'!ag27-'[2]$ зима'!af27-'[2]$ зима'!ae27-'[2]$ зима'!ad27-'[2]$ зима'!ab27-'[2]$ зима'!aa27-'[2]$ зима'!z27-'[2]$ зима'!y27-'[2]$ зима'!x27-'[2]$ зима'!v27-'[2]$ зима'!u27-'[2]$ зима'!t27-'[2]$ зима'!s27-'[2]$ зима'!r27-'[2]$ зима'!p27-'[2]$ зима'!o27-'[2]$ зима'!n27-'[2]$ зима'!m27-'[2]$ зима'!l27+'[2]$ зима'!q27+'[2]$ зима'!w27+'[2]$ зима'!ac27+'[2]$ зима'!ai27+'[2]$ зима'!ao27+'[2]$ зима'!k27</f>
        <v>0</v>
      </c>
      <c r="I27" s="191" t="n">
        <f aca="false">'[2]$ зима'!ay27*1.1</f>
        <v>862.4</v>
      </c>
    </row>
    <row r="28" customFormat="false" ht="15" hidden="false" customHeight="false" outlineLevel="0" collapsed="false">
      <c r="A28" s="196" t="s">
        <v>44</v>
      </c>
      <c r="B28" s="149" t="s">
        <v>2705</v>
      </c>
      <c r="C28" s="148" t="s">
        <v>3145</v>
      </c>
      <c r="D28" s="148"/>
      <c r="E28" s="192"/>
      <c r="F28" s="192"/>
      <c r="G28" s="193"/>
      <c r="H28" s="105" t="n">
        <f aca="false">'[2]$ зима'!j28-'[2]$ зима'!au28-'[2]$ зима'!at28-'[2]$ зима'!as28-'[2]$ зима'!ar28-'[2]$ зима'!aq28-'[2]$ зима'!ap28-'[2]$ зима'!an28-'[2]$ зима'!am28-'[2]$ зима'!al28-'[2]$ зима'!ak28-'[2]$ зима'!aj28-'[2]$ зима'!ah28-'[2]$ зима'!ag28-'[2]$ зима'!af28-'[2]$ зима'!ae28-'[2]$ зима'!ad28-'[2]$ зима'!ab28-'[2]$ зима'!aa28-'[2]$ зима'!z28-'[2]$ зима'!y28-'[2]$ зима'!x28-'[2]$ зима'!v28-'[2]$ зима'!u28-'[2]$ зима'!t28-'[2]$ зима'!s28-'[2]$ зима'!r28-'[2]$ зима'!p28-'[2]$ зима'!o28-'[2]$ зима'!n28-'[2]$ зима'!m28-'[2]$ зима'!l28+'[2]$ зима'!q28+'[2]$ зима'!w28+'[2]$ зима'!ac28+'[2]$ зима'!ai28+'[2]$ зима'!ao28+'[2]$ зима'!k28</f>
        <v>4</v>
      </c>
      <c r="I28" s="191" t="n">
        <f aca="false">'[2]$ зима'!ay28*1.1</f>
        <v>862.4</v>
      </c>
      <c r="J28" s="171" t="n">
        <v>2017</v>
      </c>
    </row>
    <row r="29" customFormat="false" ht="15" hidden="true" customHeight="false" outlineLevel="0" collapsed="false">
      <c r="A29" s="196" t="s">
        <v>44</v>
      </c>
      <c r="B29" s="149" t="s">
        <v>568</v>
      </c>
      <c r="C29" s="148" t="s">
        <v>3121</v>
      </c>
      <c r="D29" s="148"/>
      <c r="E29" s="148"/>
      <c r="F29" s="148"/>
      <c r="G29" s="193"/>
      <c r="H29" s="105" t="n">
        <f aca="false">'[2]$ зима'!j29-'[2]$ зима'!au29-'[2]$ зима'!at29-'[2]$ зима'!as29-'[2]$ зима'!ar29-'[2]$ зима'!aq29-'[2]$ зима'!ap29-'[2]$ зима'!an29-'[2]$ зима'!am29-'[2]$ зима'!al29-'[2]$ зима'!ak29-'[2]$ зима'!aj29-'[2]$ зима'!ah29-'[2]$ зима'!ag29-'[2]$ зима'!af29-'[2]$ зима'!ae29-'[2]$ зима'!ad29-'[2]$ зима'!ab29-'[2]$ зима'!aa29-'[2]$ зима'!z29-'[2]$ зима'!y29-'[2]$ зима'!x29-'[2]$ зима'!v29-'[2]$ зима'!u29-'[2]$ зима'!t29-'[2]$ зима'!s29-'[2]$ зима'!r29-'[2]$ зима'!p29-'[2]$ зима'!o29-'[2]$ зима'!n29-'[2]$ зима'!m29-'[2]$ зима'!l29+'[2]$ зима'!q29+'[2]$ зима'!w29+'[2]$ зима'!ac29+'[2]$ зима'!ai29+'[2]$ зима'!ao29+'[2]$ зима'!k29</f>
        <v>0</v>
      </c>
      <c r="I29" s="191" t="n">
        <f aca="false">'[2]$ зима'!ay29*1.1</f>
        <v>893.2</v>
      </c>
    </row>
    <row r="30" customFormat="false" ht="15" hidden="false" customHeight="false" outlineLevel="0" collapsed="false">
      <c r="A30" s="196" t="s">
        <v>44</v>
      </c>
      <c r="B30" s="149" t="s">
        <v>844</v>
      </c>
      <c r="C30" s="148" t="s">
        <v>3146</v>
      </c>
      <c r="D30" s="148" t="s">
        <v>3147</v>
      </c>
      <c r="E30" s="192"/>
      <c r="F30" s="192"/>
      <c r="G30" s="193" t="s">
        <v>722</v>
      </c>
      <c r="H30" s="105" t="n">
        <f aca="false">'[2]$ зима'!j30-'[2]$ зима'!au30-'[2]$ зима'!at30-'[2]$ зима'!as30-'[2]$ зима'!ar30-'[2]$ зима'!aq30-'[2]$ зима'!ap30-'[2]$ зима'!an30-'[2]$ зима'!am30-'[2]$ зима'!al30-'[2]$ зима'!ak30-'[2]$ зима'!aj30-'[2]$ зима'!ah30-'[2]$ зима'!ag30-'[2]$ зима'!af30-'[2]$ зима'!ae30-'[2]$ зима'!ad30-'[2]$ зима'!ab30-'[2]$ зима'!aa30-'[2]$ зима'!z30-'[2]$ зима'!y30-'[2]$ зима'!x30-'[2]$ зима'!v30-'[2]$ зима'!u30-'[2]$ зима'!t30-'[2]$ зима'!s30-'[2]$ зима'!r30-'[2]$ зима'!p30-'[2]$ зима'!o30-'[2]$ зима'!n30-'[2]$ зима'!m30-'[2]$ зима'!l30+'[2]$ зима'!q30+'[2]$ зима'!w30+'[2]$ зима'!ac30+'[2]$ зима'!ai30+'[2]$ зима'!ao30+'[2]$ зима'!k30</f>
        <v>4</v>
      </c>
      <c r="I30" s="191" t="n">
        <f aca="false">'[2]$ зима'!ay30*1.1</f>
        <v>1478.4</v>
      </c>
      <c r="J30" s="171" t="n">
        <v>2011</v>
      </c>
    </row>
    <row r="31" customFormat="false" ht="15" hidden="false" customHeight="false" outlineLevel="0" collapsed="false">
      <c r="A31" s="196" t="s">
        <v>44</v>
      </c>
      <c r="B31" s="149" t="s">
        <v>844</v>
      </c>
      <c r="C31" s="148" t="s">
        <v>3122</v>
      </c>
      <c r="D31" s="148"/>
      <c r="E31" s="192"/>
      <c r="F31" s="192"/>
      <c r="G31" s="193" t="s">
        <v>663</v>
      </c>
      <c r="H31" s="105" t="n">
        <f aca="false">'[2]$ зима'!j31-'[2]$ зима'!au31-'[2]$ зима'!at31-'[2]$ зима'!as31-'[2]$ зима'!ar31-'[2]$ зима'!aq31-'[2]$ зима'!ap31-'[2]$ зима'!an31-'[2]$ зима'!am31-'[2]$ зима'!al31-'[2]$ зима'!ak31-'[2]$ зима'!aj31-'[2]$ зима'!ah31-'[2]$ зима'!ag31-'[2]$ зима'!af31-'[2]$ зима'!ae31-'[2]$ зима'!ad31-'[2]$ зима'!ab31-'[2]$ зима'!aa31-'[2]$ зима'!z31-'[2]$ зима'!y31-'[2]$ зима'!x31-'[2]$ зима'!v31-'[2]$ зима'!u31-'[2]$ зима'!t31-'[2]$ зима'!s31-'[2]$ зима'!r31-'[2]$ зима'!p31-'[2]$ зима'!o31-'[2]$ зима'!n31-'[2]$ зима'!m31-'[2]$ зима'!l31+'[2]$ зима'!q31+'[2]$ зима'!w31+'[2]$ зима'!ac31+'[2]$ зима'!ai31+'[2]$ зима'!ao31+'[2]$ зима'!k31</f>
        <v>2</v>
      </c>
      <c r="I31" s="191" t="n">
        <f aca="false">'[2]$ зима'!ay31*1.1</f>
        <v>862.4</v>
      </c>
      <c r="J31" s="171" t="n">
        <v>2011</v>
      </c>
    </row>
    <row r="32" customFormat="false" ht="15" hidden="true" customHeight="false" outlineLevel="0" collapsed="false">
      <c r="A32" s="196" t="s">
        <v>44</v>
      </c>
      <c r="B32" s="149" t="s">
        <v>601</v>
      </c>
      <c r="C32" s="148" t="s">
        <v>3148</v>
      </c>
      <c r="D32" s="148" t="s">
        <v>3149</v>
      </c>
      <c r="E32" s="148"/>
      <c r="F32" s="148"/>
      <c r="G32" s="193"/>
      <c r="H32" s="105" t="n">
        <f aca="false">'[2]$ зима'!j32-'[2]$ зима'!au32-'[2]$ зима'!at32-'[2]$ зима'!as32-'[2]$ зима'!ar32-'[2]$ зима'!aq32-'[2]$ зима'!ap32-'[2]$ зима'!an32-'[2]$ зима'!am32-'[2]$ зима'!al32-'[2]$ зима'!ak32-'[2]$ зима'!aj32-'[2]$ зима'!ah32-'[2]$ зима'!ag32-'[2]$ зима'!af32-'[2]$ зима'!ae32-'[2]$ зима'!ad32-'[2]$ зима'!ab32-'[2]$ зима'!aa32-'[2]$ зима'!z32-'[2]$ зима'!y32-'[2]$ зима'!x32-'[2]$ зима'!v32-'[2]$ зима'!u32-'[2]$ зима'!t32-'[2]$ зима'!s32-'[2]$ зима'!r32-'[2]$ зима'!p32-'[2]$ зима'!o32-'[2]$ зима'!n32-'[2]$ зима'!m32-'[2]$ зима'!l32+'[2]$ зима'!q32+'[2]$ зима'!w32+'[2]$ зима'!ac32+'[2]$ зима'!ai32+'[2]$ зима'!ao32+'[2]$ зима'!k32</f>
        <v>0</v>
      </c>
      <c r="I32" s="191" t="n">
        <f aca="false">'[2]$ зима'!ay32*1.1</f>
        <v>1262.8</v>
      </c>
    </row>
    <row r="33" customFormat="false" ht="15" hidden="true" customHeight="false" outlineLevel="0" collapsed="false">
      <c r="A33" s="196" t="s">
        <v>44</v>
      </c>
      <c r="B33" s="149" t="s">
        <v>601</v>
      </c>
      <c r="C33" s="148" t="s">
        <v>3150</v>
      </c>
      <c r="D33" s="148"/>
      <c r="E33" s="148"/>
      <c r="F33" s="148"/>
      <c r="G33" s="193"/>
      <c r="H33" s="105" t="n">
        <f aca="false">'[2]$ зима'!j33-'[2]$ зима'!au33-'[2]$ зима'!at33-'[2]$ зима'!as33-'[2]$ зима'!ar33-'[2]$ зима'!aq33-'[2]$ зима'!ap33-'[2]$ зима'!an33-'[2]$ зима'!am33-'[2]$ зима'!al33-'[2]$ зима'!ak33-'[2]$ зима'!aj33-'[2]$ зима'!ah33-'[2]$ зима'!ag33-'[2]$ зима'!af33-'[2]$ зима'!ae33-'[2]$ зима'!ad33-'[2]$ зима'!ab33-'[2]$ зима'!aa33-'[2]$ зима'!z33-'[2]$ зима'!y33-'[2]$ зима'!x33-'[2]$ зима'!v33-'[2]$ зима'!u33-'[2]$ зима'!t33-'[2]$ зима'!s33-'[2]$ зима'!r33-'[2]$ зима'!p33-'[2]$ зима'!o33-'[2]$ зима'!n33-'[2]$ зима'!m33-'[2]$ зима'!l33+'[2]$ зима'!q33+'[2]$ зима'!w33+'[2]$ зима'!ac33+'[2]$ зима'!ai33+'[2]$ зима'!ao33+'[2]$ зима'!k33</f>
        <v>0</v>
      </c>
      <c r="I33" s="191" t="n">
        <f aca="false">'[2]$ зима'!ay33*1.1</f>
        <v>1355.2</v>
      </c>
    </row>
    <row r="34" customFormat="false" ht="15" hidden="false" customHeight="false" outlineLevel="0" collapsed="false">
      <c r="A34" s="196" t="s">
        <v>44</v>
      </c>
      <c r="B34" s="149" t="s">
        <v>601</v>
      </c>
      <c r="C34" s="148" t="s">
        <v>3151</v>
      </c>
      <c r="D34" s="148"/>
      <c r="E34" s="192"/>
      <c r="F34" s="192"/>
      <c r="G34" s="193"/>
      <c r="H34" s="105" t="n">
        <f aca="false">'[2]$ зима'!j34-'[2]$ зима'!au34-'[2]$ зима'!at34-'[2]$ зима'!as34-'[2]$ зима'!ar34-'[2]$ зима'!aq34-'[2]$ зима'!ap34-'[2]$ зима'!an34-'[2]$ зима'!am34-'[2]$ зима'!al34-'[2]$ зима'!ak34-'[2]$ зима'!aj34-'[2]$ зима'!ah34-'[2]$ зима'!ag34-'[2]$ зима'!af34-'[2]$ зима'!ae34-'[2]$ зима'!ad34-'[2]$ зима'!ab34-'[2]$ зима'!aa34-'[2]$ зима'!z34-'[2]$ зима'!y34-'[2]$ зима'!x34-'[2]$ зима'!v34-'[2]$ зима'!u34-'[2]$ зима'!t34-'[2]$ зима'!s34-'[2]$ зима'!r34-'[2]$ зима'!p34-'[2]$ зима'!o34-'[2]$ зима'!n34-'[2]$ зима'!m34-'[2]$ зима'!l34+'[2]$ зима'!q34+'[2]$ зима'!w34+'[2]$ зима'!ac34+'[2]$ зима'!ai34+'[2]$ зима'!ao34+'[2]$ зима'!k34</f>
        <v>1</v>
      </c>
      <c r="I34" s="191" t="n">
        <f aca="false">'[2]$ зима'!ay34*1.1</f>
        <v>1262.8</v>
      </c>
    </row>
    <row r="35" customFormat="false" ht="15" hidden="true" customHeight="false" outlineLevel="0" collapsed="false">
      <c r="A35" s="196" t="s">
        <v>44</v>
      </c>
      <c r="B35" s="149" t="s">
        <v>555</v>
      </c>
      <c r="C35" s="148" t="s">
        <v>3140</v>
      </c>
      <c r="D35" s="148"/>
      <c r="E35" s="148"/>
      <c r="F35" s="148"/>
      <c r="G35" s="193"/>
      <c r="H35" s="105" t="n">
        <f aca="false">'[2]$ зима'!j35-'[2]$ зима'!au35-'[2]$ зима'!at35-'[2]$ зима'!as35-'[2]$ зима'!ar35-'[2]$ зима'!aq35-'[2]$ зима'!ap35-'[2]$ зима'!an35-'[2]$ зима'!am35-'[2]$ зима'!al35-'[2]$ зима'!ak35-'[2]$ зима'!aj35-'[2]$ зима'!ah35-'[2]$ зима'!ag35-'[2]$ зима'!af35-'[2]$ зима'!ae35-'[2]$ зима'!ad35-'[2]$ зима'!ab35-'[2]$ зима'!aa35-'[2]$ зима'!z35-'[2]$ зима'!y35-'[2]$ зима'!x35-'[2]$ зима'!v35-'[2]$ зима'!u35-'[2]$ зима'!t35-'[2]$ зима'!s35-'[2]$ зима'!r35-'[2]$ зима'!p35-'[2]$ зима'!o35-'[2]$ зима'!n35-'[2]$ зима'!m35-'[2]$ зима'!l35+'[2]$ зима'!q35+'[2]$ зима'!w35+'[2]$ зима'!ac35+'[2]$ зима'!ai35+'[2]$ зима'!ao35+'[2]$ зима'!k35</f>
        <v>0</v>
      </c>
      <c r="I35" s="191" t="n">
        <f aca="false">'[2]$ зима'!ay35*1.1</f>
        <v>954.8</v>
      </c>
    </row>
    <row r="36" customFormat="false" ht="15" hidden="true" customHeight="false" outlineLevel="0" collapsed="false">
      <c r="A36" s="196" t="s">
        <v>44</v>
      </c>
      <c r="B36" s="149" t="s">
        <v>604</v>
      </c>
      <c r="C36" s="148" t="s">
        <v>3152</v>
      </c>
      <c r="D36" s="148"/>
      <c r="E36" s="148"/>
      <c r="F36" s="148"/>
      <c r="G36" s="193" t="s">
        <v>3153</v>
      </c>
      <c r="H36" s="105" t="n">
        <f aca="false">'[2]$ зима'!j36-'[2]$ зима'!au36-'[2]$ зима'!at36-'[2]$ зима'!as36-'[2]$ зима'!ar36-'[2]$ зима'!aq36-'[2]$ зима'!ap36-'[2]$ зима'!an36-'[2]$ зима'!am36-'[2]$ зима'!al36-'[2]$ зима'!ak36-'[2]$ зима'!aj36-'[2]$ зима'!ah36-'[2]$ зима'!ag36-'[2]$ зима'!af36-'[2]$ зима'!ae36-'[2]$ зима'!ad36-'[2]$ зима'!ab36-'[2]$ зима'!aa36-'[2]$ зима'!z36-'[2]$ зима'!y36-'[2]$ зима'!x36-'[2]$ зима'!v36-'[2]$ зима'!u36-'[2]$ зима'!t36-'[2]$ зима'!s36-'[2]$ зима'!r36-'[2]$ зима'!p36-'[2]$ зима'!o36-'[2]$ зима'!n36-'[2]$ зима'!m36-'[2]$ зима'!l36+'[2]$ зима'!q36+'[2]$ зима'!w36+'[2]$ зима'!ac36+'[2]$ зима'!ai36+'[2]$ зима'!ao36+'[2]$ зима'!k36</f>
        <v>0</v>
      </c>
      <c r="I36" s="191" t="n">
        <f aca="false">'[2]$ зима'!ay36*1.1</f>
        <v>1108.8</v>
      </c>
      <c r="J36" s="171" t="n">
        <v>2014</v>
      </c>
    </row>
    <row r="37" customFormat="false" ht="15" hidden="true" customHeight="false" outlineLevel="0" collapsed="false">
      <c r="A37" s="196" t="s">
        <v>44</v>
      </c>
      <c r="B37" s="149" t="s">
        <v>3087</v>
      </c>
      <c r="C37" s="148" t="s">
        <v>3154</v>
      </c>
      <c r="D37" s="148"/>
      <c r="E37" s="148"/>
      <c r="F37" s="148"/>
      <c r="G37" s="193"/>
      <c r="H37" s="105" t="n">
        <f aca="false">'[2]$ зима'!j37-'[2]$ зима'!au37-'[2]$ зима'!at37-'[2]$ зима'!as37-'[2]$ зима'!ar37-'[2]$ зима'!aq37-'[2]$ зима'!ap37-'[2]$ зима'!an37-'[2]$ зима'!am37-'[2]$ зима'!al37-'[2]$ зима'!ak37-'[2]$ зима'!aj37-'[2]$ зима'!ah37-'[2]$ зима'!ag37-'[2]$ зима'!af37-'[2]$ зима'!ae37-'[2]$ зима'!ad37-'[2]$ зима'!ab37-'[2]$ зима'!aa37-'[2]$ зима'!z37-'[2]$ зима'!y37-'[2]$ зима'!x37-'[2]$ зима'!v37-'[2]$ зима'!u37-'[2]$ зима'!t37-'[2]$ зима'!s37-'[2]$ зима'!r37-'[2]$ зима'!p37-'[2]$ зима'!o37-'[2]$ зима'!n37-'[2]$ зима'!m37-'[2]$ зима'!l37+'[2]$ зима'!q37+'[2]$ зима'!w37+'[2]$ зима'!ac37+'[2]$ зима'!ai37+'[2]$ зима'!ao37+'[2]$ зима'!k37</f>
        <v>0</v>
      </c>
      <c r="I37" s="191" t="n">
        <f aca="false">'[2]$ зима'!ay37*1.1</f>
        <v>550</v>
      </c>
    </row>
    <row r="38" customFormat="false" ht="15" hidden="false" customHeight="false" outlineLevel="0" collapsed="false">
      <c r="A38" s="196" t="s">
        <v>44</v>
      </c>
      <c r="B38" s="149" t="s">
        <v>606</v>
      </c>
      <c r="C38" s="148" t="s">
        <v>3155</v>
      </c>
      <c r="D38" s="148"/>
      <c r="E38" s="192" t="n">
        <v>82</v>
      </c>
      <c r="F38" s="192" t="s">
        <v>562</v>
      </c>
      <c r="G38" s="193" t="s">
        <v>609</v>
      </c>
      <c r="H38" s="105" t="n">
        <f aca="false">'[2]$ зима'!j38-'[2]$ зима'!au38-'[2]$ зима'!at38-'[2]$ зима'!as38-'[2]$ зима'!ar38-'[2]$ зима'!aq38-'[2]$ зима'!ap38-'[2]$ зима'!an38-'[2]$ зима'!am38-'[2]$ зима'!al38-'[2]$ зима'!ak38-'[2]$ зима'!aj38-'[2]$ зима'!ah38-'[2]$ зима'!ag38-'[2]$ зима'!af38-'[2]$ зима'!ae38-'[2]$ зима'!ad38-'[2]$ зима'!ab38-'[2]$ зима'!aa38-'[2]$ зима'!z38-'[2]$ зима'!y38-'[2]$ зима'!x38-'[2]$ зима'!v38-'[2]$ зима'!u38-'[2]$ зима'!t38-'[2]$ зима'!s38-'[2]$ зима'!r38-'[2]$ зима'!p38-'[2]$ зима'!o38-'[2]$ зима'!n38-'[2]$ зима'!m38-'[2]$ зима'!l38+'[2]$ зима'!q38+'[2]$ зима'!w38+'[2]$ зима'!ac38+'[2]$ зима'!ai38+'[2]$ зима'!ao38+'[2]$ зима'!k38</f>
        <v>24</v>
      </c>
      <c r="I38" s="191" t="n">
        <f aca="false">'[2]$ зима'!ay38*1.1</f>
        <v>1108.8</v>
      </c>
      <c r="J38" s="171" t="n">
        <v>2018</v>
      </c>
    </row>
    <row r="39" customFormat="false" ht="15" hidden="false" customHeight="false" outlineLevel="0" collapsed="false">
      <c r="A39" s="196" t="s">
        <v>44</v>
      </c>
      <c r="B39" s="149" t="s">
        <v>606</v>
      </c>
      <c r="C39" s="148" t="s">
        <v>3156</v>
      </c>
      <c r="D39" s="148"/>
      <c r="E39" s="192" t="n">
        <v>82</v>
      </c>
      <c r="F39" s="192" t="s">
        <v>562</v>
      </c>
      <c r="G39" s="193" t="s">
        <v>609</v>
      </c>
      <c r="H39" s="105" t="n">
        <f aca="false">'[2]$ зима'!j39-'[2]$ зима'!au39-'[2]$ зима'!at39-'[2]$ зима'!as39-'[2]$ зима'!ar39-'[2]$ зима'!aq39-'[2]$ зима'!ap39-'[2]$ зима'!an39-'[2]$ зима'!am39-'[2]$ зима'!al39-'[2]$ зима'!ak39-'[2]$ зима'!aj39-'[2]$ зима'!ah39-'[2]$ зима'!ag39-'[2]$ зима'!af39-'[2]$ зима'!ae39-'[2]$ зима'!ad39-'[2]$ зима'!ab39-'[2]$ зима'!aa39-'[2]$ зима'!z39-'[2]$ зима'!y39-'[2]$ зима'!x39-'[2]$ зима'!v39-'[2]$ зима'!u39-'[2]$ зима'!t39-'[2]$ зима'!s39-'[2]$ зима'!r39-'[2]$ зима'!p39-'[2]$ зима'!o39-'[2]$ зима'!n39-'[2]$ зима'!m39-'[2]$ зима'!l39+'[2]$ зима'!q39+'[2]$ зима'!w39+'[2]$ зима'!ac39+'[2]$ зима'!ai39+'[2]$ зима'!ao39+'[2]$ зима'!k39</f>
        <v>16</v>
      </c>
      <c r="I39" s="191" t="n">
        <f aca="false">'[2]$ зима'!ay39*1.1</f>
        <v>1078</v>
      </c>
      <c r="J39" s="171" t="n">
        <v>2018</v>
      </c>
    </row>
    <row r="40" customFormat="false" ht="15" hidden="false" customHeight="false" outlineLevel="0" collapsed="false">
      <c r="A40" s="196" t="s">
        <v>44</v>
      </c>
      <c r="B40" s="149" t="s">
        <v>3157</v>
      </c>
      <c r="C40" s="148" t="s">
        <v>3158</v>
      </c>
      <c r="D40" s="148"/>
      <c r="E40" s="192" t="n">
        <v>82</v>
      </c>
      <c r="F40" s="192" t="s">
        <v>562</v>
      </c>
      <c r="G40" s="193"/>
      <c r="H40" s="105" t="n">
        <f aca="false">'[2]$ зима'!j40-'[2]$ зима'!au40-'[2]$ зима'!at40-'[2]$ зима'!as40-'[2]$ зима'!ar40-'[2]$ зима'!aq40-'[2]$ зима'!ap40-'[2]$ зима'!an40-'[2]$ зима'!am40-'[2]$ зима'!al40-'[2]$ зима'!ak40-'[2]$ зима'!aj40-'[2]$ зима'!ah40-'[2]$ зима'!ag40-'[2]$ зима'!af40-'[2]$ зима'!ae40-'[2]$ зима'!ad40-'[2]$ зима'!ab40-'[2]$ зима'!aa40-'[2]$ зима'!z40-'[2]$ зима'!y40-'[2]$ зима'!x40-'[2]$ зима'!v40-'[2]$ зима'!u40-'[2]$ зима'!t40-'[2]$ зима'!s40-'[2]$ зима'!r40-'[2]$ зима'!p40-'[2]$ зима'!o40-'[2]$ зима'!n40-'[2]$ зима'!m40-'[2]$ зима'!l40+'[2]$ зима'!q40+'[2]$ зима'!w40+'[2]$ зима'!ac40+'[2]$ зима'!ai40+'[2]$ зима'!ao40+'[2]$ зима'!k40</f>
        <v>14</v>
      </c>
      <c r="I40" s="191" t="n">
        <f aca="false">'[2]$ зима'!ay40*1.1</f>
        <v>836</v>
      </c>
      <c r="J40" s="171" t="n">
        <v>2017</v>
      </c>
    </row>
    <row r="41" customFormat="false" ht="15" hidden="false" customHeight="false" outlineLevel="0" collapsed="false">
      <c r="A41" s="196" t="s">
        <v>44</v>
      </c>
      <c r="B41" s="149" t="s">
        <v>572</v>
      </c>
      <c r="C41" s="148" t="s">
        <v>3159</v>
      </c>
      <c r="D41" s="148" t="s">
        <v>3127</v>
      </c>
      <c r="E41" s="192" t="n">
        <v>82</v>
      </c>
      <c r="F41" s="192" t="s">
        <v>562</v>
      </c>
      <c r="G41" s="193"/>
      <c r="H41" s="105" t="n">
        <f aca="false">'[2]$ зима'!j41-'[2]$ зима'!au41-'[2]$ зима'!at41-'[2]$ зима'!as41-'[2]$ зима'!ar41-'[2]$ зима'!aq41-'[2]$ зима'!ap41-'[2]$ зима'!an41-'[2]$ зима'!am41-'[2]$ зима'!al41-'[2]$ зима'!ak41-'[2]$ зима'!aj41-'[2]$ зима'!ah41-'[2]$ зима'!ag41-'[2]$ зима'!af41-'[2]$ зима'!ae41-'[2]$ зима'!ad41-'[2]$ зима'!ab41-'[2]$ зима'!aa41-'[2]$ зима'!z41-'[2]$ зима'!y41-'[2]$ зима'!x41-'[2]$ зима'!v41-'[2]$ зима'!u41-'[2]$ зима'!t41-'[2]$ зима'!s41-'[2]$ зима'!r41-'[2]$ зима'!p41-'[2]$ зима'!o41-'[2]$ зима'!n41-'[2]$ зима'!m41-'[2]$ зима'!l41+'[2]$ зима'!q41+'[2]$ зима'!w41+'[2]$ зима'!ac41+'[2]$ зима'!ai41+'[2]$ зима'!ao41+'[2]$ зима'!k41</f>
        <v>12</v>
      </c>
      <c r="I41" s="191" t="n">
        <f aca="false">'[2]$ зима'!ay41*1.1</f>
        <v>954.8</v>
      </c>
    </row>
    <row r="42" customFormat="false" ht="15" hidden="false" customHeight="false" outlineLevel="0" collapsed="false">
      <c r="A42" s="196" t="s">
        <v>44</v>
      </c>
      <c r="B42" s="149" t="s">
        <v>572</v>
      </c>
      <c r="C42" s="148" t="s">
        <v>3160</v>
      </c>
      <c r="D42" s="148"/>
      <c r="E42" s="192"/>
      <c r="F42" s="192"/>
      <c r="G42" s="193" t="s">
        <v>625</v>
      </c>
      <c r="H42" s="105" t="n">
        <f aca="false">'[2]$ зима'!j42-'[2]$ зима'!au42-'[2]$ зима'!at42-'[2]$ зима'!as42-'[2]$ зима'!ar42-'[2]$ зима'!aq42-'[2]$ зима'!ap42-'[2]$ зима'!an42-'[2]$ зима'!am42-'[2]$ зима'!al42-'[2]$ зима'!ak42-'[2]$ зима'!aj42-'[2]$ зима'!ah42-'[2]$ зима'!ag42-'[2]$ зима'!af42-'[2]$ зима'!ae42-'[2]$ зима'!ad42-'[2]$ зима'!ab42-'[2]$ зима'!aa42-'[2]$ зима'!z42-'[2]$ зима'!y42-'[2]$ зима'!x42-'[2]$ зима'!v42-'[2]$ зима'!u42-'[2]$ зима'!t42-'[2]$ зима'!s42-'[2]$ зима'!r42-'[2]$ зима'!p42-'[2]$ зима'!o42-'[2]$ зима'!n42-'[2]$ зима'!m42-'[2]$ зима'!l42+'[2]$ зима'!q42+'[2]$ зима'!w42+'[2]$ зима'!ac42+'[2]$ зима'!ai42+'[2]$ зима'!ao42+'[2]$ зима'!k42</f>
        <v>4</v>
      </c>
      <c r="I42" s="191" t="n">
        <f aca="false">'[2]$ зима'!ay42*1.1</f>
        <v>831.6</v>
      </c>
      <c r="J42" s="171" t="n">
        <v>2011</v>
      </c>
    </row>
    <row r="43" customFormat="false" ht="15" hidden="true" customHeight="false" outlineLevel="0" collapsed="false">
      <c r="A43" s="196" t="s">
        <v>44</v>
      </c>
      <c r="B43" s="149" t="s">
        <v>668</v>
      </c>
      <c r="C43" s="194" t="s">
        <v>3161</v>
      </c>
      <c r="D43" s="148"/>
      <c r="E43" s="148" t="n">
        <v>82</v>
      </c>
      <c r="F43" s="148" t="s">
        <v>562</v>
      </c>
      <c r="G43" s="193"/>
      <c r="H43" s="105" t="n">
        <f aca="false">'[2]$ зима'!j43-'[2]$ зима'!au43-'[2]$ зима'!at43-'[2]$ зима'!as43-'[2]$ зима'!ar43-'[2]$ зима'!aq43-'[2]$ зима'!ap43-'[2]$ зима'!an43-'[2]$ зима'!am43-'[2]$ зима'!al43-'[2]$ зима'!ak43-'[2]$ зима'!aj43-'[2]$ зима'!ah43-'[2]$ зима'!ag43-'[2]$ зима'!af43-'[2]$ зима'!ae43-'[2]$ зима'!ad43-'[2]$ зима'!ab43-'[2]$ зима'!aa43-'[2]$ зима'!z43-'[2]$ зима'!y43-'[2]$ зима'!x43-'[2]$ зима'!v43-'[2]$ зима'!u43-'[2]$ зима'!t43-'[2]$ зима'!s43-'[2]$ зима'!r43-'[2]$ зима'!p43-'[2]$ зима'!o43-'[2]$ зима'!n43-'[2]$ зима'!m43-'[2]$ зима'!l43+'[2]$ зима'!q43+'[2]$ зима'!w43+'[2]$ зима'!ac43+'[2]$ зима'!ai43+'[2]$ зима'!ao43+'[2]$ зима'!k43</f>
        <v>0</v>
      </c>
      <c r="I43" s="191" t="n">
        <f aca="false">'[2]$ зима'!ay43*1.1</f>
        <v>1047.2</v>
      </c>
    </row>
    <row r="44" customFormat="false" ht="15" hidden="false" customHeight="false" outlineLevel="0" collapsed="false">
      <c r="A44" s="197" t="s">
        <v>44</v>
      </c>
      <c r="B44" s="198" t="s">
        <v>574</v>
      </c>
      <c r="C44" s="148" t="s">
        <v>3162</v>
      </c>
      <c r="D44" s="148"/>
      <c r="E44" s="192" t="n">
        <v>82</v>
      </c>
      <c r="F44" s="192" t="s">
        <v>562</v>
      </c>
      <c r="G44" s="193" t="s">
        <v>576</v>
      </c>
      <c r="H44" s="105" t="n">
        <f aca="false">'[2]$ зима'!j44-'[2]$ зима'!au44-'[2]$ зима'!at44-'[2]$ зима'!as44-'[2]$ зима'!ar44-'[2]$ зима'!aq44-'[2]$ зима'!ap44-'[2]$ зима'!an44-'[2]$ зима'!am44-'[2]$ зима'!al44-'[2]$ зима'!ak44-'[2]$ зима'!aj44-'[2]$ зима'!ah44-'[2]$ зима'!ag44-'[2]$ зима'!af44-'[2]$ зима'!ae44-'[2]$ зима'!ad44-'[2]$ зима'!ab44-'[2]$ зима'!aa44-'[2]$ зима'!z44-'[2]$ зима'!y44-'[2]$ зима'!x44-'[2]$ зима'!v44-'[2]$ зима'!u44-'[2]$ зима'!t44-'[2]$ зима'!s44-'[2]$ зима'!r44-'[2]$ зима'!p44-'[2]$ зима'!o44-'[2]$ зима'!n44-'[2]$ зима'!m44-'[2]$ зима'!l44+'[2]$ зима'!q44+'[2]$ зима'!w44+'[2]$ зима'!ac44+'[2]$ зима'!ai44+'[2]$ зима'!ao44+'[2]$ зима'!k44</f>
        <v>8</v>
      </c>
      <c r="I44" s="191" t="n">
        <f aca="false">'[2]$ зима'!ay44*1.1</f>
        <v>1062.16</v>
      </c>
      <c r="J44" s="171" t="n">
        <v>2018</v>
      </c>
    </row>
    <row r="45" customFormat="false" ht="15" hidden="false" customHeight="false" outlineLevel="0" collapsed="false">
      <c r="A45" s="197" t="s">
        <v>44</v>
      </c>
      <c r="B45" s="198" t="s">
        <v>574</v>
      </c>
      <c r="C45" s="148" t="s">
        <v>3163</v>
      </c>
      <c r="D45" s="148"/>
      <c r="E45" s="192" t="n">
        <v>82</v>
      </c>
      <c r="F45" s="192" t="s">
        <v>562</v>
      </c>
      <c r="G45" s="193" t="s">
        <v>576</v>
      </c>
      <c r="H45" s="105" t="n">
        <f aca="false">'[2]$ зима'!j45-'[2]$ зима'!au45-'[2]$ зима'!at45-'[2]$ зима'!as45-'[2]$ зима'!ar45-'[2]$ зима'!aq45-'[2]$ зима'!ap45-'[2]$ зима'!an45-'[2]$ зима'!am45-'[2]$ зима'!al45-'[2]$ зима'!ak45-'[2]$ зима'!aj45-'[2]$ зима'!ah45-'[2]$ зима'!ag45-'[2]$ зима'!af45-'[2]$ зима'!ae45-'[2]$ зима'!ad45-'[2]$ зима'!ab45-'[2]$ зима'!aa45-'[2]$ зима'!z45-'[2]$ зима'!y45-'[2]$ зима'!x45-'[2]$ зима'!v45-'[2]$ зима'!u45-'[2]$ зима'!t45-'[2]$ зима'!s45-'[2]$ зима'!r45-'[2]$ зима'!p45-'[2]$ зима'!o45-'[2]$ зима'!n45-'[2]$ зима'!m45-'[2]$ зима'!l45+'[2]$ зима'!q45+'[2]$ зима'!w45+'[2]$ зима'!ac45+'[2]$ зима'!ai45+'[2]$ зима'!ao45+'[2]$ зима'!k45</f>
        <v>18</v>
      </c>
      <c r="I45" s="191" t="n">
        <f aca="false">'[2]$ зима'!ay45*1.1</f>
        <v>1093.4</v>
      </c>
      <c r="J45" s="171" t="n">
        <v>2018</v>
      </c>
    </row>
    <row r="46" customFormat="false" ht="15" hidden="false" customHeight="false" outlineLevel="0" collapsed="false">
      <c r="A46" s="197" t="s">
        <v>44</v>
      </c>
      <c r="B46" s="198" t="s">
        <v>577</v>
      </c>
      <c r="C46" s="148" t="s">
        <v>3164</v>
      </c>
      <c r="D46" s="148"/>
      <c r="E46" s="192" t="n">
        <v>82</v>
      </c>
      <c r="F46" s="192" t="s">
        <v>562</v>
      </c>
      <c r="G46" s="193" t="s">
        <v>563</v>
      </c>
      <c r="H46" s="105" t="n">
        <f aca="false">'[2]$ зима'!j46-'[2]$ зима'!au46-'[2]$ зима'!at46-'[2]$ зима'!as46-'[2]$ зима'!ar46-'[2]$ зима'!aq46-'[2]$ зима'!ap46-'[2]$ зима'!an46-'[2]$ зима'!am46-'[2]$ зима'!al46-'[2]$ зима'!ak46-'[2]$ зима'!aj46-'[2]$ зима'!ah46-'[2]$ зима'!ag46-'[2]$ зима'!af46-'[2]$ зима'!ae46-'[2]$ зима'!ad46-'[2]$ зима'!ab46-'[2]$ зима'!aa46-'[2]$ зима'!z46-'[2]$ зима'!y46-'[2]$ зима'!x46-'[2]$ зима'!v46-'[2]$ зима'!u46-'[2]$ зима'!t46-'[2]$ зима'!s46-'[2]$ зима'!r46-'[2]$ зима'!p46-'[2]$ зима'!o46-'[2]$ зима'!n46-'[2]$ зима'!m46-'[2]$ зима'!l46+'[2]$ зима'!q46+'[2]$ зима'!w46+'[2]$ зима'!ac46+'[2]$ зима'!ai46+'[2]$ зима'!ao46+'[2]$ зима'!k46</f>
        <v>8</v>
      </c>
      <c r="I46" s="191" t="n">
        <f aca="false">'[2]$ зима'!ay46*1.1</f>
        <v>954.8</v>
      </c>
    </row>
    <row r="47" customFormat="false" ht="15" hidden="true" customHeight="false" outlineLevel="0" collapsed="false">
      <c r="A47" s="197" t="s">
        <v>44</v>
      </c>
      <c r="B47" s="198" t="s">
        <v>577</v>
      </c>
      <c r="C47" s="148" t="s">
        <v>3165</v>
      </c>
      <c r="D47" s="148"/>
      <c r="E47" s="148" t="n">
        <v>82</v>
      </c>
      <c r="F47" s="148" t="s">
        <v>562</v>
      </c>
      <c r="G47" s="193" t="s">
        <v>563</v>
      </c>
      <c r="H47" s="105" t="n">
        <f aca="false">'[2]$ зима'!j47-'[2]$ зима'!au47-'[2]$ зима'!at47-'[2]$ зима'!as47-'[2]$ зима'!ar47-'[2]$ зима'!aq47-'[2]$ зима'!ap47-'[2]$ зима'!an47-'[2]$ зима'!am47-'[2]$ зима'!al47-'[2]$ зима'!ak47-'[2]$ зима'!aj47-'[2]$ зима'!ah47-'[2]$ зима'!ag47-'[2]$ зима'!af47-'[2]$ зима'!ae47-'[2]$ зима'!ad47-'[2]$ зима'!ab47-'[2]$ зима'!aa47-'[2]$ зима'!z47-'[2]$ зима'!y47-'[2]$ зима'!x47-'[2]$ зима'!v47-'[2]$ зима'!u47-'[2]$ зима'!t47-'[2]$ зима'!s47-'[2]$ зима'!r47-'[2]$ зима'!p47-'[2]$ зима'!o47-'[2]$ зима'!n47-'[2]$ зима'!m47-'[2]$ зима'!l47+'[2]$ зима'!q47+'[2]$ зима'!w47+'[2]$ зима'!ac47+'[2]$ зима'!ai47+'[2]$ зима'!ao47+'[2]$ зима'!k47</f>
        <v>0</v>
      </c>
      <c r="I47" s="191" t="n">
        <f aca="false">'[2]$ зима'!ay47*1.1</f>
        <v>985.6</v>
      </c>
    </row>
    <row r="48" customFormat="false" ht="15" hidden="false" customHeight="false" outlineLevel="0" collapsed="false">
      <c r="A48" s="196" t="s">
        <v>44</v>
      </c>
      <c r="B48" s="149" t="s">
        <v>583</v>
      </c>
      <c r="C48" s="148" t="s">
        <v>3131</v>
      </c>
      <c r="D48" s="148"/>
      <c r="E48" s="192"/>
      <c r="F48" s="192"/>
      <c r="G48" s="193" t="s">
        <v>631</v>
      </c>
      <c r="H48" s="105" t="n">
        <f aca="false">'[2]$ зима'!j48-'[2]$ зима'!au48-'[2]$ зима'!at48-'[2]$ зима'!as48-'[2]$ зима'!ar48-'[2]$ зима'!aq48-'[2]$ зима'!ap48-'[2]$ зима'!an48-'[2]$ зима'!am48-'[2]$ зима'!al48-'[2]$ зима'!ak48-'[2]$ зима'!aj48-'[2]$ зима'!ah48-'[2]$ зима'!ag48-'[2]$ зима'!af48-'[2]$ зима'!ae48-'[2]$ зима'!ad48-'[2]$ зима'!ab48-'[2]$ зима'!aa48-'[2]$ зима'!z48-'[2]$ зима'!y48-'[2]$ зима'!x48-'[2]$ зима'!v48-'[2]$ зима'!u48-'[2]$ зима'!t48-'[2]$ зима'!s48-'[2]$ зима'!r48-'[2]$ зима'!p48-'[2]$ зима'!o48-'[2]$ зима'!n48-'[2]$ зима'!m48-'[2]$ зима'!l48+'[2]$ зима'!q48+'[2]$ зима'!w48+'[2]$ зима'!ac48+'[2]$ зима'!ai48+'[2]$ зима'!ao48+'[2]$ зима'!k48</f>
        <v>4</v>
      </c>
      <c r="I48" s="191" t="n">
        <f aca="false">'[2]$ зима'!ay48*1.1</f>
        <v>1016.4</v>
      </c>
      <c r="J48" s="171" t="n">
        <v>2017</v>
      </c>
    </row>
    <row r="49" customFormat="false" ht="15" hidden="false" customHeight="false" outlineLevel="0" collapsed="false">
      <c r="A49" s="196" t="s">
        <v>44</v>
      </c>
      <c r="B49" s="149" t="s">
        <v>613</v>
      </c>
      <c r="C49" s="148" t="s">
        <v>3166</v>
      </c>
      <c r="D49" s="148"/>
      <c r="E49" s="192" t="n">
        <v>82</v>
      </c>
      <c r="F49" s="192" t="s">
        <v>562</v>
      </c>
      <c r="G49" s="193"/>
      <c r="H49" s="105" t="n">
        <f aca="false">'[2]$ зима'!j49-'[2]$ зима'!au49-'[2]$ зима'!at49-'[2]$ зима'!as49-'[2]$ зима'!ar49-'[2]$ зима'!aq49-'[2]$ зима'!ap49-'[2]$ зима'!an49-'[2]$ зима'!am49-'[2]$ зима'!al49-'[2]$ зима'!ak49-'[2]$ зима'!aj49-'[2]$ зима'!ah49-'[2]$ зима'!ag49-'[2]$ зима'!af49-'[2]$ зима'!ae49-'[2]$ зима'!ad49-'[2]$ зима'!ab49-'[2]$ зима'!aa49-'[2]$ зима'!z49-'[2]$ зима'!y49-'[2]$ зима'!x49-'[2]$ зима'!v49-'[2]$ зима'!u49-'[2]$ зима'!t49-'[2]$ зима'!s49-'[2]$ зима'!r49-'[2]$ зима'!p49-'[2]$ зима'!o49-'[2]$ зима'!n49-'[2]$ зима'!m49-'[2]$ зима'!l49+'[2]$ зима'!q49+'[2]$ зима'!w49+'[2]$ зима'!ac49+'[2]$ зима'!ai49+'[2]$ зима'!ao49+'[2]$ зима'!k49</f>
        <v>6</v>
      </c>
      <c r="I49" s="191" t="n">
        <f aca="false">'[2]$ зима'!ay49*1.1</f>
        <v>831.6</v>
      </c>
      <c r="J49" s="171" t="n">
        <v>2017</v>
      </c>
    </row>
    <row r="50" customFormat="false" ht="15" hidden="true" customHeight="false" outlineLevel="0" collapsed="false">
      <c r="A50" s="196" t="s">
        <v>44</v>
      </c>
      <c r="B50" s="149" t="s">
        <v>593</v>
      </c>
      <c r="C50" s="148" t="s">
        <v>3167</v>
      </c>
      <c r="D50" s="148" t="s">
        <v>3147</v>
      </c>
      <c r="E50" s="148"/>
      <c r="F50" s="148"/>
      <c r="G50" s="193"/>
      <c r="H50" s="105" t="n">
        <f aca="false">'[2]$ зима'!j50-'[2]$ зима'!au50-'[2]$ зима'!at50-'[2]$ зима'!as50-'[2]$ зима'!ar50-'[2]$ зима'!aq50-'[2]$ зима'!ap50-'[2]$ зима'!an50-'[2]$ зима'!am50-'[2]$ зима'!al50-'[2]$ зима'!ak50-'[2]$ зима'!aj50-'[2]$ зима'!ah50-'[2]$ зима'!ag50-'[2]$ зима'!af50-'[2]$ зима'!ae50-'[2]$ зима'!ad50-'[2]$ зима'!ab50-'[2]$ зима'!aa50-'[2]$ зима'!z50-'[2]$ зима'!y50-'[2]$ зима'!x50-'[2]$ зима'!v50-'[2]$ зима'!u50-'[2]$ зима'!t50-'[2]$ зима'!s50-'[2]$ зима'!r50-'[2]$ зима'!p50-'[2]$ зима'!o50-'[2]$ зима'!n50-'[2]$ зима'!m50-'[2]$ зима'!l50+'[2]$ зима'!q50+'[2]$ зима'!w50+'[2]$ зима'!ac50+'[2]$ зима'!ai50+'[2]$ зима'!ao50+'[2]$ зима'!k50</f>
        <v>0</v>
      </c>
      <c r="I50" s="191" t="n">
        <f aca="false">'[2]$ зима'!ay50*1.1</f>
        <v>1386</v>
      </c>
    </row>
    <row r="51" customFormat="false" ht="15" hidden="true" customHeight="false" outlineLevel="0" collapsed="false">
      <c r="A51" s="196" t="s">
        <v>44</v>
      </c>
      <c r="B51" s="149" t="s">
        <v>593</v>
      </c>
      <c r="C51" s="148" t="s">
        <v>3168</v>
      </c>
      <c r="D51" s="148"/>
      <c r="E51" s="148"/>
      <c r="F51" s="148"/>
      <c r="G51" s="193"/>
      <c r="H51" s="105" t="n">
        <f aca="false">'[2]$ зима'!j51-'[2]$ зима'!au51-'[2]$ зима'!at51-'[2]$ зима'!as51-'[2]$ зима'!ar51-'[2]$ зима'!aq51-'[2]$ зима'!ap51-'[2]$ зима'!an51-'[2]$ зима'!am51-'[2]$ зима'!al51-'[2]$ зима'!ak51-'[2]$ зима'!aj51-'[2]$ зима'!ah51-'[2]$ зима'!ag51-'[2]$ зима'!af51-'[2]$ зима'!ae51-'[2]$ зима'!ad51-'[2]$ зима'!ab51-'[2]$ зима'!aa51-'[2]$ зима'!z51-'[2]$ зима'!y51-'[2]$ зима'!x51-'[2]$ зима'!v51-'[2]$ зима'!u51-'[2]$ зима'!t51-'[2]$ зима'!s51-'[2]$ зима'!r51-'[2]$ зима'!p51-'[2]$ зима'!o51-'[2]$ зима'!n51-'[2]$ зима'!m51-'[2]$ зима'!l51+'[2]$ зима'!q51+'[2]$ зима'!w51+'[2]$ зима'!ac51+'[2]$ зима'!ai51+'[2]$ зима'!ao51+'[2]$ зима'!k51</f>
        <v>0</v>
      </c>
      <c r="I51" s="191" t="n">
        <f aca="false">'[2]$ зима'!ay51*1.1</f>
        <v>862.4</v>
      </c>
    </row>
    <row r="52" customFormat="false" ht="15" hidden="true" customHeight="false" outlineLevel="0" collapsed="false">
      <c r="A52" s="196" t="s">
        <v>44</v>
      </c>
      <c r="B52" s="149" t="s">
        <v>586</v>
      </c>
      <c r="C52" s="148" t="s">
        <v>3133</v>
      </c>
      <c r="D52" s="148"/>
      <c r="E52" s="148"/>
      <c r="F52" s="148"/>
      <c r="G52" s="193"/>
      <c r="H52" s="105" t="n">
        <f aca="false">'[2]$ зима'!j52-'[2]$ зима'!au52-'[2]$ зима'!at52-'[2]$ зима'!as52-'[2]$ зима'!ar52-'[2]$ зима'!aq52-'[2]$ зима'!ap52-'[2]$ зима'!an52-'[2]$ зима'!am52-'[2]$ зима'!al52-'[2]$ зима'!ak52-'[2]$ зима'!aj52-'[2]$ зима'!ah52-'[2]$ зима'!ag52-'[2]$ зима'!af52-'[2]$ зима'!ae52-'[2]$ зима'!ad52-'[2]$ зима'!ab52-'[2]$ зима'!aa52-'[2]$ зима'!z52-'[2]$ зима'!y52-'[2]$ зима'!x52-'[2]$ зима'!v52-'[2]$ зима'!u52-'[2]$ зима'!t52-'[2]$ зима'!s52-'[2]$ зима'!r52-'[2]$ зима'!p52-'[2]$ зима'!o52-'[2]$ зима'!n52-'[2]$ зима'!m52-'[2]$ зима'!l52+'[2]$ зима'!q52+'[2]$ зима'!w52+'[2]$ зима'!ac52+'[2]$ зима'!ai52+'[2]$ зима'!ao52+'[2]$ зима'!k52</f>
        <v>0</v>
      </c>
      <c r="I52" s="191" t="n">
        <f aca="false">'[2]$ зима'!ay52*1.1</f>
        <v>770</v>
      </c>
      <c r="J52" s="171" t="n">
        <v>2017</v>
      </c>
    </row>
    <row r="53" customFormat="false" ht="15" hidden="false" customHeight="false" outlineLevel="0" collapsed="false">
      <c r="A53" s="196" t="s">
        <v>44</v>
      </c>
      <c r="B53" s="149" t="s">
        <v>3142</v>
      </c>
      <c r="C53" s="148" t="s">
        <v>3169</v>
      </c>
      <c r="D53" s="148"/>
      <c r="E53" s="192"/>
      <c r="F53" s="192"/>
      <c r="G53" s="193" t="s">
        <v>609</v>
      </c>
      <c r="H53" s="105" t="n">
        <f aca="false">'[2]$ зима'!j53-'[2]$ зима'!au53-'[2]$ зима'!at53-'[2]$ зима'!as53-'[2]$ зима'!ar53-'[2]$ зима'!aq53-'[2]$ зима'!ap53-'[2]$ зима'!an53-'[2]$ зима'!am53-'[2]$ зима'!al53-'[2]$ зима'!ak53-'[2]$ зима'!aj53-'[2]$ зима'!ah53-'[2]$ зима'!ag53-'[2]$ зима'!af53-'[2]$ зима'!ae53-'[2]$ зима'!ad53-'[2]$ зима'!ab53-'[2]$ зима'!aa53-'[2]$ зима'!z53-'[2]$ зима'!y53-'[2]$ зима'!x53-'[2]$ зима'!v53-'[2]$ зима'!u53-'[2]$ зима'!t53-'[2]$ зима'!s53-'[2]$ зима'!r53-'[2]$ зима'!p53-'[2]$ зима'!o53-'[2]$ зима'!n53-'[2]$ зима'!m53-'[2]$ зима'!l53+'[2]$ зима'!q53+'[2]$ зима'!w53+'[2]$ зима'!ac53+'[2]$ зима'!ai53+'[2]$ зима'!ao53+'[2]$ зима'!k53</f>
        <v>6</v>
      </c>
      <c r="I53" s="191" t="n">
        <f aca="false">'[2]$ зима'!ay53*1.1</f>
        <v>954.8</v>
      </c>
      <c r="J53" s="171" t="n">
        <v>2014</v>
      </c>
    </row>
    <row r="54" customFormat="false" ht="15" hidden="true" customHeight="false" outlineLevel="0" collapsed="false">
      <c r="A54" s="196" t="s">
        <v>44</v>
      </c>
      <c r="B54" s="149" t="s">
        <v>1149</v>
      </c>
      <c r="C54" s="148" t="s">
        <v>3170</v>
      </c>
      <c r="D54" s="148"/>
      <c r="E54" s="148"/>
      <c r="F54" s="148"/>
      <c r="G54" s="193"/>
      <c r="H54" s="105" t="n">
        <f aca="false">'[2]$ зима'!j54-'[2]$ зима'!au54-'[2]$ зима'!at54-'[2]$ зима'!as54-'[2]$ зима'!ar54-'[2]$ зима'!aq54-'[2]$ зима'!ap54-'[2]$ зима'!an54-'[2]$ зима'!am54-'[2]$ зима'!al54-'[2]$ зима'!ak54-'[2]$ зима'!aj54-'[2]$ зима'!ah54-'[2]$ зима'!ag54-'[2]$ зима'!af54-'[2]$ зима'!ae54-'[2]$ зима'!ad54-'[2]$ зима'!ab54-'[2]$ зима'!aa54-'[2]$ зима'!z54-'[2]$ зима'!y54-'[2]$ зима'!x54-'[2]$ зима'!v54-'[2]$ зима'!u54-'[2]$ зима'!t54-'[2]$ зима'!s54-'[2]$ зима'!r54-'[2]$ зима'!p54-'[2]$ зима'!o54-'[2]$ зима'!n54-'[2]$ зима'!m54-'[2]$ зима'!l54+'[2]$ зима'!q54+'[2]$ зима'!w54+'[2]$ зима'!ac54+'[2]$ зима'!ai54+'[2]$ зима'!ao54+'[2]$ зима'!k54</f>
        <v>0</v>
      </c>
      <c r="I54" s="191" t="n">
        <f aca="false">'[2]$ зима'!ay54*1.1</f>
        <v>924</v>
      </c>
    </row>
    <row r="55" customFormat="false" ht="15" hidden="true" customHeight="false" outlineLevel="0" collapsed="false">
      <c r="A55" s="196" t="s">
        <v>44</v>
      </c>
      <c r="B55" s="149" t="s">
        <v>617</v>
      </c>
      <c r="C55" s="194" t="s">
        <v>3171</v>
      </c>
      <c r="D55" s="194"/>
      <c r="E55" s="194"/>
      <c r="F55" s="194"/>
      <c r="G55" s="193"/>
      <c r="H55" s="105" t="n">
        <f aca="false">'[2]$ зима'!j55-'[2]$ зима'!au55-'[2]$ зима'!at55-'[2]$ зима'!as55-'[2]$ зима'!ar55-'[2]$ зима'!aq55-'[2]$ зима'!ap55-'[2]$ зима'!an55-'[2]$ зима'!am55-'[2]$ зима'!al55-'[2]$ зима'!ak55-'[2]$ зима'!aj55-'[2]$ зима'!ah55-'[2]$ зима'!ag55-'[2]$ зима'!af55-'[2]$ зима'!ae55-'[2]$ зима'!ad55-'[2]$ зима'!ab55-'[2]$ зима'!aa55-'[2]$ зима'!z55-'[2]$ зима'!y55-'[2]$ зима'!x55-'[2]$ зима'!v55-'[2]$ зима'!u55-'[2]$ зима'!t55-'[2]$ зима'!s55-'[2]$ зима'!r55-'[2]$ зима'!p55-'[2]$ зима'!o55-'[2]$ зима'!n55-'[2]$ зима'!m55-'[2]$ зима'!l55+'[2]$ зима'!q55+'[2]$ зима'!w55+'[2]$ зима'!ac55+'[2]$ зима'!ai55+'[2]$ зима'!ao55+'[2]$ зима'!k55</f>
        <v>0</v>
      </c>
      <c r="I55" s="191" t="n">
        <f aca="false">'[2]$ зима'!ay55*1.1</f>
        <v>770</v>
      </c>
    </row>
    <row r="56" customFormat="false" ht="15" hidden="false" customHeight="false" outlineLevel="0" collapsed="false">
      <c r="A56" s="196" t="s">
        <v>44</v>
      </c>
      <c r="B56" s="149" t="s">
        <v>677</v>
      </c>
      <c r="C56" s="148" t="s">
        <v>3135</v>
      </c>
      <c r="D56" s="148"/>
      <c r="E56" s="192"/>
      <c r="F56" s="192"/>
      <c r="G56" s="193"/>
      <c r="H56" s="105" t="n">
        <f aca="false">'[2]$ зима'!j56-'[2]$ зима'!au56-'[2]$ зима'!at56-'[2]$ зима'!as56-'[2]$ зима'!ar56-'[2]$ зима'!aq56-'[2]$ зима'!ap56-'[2]$ зима'!an56-'[2]$ зима'!am56-'[2]$ зима'!al56-'[2]$ зима'!ak56-'[2]$ зима'!aj56-'[2]$ зима'!ah56-'[2]$ зима'!ag56-'[2]$ зима'!af56-'[2]$ зима'!ae56-'[2]$ зима'!ad56-'[2]$ зима'!ab56-'[2]$ зима'!aa56-'[2]$ зима'!z56-'[2]$ зима'!y56-'[2]$ зима'!x56-'[2]$ зима'!v56-'[2]$ зима'!u56-'[2]$ зима'!t56-'[2]$ зима'!s56-'[2]$ зима'!r56-'[2]$ зима'!p56-'[2]$ зима'!o56-'[2]$ зима'!n56-'[2]$ зима'!m56-'[2]$ зима'!l56+'[2]$ зима'!q56+'[2]$ зима'!w56+'[2]$ зима'!ac56+'[2]$ зима'!ai56+'[2]$ зима'!ao56+'[2]$ зима'!k56</f>
        <v>8</v>
      </c>
      <c r="I56" s="191" t="n">
        <f aca="false">'[2]$ зима'!ay56*1.1</f>
        <v>831.6</v>
      </c>
      <c r="J56" s="171" t="n">
        <v>2017</v>
      </c>
    </row>
    <row r="57" customFormat="false" ht="15" hidden="false" customHeight="false" outlineLevel="0" collapsed="false">
      <c r="A57" s="196" t="s">
        <v>44</v>
      </c>
      <c r="B57" s="149" t="s">
        <v>677</v>
      </c>
      <c r="C57" s="148" t="s">
        <v>3136</v>
      </c>
      <c r="D57" s="148" t="s">
        <v>3127</v>
      </c>
      <c r="E57" s="192"/>
      <c r="F57" s="192"/>
      <c r="G57" s="193"/>
      <c r="H57" s="105" t="n">
        <f aca="false">'[2]$ зима'!j57-'[2]$ зима'!au57-'[2]$ зима'!at57-'[2]$ зима'!as57-'[2]$ зима'!ar57-'[2]$ зима'!aq57-'[2]$ зима'!ap57-'[2]$ зима'!an57-'[2]$ зима'!am57-'[2]$ зима'!al57-'[2]$ зима'!ak57-'[2]$ зима'!aj57-'[2]$ зима'!ah57-'[2]$ зима'!ag57-'[2]$ зима'!af57-'[2]$ зима'!ae57-'[2]$ зима'!ad57-'[2]$ зима'!ab57-'[2]$ зима'!aa57-'[2]$ зима'!z57-'[2]$ зима'!y57-'[2]$ зима'!x57-'[2]$ зима'!v57-'[2]$ зима'!u57-'[2]$ зима'!t57-'[2]$ зима'!s57-'[2]$ зима'!r57-'[2]$ зима'!p57-'[2]$ зима'!o57-'[2]$ зима'!n57-'[2]$ зима'!m57-'[2]$ зима'!l57+'[2]$ зима'!q57+'[2]$ зима'!w57+'[2]$ зима'!ac57+'[2]$ зима'!ai57+'[2]$ зима'!ao57+'[2]$ зима'!k57</f>
        <v>8</v>
      </c>
      <c r="I57" s="191" t="n">
        <f aca="false">'[2]$ зима'!ay57*1.1</f>
        <v>831.6</v>
      </c>
      <c r="J57" s="171" t="n">
        <v>2017</v>
      </c>
    </row>
    <row r="58" customFormat="false" ht="15" hidden="false" customHeight="false" outlineLevel="0" collapsed="false">
      <c r="A58" s="196" t="s">
        <v>44</v>
      </c>
      <c r="B58" s="149" t="s">
        <v>652</v>
      </c>
      <c r="C58" s="148" t="s">
        <v>3137</v>
      </c>
      <c r="D58" s="148" t="s">
        <v>3147</v>
      </c>
      <c r="E58" s="192"/>
      <c r="F58" s="192"/>
      <c r="G58" s="193"/>
      <c r="H58" s="105" t="n">
        <f aca="false">'[2]$ зима'!j58-'[2]$ зима'!au58-'[2]$ зима'!at58-'[2]$ зима'!as58-'[2]$ зима'!ar58-'[2]$ зима'!aq58-'[2]$ зима'!ap58-'[2]$ зима'!an58-'[2]$ зима'!am58-'[2]$ зима'!al58-'[2]$ зима'!ak58-'[2]$ зима'!aj58-'[2]$ зима'!ah58-'[2]$ зима'!ag58-'[2]$ зима'!af58-'[2]$ зима'!ae58-'[2]$ зима'!ad58-'[2]$ зима'!ab58-'[2]$ зима'!aa58-'[2]$ зима'!z58-'[2]$ зима'!y58-'[2]$ зима'!x58-'[2]$ зима'!v58-'[2]$ зима'!u58-'[2]$ зима'!t58-'[2]$ зима'!s58-'[2]$ зима'!r58-'[2]$ зима'!p58-'[2]$ зима'!o58-'[2]$ зима'!n58-'[2]$ зима'!m58-'[2]$ зима'!l58+'[2]$ зима'!q58+'[2]$ зима'!w58+'[2]$ зима'!ac58+'[2]$ зима'!ai58+'[2]$ зима'!ao58+'[2]$ зима'!k58</f>
        <v>4</v>
      </c>
      <c r="I58" s="191" t="n">
        <f aca="false">'[2]$ зима'!ay58*1.1</f>
        <v>1540</v>
      </c>
      <c r="J58" s="171" t="n">
        <v>2017</v>
      </c>
    </row>
    <row r="59" customFormat="false" ht="15" hidden="true" customHeight="false" outlineLevel="0" collapsed="false">
      <c r="A59" s="65" t="s">
        <v>44</v>
      </c>
      <c r="B59" s="33" t="s">
        <v>1161</v>
      </c>
      <c r="C59" s="199" t="s">
        <v>3172</v>
      </c>
      <c r="D59" s="199"/>
      <c r="E59" s="199"/>
      <c r="F59" s="199"/>
      <c r="G59" s="200" t="s">
        <v>625</v>
      </c>
      <c r="H59" s="105" t="n">
        <f aca="false">'[2]$ зима'!j59-'[2]$ зима'!au59-'[2]$ зима'!at59-'[2]$ зима'!as59-'[2]$ зима'!ar59-'[2]$ зима'!aq59-'[2]$ зима'!ap59-'[2]$ зима'!an59-'[2]$ зима'!am59-'[2]$ зима'!al59-'[2]$ зима'!ak59-'[2]$ зима'!aj59-'[2]$ зима'!ah59-'[2]$ зима'!ag59-'[2]$ зима'!af59-'[2]$ зима'!ae59-'[2]$ зима'!ad59-'[2]$ зима'!ab59-'[2]$ зима'!aa59-'[2]$ зима'!z59-'[2]$ зима'!y59-'[2]$ зима'!x59-'[2]$ зима'!v59-'[2]$ зима'!u59-'[2]$ зима'!t59-'[2]$ зима'!s59-'[2]$ зима'!r59-'[2]$ зима'!p59-'[2]$ зима'!o59-'[2]$ зима'!n59-'[2]$ зима'!m59-'[2]$ зима'!l59+'[2]$ зима'!q59+'[2]$ зима'!w59+'[2]$ зима'!ac59+'[2]$ зима'!ai59+'[2]$ зима'!ao59+'[2]$ зима'!k59</f>
        <v>0</v>
      </c>
      <c r="I59" s="191" t="n">
        <f aca="false">'[2]$ зима'!ay59*1.1</f>
        <v>770</v>
      </c>
      <c r="J59" s="201" t="n">
        <v>2011</v>
      </c>
    </row>
    <row r="60" customFormat="false" ht="15" hidden="true" customHeight="false" outlineLevel="0" collapsed="false">
      <c r="A60" s="196" t="s">
        <v>44</v>
      </c>
      <c r="B60" s="149" t="s">
        <v>589</v>
      </c>
      <c r="C60" s="148" t="s">
        <v>3173</v>
      </c>
      <c r="D60" s="148"/>
      <c r="E60" s="148"/>
      <c r="F60" s="148"/>
      <c r="G60" s="193" t="s">
        <v>626</v>
      </c>
      <c r="H60" s="105" t="n">
        <f aca="false">'[2]$ зима'!j60-'[2]$ зима'!au60-'[2]$ зима'!at60-'[2]$ зима'!as60-'[2]$ зима'!ar60-'[2]$ зима'!aq60-'[2]$ зима'!ap60-'[2]$ зима'!an60-'[2]$ зима'!am60-'[2]$ зима'!al60-'[2]$ зима'!ak60-'[2]$ зима'!aj60-'[2]$ зима'!ah60-'[2]$ зима'!ag60-'[2]$ зима'!af60-'[2]$ зима'!ae60-'[2]$ зима'!ad60-'[2]$ зима'!ab60-'[2]$ зима'!aa60-'[2]$ зима'!z60-'[2]$ зима'!y60-'[2]$ зима'!x60-'[2]$ зима'!v60-'[2]$ зима'!u60-'[2]$ зима'!t60-'[2]$ зима'!s60-'[2]$ зима'!r60-'[2]$ зима'!p60-'[2]$ зима'!o60-'[2]$ зима'!n60-'[2]$ зима'!m60-'[2]$ зима'!l60+'[2]$ зима'!q60+'[2]$ зима'!w60+'[2]$ зима'!ac60+'[2]$ зима'!ai60+'[2]$ зима'!ao60+'[2]$ зима'!k60</f>
        <v>0</v>
      </c>
      <c r="I60" s="191" t="n">
        <f aca="false">'[2]$ зима'!ay60*1.1</f>
        <v>996.16</v>
      </c>
    </row>
    <row r="61" customFormat="false" ht="15" hidden="true" customHeight="false" outlineLevel="0" collapsed="false">
      <c r="A61" s="196" t="s">
        <v>44</v>
      </c>
      <c r="B61" s="149" t="s">
        <v>589</v>
      </c>
      <c r="C61" s="148" t="s">
        <v>3174</v>
      </c>
      <c r="D61" s="148"/>
      <c r="E61" s="148"/>
      <c r="F61" s="148"/>
      <c r="G61" s="193" t="s">
        <v>626</v>
      </c>
      <c r="H61" s="105" t="n">
        <f aca="false">'[2]$ зима'!j61-'[2]$ зима'!au61-'[2]$ зима'!at61-'[2]$ зима'!as61-'[2]$ зима'!ar61-'[2]$ зима'!aq61-'[2]$ зима'!ap61-'[2]$ зима'!an61-'[2]$ зима'!am61-'[2]$ зима'!al61-'[2]$ зима'!ak61-'[2]$ зима'!aj61-'[2]$ зима'!ah61-'[2]$ зима'!ag61-'[2]$ зима'!af61-'[2]$ зима'!ae61-'[2]$ зима'!ad61-'[2]$ зима'!ab61-'[2]$ зима'!aa61-'[2]$ зима'!z61-'[2]$ зима'!y61-'[2]$ зима'!x61-'[2]$ зима'!v61-'[2]$ зима'!u61-'[2]$ зима'!t61-'[2]$ зима'!s61-'[2]$ зима'!r61-'[2]$ зима'!p61-'[2]$ зима'!o61-'[2]$ зима'!n61-'[2]$ зима'!m61-'[2]$ зима'!l61+'[2]$ зима'!q61+'[2]$ зима'!w61+'[2]$ зима'!ac61+'[2]$ зима'!ai61+'[2]$ зима'!ao61+'[2]$ зима'!k61</f>
        <v>0</v>
      </c>
      <c r="I61" s="191" t="n">
        <f aca="false">'[2]$ зима'!ay61*1.1</f>
        <v>1120.68</v>
      </c>
      <c r="J61" s="171" t="n">
        <v>2017</v>
      </c>
    </row>
    <row r="62" customFormat="false" ht="15" hidden="true" customHeight="false" outlineLevel="0" collapsed="false">
      <c r="A62" s="196" t="s">
        <v>44</v>
      </c>
      <c r="B62" s="149" t="s">
        <v>589</v>
      </c>
      <c r="C62" s="148" t="s">
        <v>3175</v>
      </c>
      <c r="D62" s="148"/>
      <c r="E62" s="148"/>
      <c r="F62" s="148"/>
      <c r="G62" s="193" t="s">
        <v>626</v>
      </c>
      <c r="H62" s="105" t="n">
        <f aca="false">'[2]$ зима'!j62-'[2]$ зима'!au62-'[2]$ зима'!at62-'[2]$ зима'!as62-'[2]$ зима'!ar62-'[2]$ зима'!aq62-'[2]$ зима'!ap62-'[2]$ зима'!an62-'[2]$ зима'!am62-'[2]$ зима'!al62-'[2]$ зима'!ak62-'[2]$ зима'!aj62-'[2]$ зима'!ah62-'[2]$ зима'!ag62-'[2]$ зима'!af62-'[2]$ зима'!ae62-'[2]$ зима'!ad62-'[2]$ зима'!ab62-'[2]$ зима'!aa62-'[2]$ зима'!z62-'[2]$ зима'!y62-'[2]$ зима'!x62-'[2]$ зима'!v62-'[2]$ зима'!u62-'[2]$ зима'!t62-'[2]$ зима'!s62-'[2]$ зима'!r62-'[2]$ зима'!p62-'[2]$ зима'!o62-'[2]$ зима'!n62-'[2]$ зима'!m62-'[2]$ зима'!l62+'[2]$ зима'!q62+'[2]$ зима'!w62+'[2]$ зима'!ac62+'[2]$ зима'!ai62+'[2]$ зима'!ao62+'[2]$ зима'!k62</f>
        <v>0</v>
      </c>
      <c r="I62" s="191" t="n">
        <f aca="false">'[2]$ зима'!ay62*1.1</f>
        <v>1245.2</v>
      </c>
    </row>
    <row r="63" customFormat="false" ht="15" hidden="true" customHeight="false" outlineLevel="0" collapsed="false">
      <c r="A63" s="196" t="s">
        <v>44</v>
      </c>
      <c r="B63" s="149" t="s">
        <v>1028</v>
      </c>
      <c r="C63" s="148" t="s">
        <v>3176</v>
      </c>
      <c r="D63" s="148"/>
      <c r="E63" s="148"/>
      <c r="F63" s="148"/>
      <c r="G63" s="193"/>
      <c r="H63" s="105" t="n">
        <f aca="false">'[2]$ зима'!j63-'[2]$ зима'!au63-'[2]$ зима'!at63-'[2]$ зима'!as63-'[2]$ зима'!ar63-'[2]$ зима'!aq63-'[2]$ зима'!ap63-'[2]$ зима'!an63-'[2]$ зима'!am63-'[2]$ зима'!al63-'[2]$ зима'!ak63-'[2]$ зима'!aj63-'[2]$ зима'!ah63-'[2]$ зима'!ag63-'[2]$ зима'!af63-'[2]$ зима'!ae63-'[2]$ зима'!ad63-'[2]$ зима'!ab63-'[2]$ зима'!aa63-'[2]$ зима'!z63-'[2]$ зима'!y63-'[2]$ зима'!x63-'[2]$ зима'!v63-'[2]$ зима'!u63-'[2]$ зима'!t63-'[2]$ зима'!s63-'[2]$ зима'!r63-'[2]$ зима'!p63-'[2]$ зима'!o63-'[2]$ зима'!n63-'[2]$ зима'!m63-'[2]$ зима'!l63+'[2]$ зима'!q63+'[2]$ зима'!w63+'[2]$ зима'!ac63+'[2]$ зима'!ai63+'[2]$ зима'!ao63+'[2]$ зима'!k63</f>
        <v>0</v>
      </c>
      <c r="I63" s="191" t="n">
        <f aca="false">'[2]$ зима'!ay63*1.1</f>
        <v>1232</v>
      </c>
    </row>
    <row r="64" customFormat="false" ht="15" hidden="true" customHeight="false" outlineLevel="0" collapsed="false">
      <c r="A64" s="196" t="s">
        <v>44</v>
      </c>
      <c r="B64" s="149" t="s">
        <v>1028</v>
      </c>
      <c r="C64" s="148" t="s">
        <v>3177</v>
      </c>
      <c r="D64" s="202"/>
      <c r="E64" s="202"/>
      <c r="F64" s="202"/>
      <c r="G64" s="203"/>
      <c r="H64" s="105" t="n">
        <f aca="false">'[2]$ зима'!j64-'[2]$ зима'!au64-'[2]$ зима'!at64-'[2]$ зима'!as64-'[2]$ зима'!ar64-'[2]$ зима'!aq64-'[2]$ зима'!ap64-'[2]$ зима'!an64-'[2]$ зима'!am64-'[2]$ зима'!al64-'[2]$ зима'!ak64-'[2]$ зима'!aj64-'[2]$ зима'!ah64-'[2]$ зима'!ag64-'[2]$ зима'!af64-'[2]$ зима'!ae64-'[2]$ зима'!ad64-'[2]$ зима'!ab64-'[2]$ зима'!aa64-'[2]$ зима'!z64-'[2]$ зима'!y64-'[2]$ зима'!x64-'[2]$ зима'!v64-'[2]$ зима'!u64-'[2]$ зима'!t64-'[2]$ зима'!s64-'[2]$ зима'!r64-'[2]$ зима'!p64-'[2]$ зима'!o64-'[2]$ зима'!n64-'[2]$ зима'!m64-'[2]$ зима'!l64+'[2]$ зима'!q64+'[2]$ зима'!w64+'[2]$ зима'!ac64+'[2]$ зима'!ai64+'[2]$ зима'!ao64+'[2]$ зима'!k64</f>
        <v>0</v>
      </c>
      <c r="I64" s="191" t="n">
        <f aca="false">'[2]$ зима'!ay64*1.1</f>
        <v>1293.6</v>
      </c>
    </row>
    <row r="65" customFormat="false" ht="15" hidden="true" customHeight="false" outlineLevel="0" collapsed="false">
      <c r="A65" s="196" t="s">
        <v>44</v>
      </c>
      <c r="B65" s="149" t="s">
        <v>981</v>
      </c>
      <c r="C65" s="148" t="s">
        <v>3178</v>
      </c>
      <c r="D65" s="204"/>
      <c r="E65" s="204"/>
      <c r="F65" s="204"/>
      <c r="G65" s="205"/>
      <c r="H65" s="105" t="n">
        <f aca="false">'[2]$ зима'!j65-'[2]$ зима'!au65-'[2]$ зима'!at65-'[2]$ зима'!as65-'[2]$ зима'!ar65-'[2]$ зима'!aq65-'[2]$ зима'!ap65-'[2]$ зима'!an65-'[2]$ зима'!am65-'[2]$ зима'!al65-'[2]$ зима'!ak65-'[2]$ зима'!aj65-'[2]$ зима'!ah65-'[2]$ зима'!ag65-'[2]$ зима'!af65-'[2]$ зима'!ae65-'[2]$ зима'!ad65-'[2]$ зима'!ab65-'[2]$ зима'!aa65-'[2]$ зима'!z65-'[2]$ зима'!y65-'[2]$ зима'!x65-'[2]$ зима'!v65-'[2]$ зима'!u65-'[2]$ зима'!t65-'[2]$ зима'!s65-'[2]$ зима'!r65-'[2]$ зима'!p65-'[2]$ зима'!o65-'[2]$ зима'!n65-'[2]$ зима'!m65-'[2]$ зима'!l65+'[2]$ зима'!q65+'[2]$ зима'!w65+'[2]$ зима'!ac65+'[2]$ зима'!ai65+'[2]$ зима'!ao65+'[2]$ зима'!k65</f>
        <v>0</v>
      </c>
      <c r="I65" s="191" t="n">
        <f aca="false">'[2]$ зима'!ay65*1.1</f>
        <v>770</v>
      </c>
    </row>
    <row r="66" customFormat="false" ht="15" hidden="false" customHeight="false" outlineLevel="0" collapsed="false">
      <c r="A66" s="196" t="s">
        <v>76</v>
      </c>
      <c r="B66" s="149" t="s">
        <v>668</v>
      </c>
      <c r="C66" s="194" t="s">
        <v>3179</v>
      </c>
      <c r="D66" s="148"/>
      <c r="E66" s="192"/>
      <c r="F66" s="192"/>
      <c r="G66" s="193" t="s">
        <v>609</v>
      </c>
      <c r="H66" s="105" t="n">
        <f aca="false">'[2]$ зима'!j66-'[2]$ зима'!au66-'[2]$ зима'!at66-'[2]$ зима'!as66-'[2]$ зима'!ar66-'[2]$ зима'!aq66-'[2]$ зима'!ap66-'[2]$ зима'!an66-'[2]$ зима'!am66-'[2]$ зима'!al66-'[2]$ зима'!ak66-'[2]$ зима'!aj66-'[2]$ зима'!ah66-'[2]$ зима'!ag66-'[2]$ зима'!af66-'[2]$ зима'!ae66-'[2]$ зима'!ad66-'[2]$ зима'!ab66-'[2]$ зима'!aa66-'[2]$ зима'!z66-'[2]$ зима'!y66-'[2]$ зима'!x66-'[2]$ зима'!v66-'[2]$ зима'!u66-'[2]$ зима'!t66-'[2]$ зима'!s66-'[2]$ зима'!r66-'[2]$ зима'!p66-'[2]$ зима'!o66-'[2]$ зима'!n66-'[2]$ зима'!m66-'[2]$ зима'!l66+'[2]$ зима'!q66+'[2]$ зима'!w66+'[2]$ зима'!ac66+'[2]$ зима'!ai66+'[2]$ зима'!ao66+'[2]$ зима'!k66</f>
        <v>2</v>
      </c>
      <c r="I66" s="191" t="n">
        <f aca="false">'[2]$ зима'!ay66*1.1</f>
        <v>1170.4</v>
      </c>
      <c r="J66" s="171" t="n">
        <v>2012</v>
      </c>
    </row>
    <row r="67" customFormat="false" ht="15" hidden="true" customHeight="false" outlineLevel="0" collapsed="false">
      <c r="A67" s="196" t="s">
        <v>76</v>
      </c>
      <c r="B67" s="149" t="s">
        <v>1471</v>
      </c>
      <c r="C67" s="148" t="s">
        <v>3180</v>
      </c>
      <c r="D67" s="148"/>
      <c r="E67" s="148"/>
      <c r="F67" s="148"/>
      <c r="G67" s="193"/>
      <c r="H67" s="105" t="n">
        <f aca="false">'[2]$ зима'!j67-'[2]$ зима'!au67-'[2]$ зима'!at67-'[2]$ зима'!as67-'[2]$ зима'!ar67-'[2]$ зима'!aq67-'[2]$ зима'!ap67-'[2]$ зима'!an67-'[2]$ зима'!am67-'[2]$ зима'!al67-'[2]$ зима'!ak67-'[2]$ зима'!aj67-'[2]$ зима'!ah67-'[2]$ зима'!ag67-'[2]$ зима'!af67-'[2]$ зима'!ae67-'[2]$ зима'!ad67-'[2]$ зима'!ab67-'[2]$ зима'!aa67-'[2]$ зима'!z67-'[2]$ зима'!y67-'[2]$ зима'!x67-'[2]$ зима'!v67-'[2]$ зима'!u67-'[2]$ зима'!t67-'[2]$ зима'!s67-'[2]$ зима'!r67-'[2]$ зима'!p67-'[2]$ зима'!o67-'[2]$ зима'!n67-'[2]$ зима'!m67-'[2]$ зима'!l67+'[2]$ зима'!q67+'[2]$ зима'!w67+'[2]$ зима'!ac67+'[2]$ зима'!ai67+'[2]$ зима'!ao67+'[2]$ зима'!k67</f>
        <v>0</v>
      </c>
      <c r="I67" s="191" t="n">
        <f aca="false">'[2]$ зима'!ay67*1.1</f>
        <v>1108.8</v>
      </c>
    </row>
    <row r="68" customFormat="false" ht="15.75" hidden="false" customHeight="false" outlineLevel="0" collapsed="false">
      <c r="A68" s="206" t="s">
        <v>78</v>
      </c>
      <c r="B68" s="207"/>
      <c r="C68" s="207"/>
      <c r="D68" s="207"/>
      <c r="E68" s="208"/>
      <c r="F68" s="208"/>
      <c r="G68" s="209"/>
      <c r="H68" s="105"/>
      <c r="I68" s="187" t="n">
        <f aca="false">'[2]$ зима'!ay68*1.1</f>
        <v>0</v>
      </c>
    </row>
    <row r="69" customFormat="false" ht="15" hidden="true" customHeight="false" outlineLevel="0" collapsed="false">
      <c r="A69" s="188" t="s">
        <v>635</v>
      </c>
      <c r="B69" s="149" t="s">
        <v>606</v>
      </c>
      <c r="C69" s="148" t="s">
        <v>3125</v>
      </c>
      <c r="D69" s="148"/>
      <c r="E69" s="148"/>
      <c r="F69" s="148"/>
      <c r="G69" s="193"/>
      <c r="H69" s="105" t="n">
        <f aca="false">'[2]$ зима'!j69-'[2]$ зима'!au69-'[2]$ зима'!at69-'[2]$ зима'!as69-'[2]$ зима'!ar69-'[2]$ зима'!aq69-'[2]$ зима'!ap69-'[2]$ зима'!an69-'[2]$ зима'!am69-'[2]$ зима'!al69-'[2]$ зима'!ak69-'[2]$ зима'!aj69-'[2]$ зима'!ah69-'[2]$ зима'!ag69-'[2]$ зима'!af69-'[2]$ зима'!ae69-'[2]$ зима'!ad69-'[2]$ зима'!ab69-'[2]$ зима'!aa69-'[2]$ зима'!z69-'[2]$ зима'!y69-'[2]$ зима'!x69-'[2]$ зима'!v69-'[2]$ зима'!u69-'[2]$ зима'!t69-'[2]$ зима'!s69-'[2]$ зима'!r69-'[2]$ зима'!p69-'[2]$ зима'!o69-'[2]$ зима'!n69-'[2]$ зима'!m69-'[2]$ зима'!l69+'[2]$ зима'!q69+'[2]$ зима'!w69+'[2]$ зима'!ac69+'[2]$ зима'!ai69+'[2]$ зима'!ao69+'[2]$ зима'!k69</f>
        <v>0</v>
      </c>
      <c r="I69" s="191" t="n">
        <f aca="false">'[2]$ зима'!ay69*1.1</f>
        <v>1232</v>
      </c>
    </row>
    <row r="70" customFormat="false" ht="15" hidden="false" customHeight="false" outlineLevel="0" collapsed="false">
      <c r="A70" s="188" t="s">
        <v>635</v>
      </c>
      <c r="B70" s="149" t="s">
        <v>583</v>
      </c>
      <c r="C70" s="148" t="s">
        <v>3131</v>
      </c>
      <c r="D70" s="148"/>
      <c r="E70" s="192"/>
      <c r="F70" s="192"/>
      <c r="G70" s="193"/>
      <c r="H70" s="105" t="n">
        <f aca="false">'[2]$ зима'!j70-'[2]$ зима'!au70-'[2]$ зима'!at70-'[2]$ зима'!as70-'[2]$ зима'!ar70-'[2]$ зима'!aq70-'[2]$ зима'!ap70-'[2]$ зима'!an70-'[2]$ зима'!am70-'[2]$ зима'!al70-'[2]$ зима'!ak70-'[2]$ зима'!aj70-'[2]$ зима'!ah70-'[2]$ зима'!ag70-'[2]$ зима'!af70-'[2]$ зима'!ae70-'[2]$ зима'!ad70-'[2]$ зима'!ab70-'[2]$ зима'!aa70-'[2]$ зима'!z70-'[2]$ зима'!y70-'[2]$ зима'!x70-'[2]$ зима'!v70-'[2]$ зима'!u70-'[2]$ зима'!t70-'[2]$ зима'!s70-'[2]$ зима'!r70-'[2]$ зима'!p70-'[2]$ зима'!o70-'[2]$ зима'!n70-'[2]$ зима'!m70-'[2]$ зима'!l70+'[2]$ зима'!q70+'[2]$ зима'!w70+'[2]$ зима'!ac70+'[2]$ зима'!ai70+'[2]$ зима'!ao70+'[2]$ зима'!k70</f>
        <v>3</v>
      </c>
      <c r="I70" s="191" t="n">
        <f aca="false">'[2]$ зима'!ay70*1.1</f>
        <v>924</v>
      </c>
    </row>
    <row r="71" customFormat="false" ht="15" hidden="true" customHeight="false" outlineLevel="0" collapsed="false">
      <c r="A71" s="210" t="s">
        <v>641</v>
      </c>
      <c r="B71" s="149" t="s">
        <v>606</v>
      </c>
      <c r="C71" s="148" t="s">
        <v>3181</v>
      </c>
      <c r="D71" s="148"/>
      <c r="E71" s="148" t="n">
        <v>79</v>
      </c>
      <c r="F71" s="148" t="s">
        <v>562</v>
      </c>
      <c r="G71" s="193"/>
      <c r="H71" s="105" t="n">
        <f aca="false">'[2]$ зима'!j71-'[2]$ зима'!au71-'[2]$ зима'!at71-'[2]$ зима'!as71-'[2]$ зима'!ar71-'[2]$ зима'!aq71-'[2]$ зима'!ap71-'[2]$ зима'!an71-'[2]$ зима'!am71-'[2]$ зима'!al71-'[2]$ зима'!ak71-'[2]$ зима'!aj71-'[2]$ зима'!ah71-'[2]$ зима'!ag71-'[2]$ зима'!af71-'[2]$ зима'!ae71-'[2]$ зима'!ad71-'[2]$ зима'!ab71-'[2]$ зима'!aa71-'[2]$ зима'!z71-'[2]$ зима'!y71-'[2]$ зима'!x71-'[2]$ зима'!v71-'[2]$ зима'!u71-'[2]$ зима'!t71-'[2]$ зима'!s71-'[2]$ зима'!r71-'[2]$ зима'!p71-'[2]$ зима'!o71-'[2]$ зима'!n71-'[2]$ зима'!m71-'[2]$ зима'!l71+'[2]$ зима'!q71+'[2]$ зима'!w71+'[2]$ зима'!ac71+'[2]$ зима'!ai71+'[2]$ зима'!ao71+'[2]$ зима'!k71</f>
        <v>0</v>
      </c>
      <c r="I71" s="191" t="n">
        <f aca="false">'[2]$ зима'!ay71*1.1</f>
        <v>1262.8</v>
      </c>
    </row>
    <row r="72" customFormat="false" ht="15" hidden="true" customHeight="false" outlineLevel="0" collapsed="false">
      <c r="A72" s="210" t="s">
        <v>641</v>
      </c>
      <c r="B72" s="149" t="s">
        <v>668</v>
      </c>
      <c r="C72" s="194" t="s">
        <v>3182</v>
      </c>
      <c r="D72" s="148"/>
      <c r="E72" s="148"/>
      <c r="F72" s="148"/>
      <c r="G72" s="193"/>
      <c r="H72" s="105" t="n">
        <f aca="false">'[2]$ зима'!j72-'[2]$ зима'!au72-'[2]$ зима'!at72-'[2]$ зима'!as72-'[2]$ зима'!ar72-'[2]$ зима'!aq72-'[2]$ зима'!ap72-'[2]$ зима'!an72-'[2]$ зима'!am72-'[2]$ зима'!al72-'[2]$ зима'!ak72-'[2]$ зима'!aj72-'[2]$ зима'!ah72-'[2]$ зима'!ag72-'[2]$ зима'!af72-'[2]$ зима'!ae72-'[2]$ зима'!ad72-'[2]$ зима'!ab72-'[2]$ зима'!aa72-'[2]$ зима'!z72-'[2]$ зима'!y72-'[2]$ зима'!x72-'[2]$ зима'!v72-'[2]$ зима'!u72-'[2]$ зима'!t72-'[2]$ зима'!s72-'[2]$ зима'!r72-'[2]$ зима'!p72-'[2]$ зима'!o72-'[2]$ зима'!n72-'[2]$ зима'!m72-'[2]$ зима'!l72+'[2]$ зима'!q72+'[2]$ зима'!w72+'[2]$ зима'!ac72+'[2]$ зима'!ai72+'[2]$ зима'!ao72+'[2]$ зима'!k72</f>
        <v>0</v>
      </c>
      <c r="I72" s="191" t="n">
        <f aca="false">'[2]$ зима'!ay72*1.1</f>
        <v>1067</v>
      </c>
    </row>
    <row r="73" customFormat="false" ht="15" hidden="true" customHeight="false" outlineLevel="0" collapsed="false">
      <c r="A73" s="210" t="s">
        <v>641</v>
      </c>
      <c r="B73" s="198" t="s">
        <v>583</v>
      </c>
      <c r="C73" s="148" t="s">
        <v>3131</v>
      </c>
      <c r="D73" s="148"/>
      <c r="E73" s="148"/>
      <c r="F73" s="148"/>
      <c r="G73" s="193"/>
      <c r="H73" s="105" t="n">
        <f aca="false">'[2]$ зима'!j73-'[2]$ зима'!au73-'[2]$ зима'!at73-'[2]$ зима'!as73-'[2]$ зима'!ar73-'[2]$ зима'!aq73-'[2]$ зима'!ap73-'[2]$ зима'!an73-'[2]$ зима'!am73-'[2]$ зима'!al73-'[2]$ зима'!ak73-'[2]$ зима'!aj73-'[2]$ зима'!ah73-'[2]$ зима'!ag73-'[2]$ зима'!af73-'[2]$ зима'!ae73-'[2]$ зима'!ad73-'[2]$ зима'!ab73-'[2]$ зима'!aa73-'[2]$ зима'!z73-'[2]$ зима'!y73-'[2]$ зима'!x73-'[2]$ зима'!v73-'[2]$ зима'!u73-'[2]$ зима'!t73-'[2]$ зима'!s73-'[2]$ зима'!r73-'[2]$ зима'!p73-'[2]$ зима'!o73-'[2]$ зима'!n73-'[2]$ зима'!m73-'[2]$ зима'!l73+'[2]$ зима'!q73+'[2]$ зима'!w73+'[2]$ зима'!ac73+'[2]$ зима'!ai73+'[2]$ зима'!ao73+'[2]$ зима'!k73</f>
        <v>0</v>
      </c>
      <c r="I73" s="191" t="n">
        <f aca="false">'[2]$ зима'!ay73*1.1</f>
        <v>1016.4</v>
      </c>
    </row>
    <row r="74" customFormat="false" ht="15" hidden="true" customHeight="false" outlineLevel="0" collapsed="false">
      <c r="A74" s="188" t="s">
        <v>79</v>
      </c>
      <c r="B74" s="149" t="s">
        <v>646</v>
      </c>
      <c r="C74" s="148" t="s">
        <v>3183</v>
      </c>
      <c r="D74" s="148"/>
      <c r="E74" s="148"/>
      <c r="F74" s="148"/>
      <c r="G74" s="193"/>
      <c r="H74" s="105" t="n">
        <f aca="false">'[2]$ зима'!j74-'[2]$ зима'!au74-'[2]$ зима'!at74-'[2]$ зима'!as74-'[2]$ зима'!ar74-'[2]$ зима'!aq74-'[2]$ зима'!ap74-'[2]$ зима'!an74-'[2]$ зима'!am74-'[2]$ зима'!al74-'[2]$ зима'!ak74-'[2]$ зима'!aj74-'[2]$ зима'!ah74-'[2]$ зима'!ag74-'[2]$ зима'!af74-'[2]$ зима'!ae74-'[2]$ зима'!ad74-'[2]$ зима'!ab74-'[2]$ зима'!aa74-'[2]$ зима'!z74-'[2]$ зима'!y74-'[2]$ зима'!x74-'[2]$ зима'!v74-'[2]$ зима'!u74-'[2]$ зима'!t74-'[2]$ зима'!s74-'[2]$ зима'!r74-'[2]$ зима'!p74-'[2]$ зима'!o74-'[2]$ зима'!n74-'[2]$ зима'!m74-'[2]$ зима'!l74+'[2]$ зима'!q74+'[2]$ зима'!w74+'[2]$ зима'!ac74+'[2]$ зима'!ai74+'[2]$ зима'!ao74+'[2]$ зима'!k74</f>
        <v>0</v>
      </c>
      <c r="I74" s="191" t="n">
        <f aca="false">'[2]$ зима'!ay74*1.1</f>
        <v>862.4</v>
      </c>
    </row>
    <row r="75" customFormat="false" ht="15" hidden="true" customHeight="false" outlineLevel="0" collapsed="false">
      <c r="A75" s="196" t="s">
        <v>79</v>
      </c>
      <c r="B75" s="149" t="s">
        <v>3184</v>
      </c>
      <c r="C75" s="148" t="s">
        <v>3185</v>
      </c>
      <c r="D75" s="148"/>
      <c r="E75" s="148"/>
      <c r="F75" s="148"/>
      <c r="G75" s="193"/>
      <c r="H75" s="105" t="n">
        <f aca="false">'[2]$ зима'!j75-'[2]$ зима'!au75-'[2]$ зима'!at75-'[2]$ зима'!as75-'[2]$ зима'!ar75-'[2]$ зима'!aq75-'[2]$ зима'!ap75-'[2]$ зима'!an75-'[2]$ зима'!am75-'[2]$ зима'!al75-'[2]$ зима'!ak75-'[2]$ зима'!aj75-'[2]$ зима'!ah75-'[2]$ зима'!ag75-'[2]$ зима'!af75-'[2]$ зима'!ae75-'[2]$ зима'!ad75-'[2]$ зима'!ab75-'[2]$ зима'!aa75-'[2]$ зима'!z75-'[2]$ зима'!y75-'[2]$ зима'!x75-'[2]$ зима'!v75-'[2]$ зима'!u75-'[2]$ зима'!t75-'[2]$ зима'!s75-'[2]$ зима'!r75-'[2]$ зима'!p75-'[2]$ зима'!o75-'[2]$ зима'!n75-'[2]$ зима'!m75-'[2]$ зима'!l75+'[2]$ зима'!q75+'[2]$ зима'!w75+'[2]$ зима'!ac75+'[2]$ зима'!ai75+'[2]$ зима'!ao75+'[2]$ зима'!k75</f>
        <v>0</v>
      </c>
      <c r="I75" s="191" t="n">
        <f aca="false">'[2]$ зима'!ay75*1.1</f>
        <v>862.4</v>
      </c>
    </row>
    <row r="76" customFormat="false" ht="15" hidden="true" customHeight="false" outlineLevel="0" collapsed="false">
      <c r="A76" s="196" t="s">
        <v>79</v>
      </c>
      <c r="B76" s="149" t="s">
        <v>604</v>
      </c>
      <c r="C76" s="148" t="s">
        <v>3152</v>
      </c>
      <c r="D76" s="148"/>
      <c r="E76" s="148"/>
      <c r="F76" s="148"/>
      <c r="G76" s="193" t="s">
        <v>868</v>
      </c>
      <c r="H76" s="105" t="n">
        <f aca="false">'[2]$ зима'!j76-'[2]$ зима'!au76-'[2]$ зима'!at76-'[2]$ зима'!as76-'[2]$ зима'!ar76-'[2]$ зима'!aq76-'[2]$ зима'!ap76-'[2]$ зима'!an76-'[2]$ зима'!am76-'[2]$ зима'!al76-'[2]$ зима'!ak76-'[2]$ зима'!aj76-'[2]$ зима'!ah76-'[2]$ зима'!ag76-'[2]$ зима'!af76-'[2]$ зима'!ae76-'[2]$ зима'!ad76-'[2]$ зима'!ab76-'[2]$ зима'!aa76-'[2]$ зима'!z76-'[2]$ зима'!y76-'[2]$ зима'!x76-'[2]$ зима'!v76-'[2]$ зима'!u76-'[2]$ зима'!t76-'[2]$ зима'!s76-'[2]$ зима'!r76-'[2]$ зима'!p76-'[2]$ зима'!o76-'[2]$ зима'!n76-'[2]$ зима'!m76-'[2]$ зима'!l76+'[2]$ зима'!q76+'[2]$ зима'!w76+'[2]$ зима'!ac76+'[2]$ зима'!ai76+'[2]$ зима'!ao76+'[2]$ зима'!k76</f>
        <v>0</v>
      </c>
      <c r="I76" s="191" t="n">
        <f aca="false">'[2]$ зима'!ay76*1.1</f>
        <v>1047.2</v>
      </c>
    </row>
    <row r="77" customFormat="false" ht="15" hidden="false" customHeight="false" outlineLevel="0" collapsed="false">
      <c r="A77" s="196" t="s">
        <v>79</v>
      </c>
      <c r="B77" s="149" t="s">
        <v>606</v>
      </c>
      <c r="C77" s="148" t="s">
        <v>3186</v>
      </c>
      <c r="D77" s="148"/>
      <c r="E77" s="192" t="n">
        <v>81</v>
      </c>
      <c r="F77" s="192" t="s">
        <v>562</v>
      </c>
      <c r="G77" s="193"/>
      <c r="H77" s="105" t="n">
        <f aca="false">'[2]$ зима'!j77-'[2]$ зима'!au77-'[2]$ зима'!at77-'[2]$ зима'!as77-'[2]$ зима'!ar77-'[2]$ зима'!aq77-'[2]$ зима'!ap77-'[2]$ зима'!an77-'[2]$ зима'!am77-'[2]$ зима'!al77-'[2]$ зима'!ak77-'[2]$ зима'!aj77-'[2]$ зима'!ah77-'[2]$ зима'!ag77-'[2]$ зима'!af77-'[2]$ зима'!ae77-'[2]$ зима'!ad77-'[2]$ зима'!ab77-'[2]$ зима'!aa77-'[2]$ зима'!z77-'[2]$ зима'!y77-'[2]$ зима'!x77-'[2]$ зима'!v77-'[2]$ зима'!u77-'[2]$ зима'!t77-'[2]$ зима'!s77-'[2]$ зима'!r77-'[2]$ зима'!p77-'[2]$ зима'!o77-'[2]$ зима'!n77-'[2]$ зима'!m77-'[2]$ зима'!l77+'[2]$ зима'!q77+'[2]$ зима'!w77+'[2]$ зима'!ac77+'[2]$ зима'!ai77+'[2]$ зима'!ao77+'[2]$ зима'!k77</f>
        <v>4</v>
      </c>
      <c r="I77" s="191" t="n">
        <f aca="false">'[2]$ зима'!ay77*1.1</f>
        <v>1170.4</v>
      </c>
      <c r="J77" s="171" t="n">
        <v>2018</v>
      </c>
    </row>
    <row r="78" customFormat="false" ht="15" hidden="true" customHeight="false" outlineLevel="0" collapsed="false">
      <c r="A78" s="196" t="s">
        <v>79</v>
      </c>
      <c r="B78" s="149" t="s">
        <v>668</v>
      </c>
      <c r="C78" s="194" t="s">
        <v>3182</v>
      </c>
      <c r="D78" s="148"/>
      <c r="E78" s="148"/>
      <c r="F78" s="148"/>
      <c r="G78" s="193"/>
      <c r="H78" s="105" t="n">
        <f aca="false">'[2]$ зима'!j78-'[2]$ зима'!au78-'[2]$ зима'!at78-'[2]$ зима'!as78-'[2]$ зима'!ar78-'[2]$ зима'!aq78-'[2]$ зима'!ap78-'[2]$ зима'!an78-'[2]$ зима'!am78-'[2]$ зима'!al78-'[2]$ зима'!ak78-'[2]$ зима'!aj78-'[2]$ зима'!ah78-'[2]$ зима'!ag78-'[2]$ зима'!af78-'[2]$ зима'!ae78-'[2]$ зима'!ad78-'[2]$ зима'!ab78-'[2]$ зима'!aa78-'[2]$ зима'!z78-'[2]$ зима'!y78-'[2]$ зима'!x78-'[2]$ зима'!v78-'[2]$ зима'!u78-'[2]$ зима'!t78-'[2]$ зима'!s78-'[2]$ зима'!r78-'[2]$ зима'!p78-'[2]$ зима'!o78-'[2]$ зима'!n78-'[2]$ зима'!m78-'[2]$ зима'!l78+'[2]$ зима'!q78+'[2]$ зима'!w78+'[2]$ зима'!ac78+'[2]$ зима'!ai78+'[2]$ зима'!ao78+'[2]$ зима'!k78</f>
        <v>0</v>
      </c>
      <c r="I78" s="191" t="n">
        <f aca="false">'[2]$ зима'!ay78*1.1</f>
        <v>1047.2</v>
      </c>
    </row>
    <row r="79" customFormat="false" ht="15" hidden="true" customHeight="false" outlineLevel="0" collapsed="false">
      <c r="A79" s="196" t="s">
        <v>79</v>
      </c>
      <c r="B79" s="149" t="s">
        <v>583</v>
      </c>
      <c r="C79" s="148" t="s">
        <v>3131</v>
      </c>
      <c r="D79" s="148"/>
      <c r="E79" s="148"/>
      <c r="F79" s="148"/>
      <c r="G79" s="193"/>
      <c r="H79" s="105" t="n">
        <f aca="false">'[2]$ зима'!j79-'[2]$ зима'!au79-'[2]$ зима'!at79-'[2]$ зима'!as79-'[2]$ зима'!ar79-'[2]$ зима'!aq79-'[2]$ зима'!ap79-'[2]$ зима'!an79-'[2]$ зима'!am79-'[2]$ зима'!al79-'[2]$ зима'!ak79-'[2]$ зима'!aj79-'[2]$ зима'!ah79-'[2]$ зима'!ag79-'[2]$ зима'!af79-'[2]$ зима'!ae79-'[2]$ зима'!ad79-'[2]$ зима'!ab79-'[2]$ зима'!aa79-'[2]$ зима'!z79-'[2]$ зима'!y79-'[2]$ зима'!x79-'[2]$ зима'!v79-'[2]$ зима'!u79-'[2]$ зима'!t79-'[2]$ зима'!s79-'[2]$ зима'!r79-'[2]$ зима'!p79-'[2]$ зима'!o79-'[2]$ зима'!n79-'[2]$ зима'!m79-'[2]$ зима'!l79+'[2]$ зима'!q79+'[2]$ зима'!w79+'[2]$ зима'!ac79+'[2]$ зима'!ai79+'[2]$ зима'!ao79+'[2]$ зима'!k79</f>
        <v>0</v>
      </c>
      <c r="I79" s="191" t="n">
        <f aca="false">'[2]$ зима'!ay79*1.1</f>
        <v>1047.2</v>
      </c>
      <c r="J79" s="171" t="n">
        <v>2017</v>
      </c>
    </row>
    <row r="80" customFormat="false" ht="15" hidden="true" customHeight="false" outlineLevel="0" collapsed="false">
      <c r="A80" s="196" t="s">
        <v>79</v>
      </c>
      <c r="B80" s="149" t="s">
        <v>593</v>
      </c>
      <c r="C80" s="148" t="s">
        <v>3187</v>
      </c>
      <c r="D80" s="148"/>
      <c r="E80" s="148"/>
      <c r="F80" s="148"/>
      <c r="G80" s="193" t="s">
        <v>1954</v>
      </c>
      <c r="H80" s="105" t="n">
        <f aca="false">'[2]$ зима'!j80-'[2]$ зима'!au80-'[2]$ зима'!at80-'[2]$ зима'!as80-'[2]$ зима'!ar80-'[2]$ зима'!aq80-'[2]$ зима'!ap80-'[2]$ зима'!an80-'[2]$ зима'!am80-'[2]$ зима'!al80-'[2]$ зима'!ak80-'[2]$ зима'!aj80-'[2]$ зима'!ah80-'[2]$ зима'!ag80-'[2]$ зима'!af80-'[2]$ зима'!ae80-'[2]$ зима'!ad80-'[2]$ зима'!ab80-'[2]$ зима'!aa80-'[2]$ зима'!z80-'[2]$ зима'!y80-'[2]$ зима'!x80-'[2]$ зима'!v80-'[2]$ зима'!u80-'[2]$ зима'!t80-'[2]$ зима'!s80-'[2]$ зима'!r80-'[2]$ зима'!p80-'[2]$ зима'!o80-'[2]$ зима'!n80-'[2]$ зима'!m80-'[2]$ зима'!l80+'[2]$ зима'!q80+'[2]$ зима'!w80+'[2]$ зима'!ac80+'[2]$ зима'!ai80+'[2]$ зима'!ao80+'[2]$ зима'!k80</f>
        <v>0</v>
      </c>
      <c r="I80" s="191" t="n">
        <f aca="false">'[2]$ зима'!ay80*1.1</f>
        <v>1386</v>
      </c>
    </row>
    <row r="81" customFormat="false" ht="15" hidden="true" customHeight="false" outlineLevel="0" collapsed="false">
      <c r="A81" s="196" t="s">
        <v>79</v>
      </c>
      <c r="B81" s="149" t="s">
        <v>593</v>
      </c>
      <c r="C81" s="148" t="s">
        <v>3188</v>
      </c>
      <c r="D81" s="148"/>
      <c r="E81" s="148"/>
      <c r="F81" s="148"/>
      <c r="G81" s="193"/>
      <c r="H81" s="105" t="n">
        <f aca="false">'[2]$ зима'!j81-'[2]$ зима'!au81-'[2]$ зима'!at81-'[2]$ зима'!as81-'[2]$ зима'!ar81-'[2]$ зима'!aq81-'[2]$ зима'!ap81-'[2]$ зима'!an81-'[2]$ зима'!am81-'[2]$ зима'!al81-'[2]$ зима'!ak81-'[2]$ зима'!aj81-'[2]$ зима'!ah81-'[2]$ зима'!ag81-'[2]$ зима'!af81-'[2]$ зима'!ae81-'[2]$ зима'!ad81-'[2]$ зима'!ab81-'[2]$ зима'!aa81-'[2]$ зима'!z81-'[2]$ зима'!y81-'[2]$ зима'!x81-'[2]$ зима'!v81-'[2]$ зима'!u81-'[2]$ зима'!t81-'[2]$ зима'!s81-'[2]$ зима'!r81-'[2]$ зима'!p81-'[2]$ зима'!o81-'[2]$ зима'!n81-'[2]$ зима'!m81-'[2]$ зима'!l81+'[2]$ зима'!q81+'[2]$ зима'!w81+'[2]$ зима'!ac81+'[2]$ зима'!ai81+'[2]$ зима'!ao81+'[2]$ зима'!k81</f>
        <v>0</v>
      </c>
      <c r="I81" s="191" t="n">
        <f aca="false">'[2]$ зима'!ay81*1.1</f>
        <v>1386</v>
      </c>
    </row>
    <row r="82" customFormat="false" ht="15" hidden="true" customHeight="false" outlineLevel="0" collapsed="false">
      <c r="A82" s="196" t="s">
        <v>79</v>
      </c>
      <c r="B82" s="149" t="s">
        <v>586</v>
      </c>
      <c r="C82" s="148" t="s">
        <v>3133</v>
      </c>
      <c r="D82" s="148"/>
      <c r="E82" s="148"/>
      <c r="F82" s="148"/>
      <c r="G82" s="193"/>
      <c r="H82" s="105" t="n">
        <f aca="false">'[2]$ зима'!j82-'[2]$ зима'!au82-'[2]$ зима'!at82-'[2]$ зима'!as82-'[2]$ зима'!ar82-'[2]$ зима'!aq82-'[2]$ зима'!ap82-'[2]$ зима'!an82-'[2]$ зима'!am82-'[2]$ зима'!al82-'[2]$ зима'!ak82-'[2]$ зима'!aj82-'[2]$ зима'!ah82-'[2]$ зима'!ag82-'[2]$ зима'!af82-'[2]$ зима'!ae82-'[2]$ зима'!ad82-'[2]$ зима'!ab82-'[2]$ зима'!aa82-'[2]$ зима'!z82-'[2]$ зима'!y82-'[2]$ зима'!x82-'[2]$ зима'!v82-'[2]$ зима'!u82-'[2]$ зима'!t82-'[2]$ зима'!s82-'[2]$ зима'!r82-'[2]$ зима'!p82-'[2]$ зима'!o82-'[2]$ зима'!n82-'[2]$ зима'!m82-'[2]$ зима'!l82+'[2]$ зима'!q82+'[2]$ зима'!w82+'[2]$ зима'!ac82+'[2]$ зима'!ai82+'[2]$ зима'!ao82+'[2]$ зима'!k82</f>
        <v>0</v>
      </c>
      <c r="I82" s="191" t="n">
        <f aca="false">'[2]$ зима'!ay82*1.1</f>
        <v>739.2</v>
      </c>
    </row>
    <row r="83" customFormat="false" ht="15" hidden="false" customHeight="false" outlineLevel="0" collapsed="false">
      <c r="A83" s="188" t="s">
        <v>81</v>
      </c>
      <c r="B83" s="149" t="s">
        <v>991</v>
      </c>
      <c r="C83" s="148" t="s">
        <v>3189</v>
      </c>
      <c r="D83" s="148"/>
      <c r="E83" s="192"/>
      <c r="F83" s="192"/>
      <c r="G83" s="193"/>
      <c r="H83" s="105" t="n">
        <f aca="false">'[2]$ зима'!j83-'[2]$ зима'!au83-'[2]$ зима'!at83-'[2]$ зима'!as83-'[2]$ зима'!ar83-'[2]$ зима'!aq83-'[2]$ зима'!ap83-'[2]$ зима'!an83-'[2]$ зима'!am83-'[2]$ зима'!al83-'[2]$ зима'!ak83-'[2]$ зима'!aj83-'[2]$ зима'!ah83-'[2]$ зима'!ag83-'[2]$ зима'!af83-'[2]$ зима'!ae83-'[2]$ зима'!ad83-'[2]$ зима'!ab83-'[2]$ зима'!aa83-'[2]$ зима'!z83-'[2]$ зима'!y83-'[2]$ зима'!x83-'[2]$ зима'!v83-'[2]$ зима'!u83-'[2]$ зима'!t83-'[2]$ зима'!s83-'[2]$ зима'!r83-'[2]$ зима'!p83-'[2]$ зима'!o83-'[2]$ зима'!n83-'[2]$ зима'!m83-'[2]$ зима'!l83+'[2]$ зима'!q83+'[2]$ зима'!w83+'[2]$ зима'!ac83+'[2]$ зима'!ai83+'[2]$ зима'!ao83+'[2]$ зима'!k83</f>
        <v>12</v>
      </c>
      <c r="I83" s="191" t="n">
        <f aca="false">'[2]$ зима'!ay83*1.1</f>
        <v>862.4</v>
      </c>
    </row>
    <row r="84" customFormat="false" ht="15" hidden="false" customHeight="false" outlineLevel="0" collapsed="false">
      <c r="A84" s="188" t="s">
        <v>81</v>
      </c>
      <c r="B84" s="149" t="s">
        <v>991</v>
      </c>
      <c r="C84" s="148" t="s">
        <v>3190</v>
      </c>
      <c r="D84" s="148"/>
      <c r="E84" s="192"/>
      <c r="F84" s="192"/>
      <c r="G84" s="193"/>
      <c r="H84" s="105" t="n">
        <f aca="false">'[2]$ зима'!j84-'[2]$ зима'!au84-'[2]$ зима'!at84-'[2]$ зима'!as84-'[2]$ зима'!ar84-'[2]$ зима'!aq84-'[2]$ зима'!ap84-'[2]$ зима'!an84-'[2]$ зима'!am84-'[2]$ зима'!al84-'[2]$ зима'!ak84-'[2]$ зима'!aj84-'[2]$ зима'!ah84-'[2]$ зима'!ag84-'[2]$ зима'!af84-'[2]$ зима'!ae84-'[2]$ зима'!ad84-'[2]$ зима'!ab84-'[2]$ зима'!aa84-'[2]$ зима'!z84-'[2]$ зима'!y84-'[2]$ зима'!x84-'[2]$ зима'!v84-'[2]$ зима'!u84-'[2]$ зима'!t84-'[2]$ зима'!s84-'[2]$ зима'!r84-'[2]$ зима'!p84-'[2]$ зима'!o84-'[2]$ зима'!n84-'[2]$ зима'!m84-'[2]$ зима'!l84+'[2]$ зима'!q84+'[2]$ зима'!w84+'[2]$ зима'!ac84+'[2]$ зима'!ai84+'[2]$ зима'!ao84+'[2]$ зима'!k84</f>
        <v>12</v>
      </c>
      <c r="I84" s="191" t="n">
        <f aca="false">'[2]$ зима'!ay84*1.1</f>
        <v>924</v>
      </c>
    </row>
    <row r="85" customFormat="false" ht="15" hidden="false" customHeight="false" outlineLevel="0" collapsed="false">
      <c r="A85" s="188" t="s">
        <v>81</v>
      </c>
      <c r="B85" s="149" t="s">
        <v>568</v>
      </c>
      <c r="C85" s="148" t="s">
        <v>3121</v>
      </c>
      <c r="D85" s="148"/>
      <c r="E85" s="192"/>
      <c r="F85" s="192"/>
      <c r="G85" s="193"/>
      <c r="H85" s="105" t="n">
        <f aca="false">'[2]$ зима'!j85-'[2]$ зима'!au85-'[2]$ зима'!at85-'[2]$ зима'!as85-'[2]$ зима'!ar85-'[2]$ зима'!aq85-'[2]$ зима'!ap85-'[2]$ зима'!an85-'[2]$ зима'!am85-'[2]$ зима'!al85-'[2]$ зима'!ak85-'[2]$ зима'!aj85-'[2]$ зима'!ah85-'[2]$ зима'!ag85-'[2]$ зима'!af85-'[2]$ зима'!ae85-'[2]$ зима'!ad85-'[2]$ зима'!ab85-'[2]$ зима'!aa85-'[2]$ зима'!z85-'[2]$ зима'!y85-'[2]$ зима'!x85-'[2]$ зима'!v85-'[2]$ зима'!u85-'[2]$ зима'!t85-'[2]$ зима'!s85-'[2]$ зима'!r85-'[2]$ зима'!p85-'[2]$ зима'!o85-'[2]$ зима'!n85-'[2]$ зима'!m85-'[2]$ зима'!l85+'[2]$ зима'!q85+'[2]$ зима'!w85+'[2]$ зима'!ac85+'[2]$ зима'!ai85+'[2]$ зима'!ao85+'[2]$ зима'!k85</f>
        <v>16</v>
      </c>
      <c r="I85" s="191" t="n">
        <f aca="false">'[2]$ зима'!ay85*1.1</f>
        <v>924</v>
      </c>
      <c r="J85" s="171" t="n">
        <v>2013</v>
      </c>
    </row>
    <row r="86" customFormat="false" ht="15" hidden="true" customHeight="false" outlineLevel="0" collapsed="false">
      <c r="A86" s="188" t="s">
        <v>81</v>
      </c>
      <c r="B86" s="149" t="s">
        <v>844</v>
      </c>
      <c r="C86" s="148" t="s">
        <v>3191</v>
      </c>
      <c r="D86" s="148"/>
      <c r="E86" s="148"/>
      <c r="F86" s="148"/>
      <c r="G86" s="193"/>
      <c r="H86" s="105" t="n">
        <f aca="false">'[2]$ зима'!j86-'[2]$ зима'!au86-'[2]$ зима'!at86-'[2]$ зима'!as86-'[2]$ зима'!ar86-'[2]$ зима'!aq86-'[2]$ зима'!ap86-'[2]$ зима'!an86-'[2]$ зима'!am86-'[2]$ зима'!al86-'[2]$ зима'!ak86-'[2]$ зима'!aj86-'[2]$ зима'!ah86-'[2]$ зима'!ag86-'[2]$ зима'!af86-'[2]$ зима'!ae86-'[2]$ зима'!ad86-'[2]$ зима'!ab86-'[2]$ зима'!aa86-'[2]$ зима'!z86-'[2]$ зима'!y86-'[2]$ зима'!x86-'[2]$ зима'!v86-'[2]$ зима'!u86-'[2]$ зима'!t86-'[2]$ зима'!s86-'[2]$ зима'!r86-'[2]$ зима'!p86-'[2]$ зима'!o86-'[2]$ зима'!n86-'[2]$ зима'!m86-'[2]$ зима'!l86+'[2]$ зима'!q86+'[2]$ зима'!w86+'[2]$ зима'!ac86+'[2]$ зима'!ai86+'[2]$ зима'!ao86+'[2]$ зима'!k86</f>
        <v>0</v>
      </c>
      <c r="I86" s="191" t="n">
        <f aca="false">'[2]$ зима'!ay86*1.1</f>
        <v>1848</v>
      </c>
    </row>
    <row r="87" customFormat="false" ht="15" hidden="false" customHeight="false" outlineLevel="0" collapsed="false">
      <c r="A87" s="188" t="s">
        <v>81</v>
      </c>
      <c r="B87" s="149" t="s">
        <v>844</v>
      </c>
      <c r="C87" s="148" t="s">
        <v>3192</v>
      </c>
      <c r="D87" s="148"/>
      <c r="E87" s="192"/>
      <c r="F87" s="192"/>
      <c r="G87" s="193"/>
      <c r="H87" s="105" t="n">
        <f aca="false">'[2]$ зима'!j87-'[2]$ зима'!au87-'[2]$ зима'!at87-'[2]$ зима'!as87-'[2]$ зима'!ar87-'[2]$ зима'!aq87-'[2]$ зима'!ap87-'[2]$ зима'!an87-'[2]$ зима'!am87-'[2]$ зима'!al87-'[2]$ зима'!ak87-'[2]$ зима'!aj87-'[2]$ зима'!ah87-'[2]$ зима'!ag87-'[2]$ зима'!af87-'[2]$ зима'!ae87-'[2]$ зима'!ad87-'[2]$ зима'!ab87-'[2]$ зима'!aa87-'[2]$ зима'!z87-'[2]$ зима'!y87-'[2]$ зима'!x87-'[2]$ зима'!v87-'[2]$ зима'!u87-'[2]$ зима'!t87-'[2]$ зима'!s87-'[2]$ зима'!r87-'[2]$ зима'!p87-'[2]$ зима'!o87-'[2]$ зима'!n87-'[2]$ зима'!m87-'[2]$ зима'!l87+'[2]$ зима'!q87+'[2]$ зима'!w87+'[2]$ зима'!ac87+'[2]$ зима'!ai87+'[2]$ зима'!ao87+'[2]$ зима'!k87</f>
        <v>2</v>
      </c>
      <c r="I87" s="191" t="n">
        <f aca="false">'[2]$ зима'!ay87*1.1</f>
        <v>862.4</v>
      </c>
    </row>
    <row r="88" customFormat="false" ht="15" hidden="true" customHeight="false" outlineLevel="0" collapsed="false">
      <c r="A88" s="188" t="s">
        <v>81</v>
      </c>
      <c r="B88" s="149" t="s">
        <v>601</v>
      </c>
      <c r="C88" s="148" t="s">
        <v>3151</v>
      </c>
      <c r="D88" s="148"/>
      <c r="E88" s="148"/>
      <c r="F88" s="148"/>
      <c r="G88" s="193"/>
      <c r="H88" s="105" t="n">
        <f aca="false">'[2]$ зима'!j88-'[2]$ зима'!au88-'[2]$ зима'!at88-'[2]$ зима'!as88-'[2]$ зима'!ar88-'[2]$ зима'!aq88-'[2]$ зима'!ap88-'[2]$ зима'!an88-'[2]$ зима'!am88-'[2]$ зима'!al88-'[2]$ зима'!ak88-'[2]$ зима'!aj88-'[2]$ зима'!ah88-'[2]$ зима'!ag88-'[2]$ зима'!af88-'[2]$ зима'!ae88-'[2]$ зима'!ad88-'[2]$ зима'!ab88-'[2]$ зима'!aa88-'[2]$ зима'!z88-'[2]$ зима'!y88-'[2]$ зима'!x88-'[2]$ зима'!v88-'[2]$ зима'!u88-'[2]$ зима'!t88-'[2]$ зима'!s88-'[2]$ зима'!r88-'[2]$ зима'!p88-'[2]$ зима'!o88-'[2]$ зима'!n88-'[2]$ зима'!m88-'[2]$ зима'!l88+'[2]$ зима'!q88+'[2]$ зима'!w88+'[2]$ зима'!ac88+'[2]$ зима'!ai88+'[2]$ зима'!ao88+'[2]$ зима'!k88</f>
        <v>0</v>
      </c>
      <c r="I88" s="191" t="n">
        <f aca="false">'[2]$ зима'!ay88*1.1</f>
        <v>1386</v>
      </c>
    </row>
    <row r="89" customFormat="false" ht="15" hidden="true" customHeight="false" outlineLevel="0" collapsed="false">
      <c r="A89" s="188" t="s">
        <v>81</v>
      </c>
      <c r="B89" s="149" t="s">
        <v>601</v>
      </c>
      <c r="C89" s="148" t="s">
        <v>3150</v>
      </c>
      <c r="D89" s="148"/>
      <c r="E89" s="148"/>
      <c r="F89" s="148"/>
      <c r="G89" s="193"/>
      <c r="H89" s="105" t="n">
        <f aca="false">'[2]$ зима'!j89-'[2]$ зима'!au89-'[2]$ зима'!at89-'[2]$ зима'!as89-'[2]$ зима'!ar89-'[2]$ зима'!aq89-'[2]$ зима'!ap89-'[2]$ зима'!an89-'[2]$ зима'!am89-'[2]$ зима'!al89-'[2]$ зима'!ak89-'[2]$ зима'!aj89-'[2]$ зима'!ah89-'[2]$ зима'!ag89-'[2]$ зима'!af89-'[2]$ зима'!ae89-'[2]$ зима'!ad89-'[2]$ зима'!ab89-'[2]$ зима'!aa89-'[2]$ зима'!z89-'[2]$ зима'!y89-'[2]$ зима'!x89-'[2]$ зима'!v89-'[2]$ зима'!u89-'[2]$ зима'!t89-'[2]$ зима'!s89-'[2]$ зима'!r89-'[2]$ зима'!p89-'[2]$ зима'!o89-'[2]$ зима'!n89-'[2]$ зима'!m89-'[2]$ зима'!l89+'[2]$ зима'!q89+'[2]$ зима'!w89+'[2]$ зима'!ac89+'[2]$ зима'!ai89+'[2]$ зима'!ao89+'[2]$ зима'!k89</f>
        <v>0</v>
      </c>
      <c r="I89" s="191" t="n">
        <f aca="false">'[2]$ зима'!ay89*1.1</f>
        <v>1386</v>
      </c>
    </row>
    <row r="90" customFormat="false" ht="15" hidden="true" customHeight="false" outlineLevel="0" collapsed="false">
      <c r="A90" s="188" t="s">
        <v>81</v>
      </c>
      <c r="B90" s="149" t="s">
        <v>3193</v>
      </c>
      <c r="C90" s="148" t="s">
        <v>3194</v>
      </c>
      <c r="D90" s="148"/>
      <c r="E90" s="148"/>
      <c r="F90" s="148"/>
      <c r="G90" s="193" t="s">
        <v>1062</v>
      </c>
      <c r="H90" s="105" t="n">
        <f aca="false">'[2]$ зима'!j90-'[2]$ зима'!au90-'[2]$ зима'!at90-'[2]$ зима'!as90-'[2]$ зима'!ar90-'[2]$ зима'!aq90-'[2]$ зима'!ap90-'[2]$ зима'!an90-'[2]$ зима'!am90-'[2]$ зима'!al90-'[2]$ зима'!ak90-'[2]$ зима'!aj90-'[2]$ зима'!ah90-'[2]$ зима'!ag90-'[2]$ зима'!af90-'[2]$ зима'!ae90-'[2]$ зима'!ad90-'[2]$ зима'!ab90-'[2]$ зима'!aa90-'[2]$ зима'!z90-'[2]$ зима'!y90-'[2]$ зима'!x90-'[2]$ зима'!v90-'[2]$ зима'!u90-'[2]$ зима'!t90-'[2]$ зима'!s90-'[2]$ зима'!r90-'[2]$ зима'!p90-'[2]$ зима'!o90-'[2]$ зима'!n90-'[2]$ зима'!m90-'[2]$ зима'!l90+'[2]$ зима'!q90+'[2]$ зима'!w90+'[2]$ зима'!ac90+'[2]$ зима'!ai90+'[2]$ зима'!ao90+'[2]$ зима'!k90</f>
        <v>0</v>
      </c>
      <c r="I90" s="191" t="n">
        <f aca="false">'[2]$ зима'!ay90*1.1</f>
        <v>677.6</v>
      </c>
    </row>
    <row r="91" customFormat="false" ht="15" hidden="true" customHeight="false" outlineLevel="0" collapsed="false">
      <c r="A91" s="188" t="s">
        <v>81</v>
      </c>
      <c r="B91" s="149" t="s">
        <v>555</v>
      </c>
      <c r="C91" s="148" t="s">
        <v>3140</v>
      </c>
      <c r="D91" s="148"/>
      <c r="E91" s="148"/>
      <c r="F91" s="148"/>
      <c r="G91" s="193"/>
      <c r="H91" s="105" t="n">
        <f aca="false">'[2]$ зима'!j91-'[2]$ зима'!au91-'[2]$ зима'!at91-'[2]$ зима'!as91-'[2]$ зима'!ar91-'[2]$ зима'!aq91-'[2]$ зима'!ap91-'[2]$ зима'!an91-'[2]$ зима'!am91-'[2]$ зима'!al91-'[2]$ зима'!ak91-'[2]$ зима'!aj91-'[2]$ зима'!ah91-'[2]$ зима'!ag91-'[2]$ зима'!af91-'[2]$ зима'!ae91-'[2]$ зима'!ad91-'[2]$ зима'!ab91-'[2]$ зима'!aa91-'[2]$ зима'!z91-'[2]$ зима'!y91-'[2]$ зима'!x91-'[2]$ зима'!v91-'[2]$ зима'!u91-'[2]$ зима'!t91-'[2]$ зима'!s91-'[2]$ зима'!r91-'[2]$ зима'!p91-'[2]$ зима'!o91-'[2]$ зима'!n91-'[2]$ зима'!m91-'[2]$ зима'!l91+'[2]$ зима'!q91+'[2]$ зима'!w91+'[2]$ зима'!ac91+'[2]$ зима'!ai91+'[2]$ зима'!ao91+'[2]$ зима'!k91</f>
        <v>0</v>
      </c>
      <c r="I91" s="191" t="n">
        <f aca="false">'[2]$ зима'!ay91*1.1</f>
        <v>893.2</v>
      </c>
    </row>
    <row r="92" customFormat="false" ht="15" hidden="false" customHeight="false" outlineLevel="0" collapsed="false">
      <c r="A92" s="188" t="s">
        <v>81</v>
      </c>
      <c r="B92" s="149" t="s">
        <v>646</v>
      </c>
      <c r="C92" s="148" t="s">
        <v>3195</v>
      </c>
      <c r="D92" s="148"/>
      <c r="E92" s="192"/>
      <c r="F92" s="192"/>
      <c r="G92" s="193"/>
      <c r="H92" s="105" t="n">
        <f aca="false">'[2]$ зима'!j92-'[2]$ зима'!au92-'[2]$ зима'!at92-'[2]$ зима'!as92-'[2]$ зима'!ar92-'[2]$ зима'!aq92-'[2]$ зима'!ap92-'[2]$ зима'!an92-'[2]$ зима'!am92-'[2]$ зима'!al92-'[2]$ зима'!ak92-'[2]$ зима'!aj92-'[2]$ зима'!ah92-'[2]$ зима'!ag92-'[2]$ зима'!af92-'[2]$ зима'!ae92-'[2]$ зима'!ad92-'[2]$ зима'!ab92-'[2]$ зима'!aa92-'[2]$ зима'!z92-'[2]$ зима'!y92-'[2]$ зима'!x92-'[2]$ зима'!v92-'[2]$ зима'!u92-'[2]$ зима'!t92-'[2]$ зима'!s92-'[2]$ зима'!r92-'[2]$ зима'!p92-'[2]$ зима'!o92-'[2]$ зима'!n92-'[2]$ зима'!m92-'[2]$ зима'!l92+'[2]$ зима'!q92+'[2]$ зима'!w92+'[2]$ зима'!ac92+'[2]$ зима'!ai92+'[2]$ зима'!ao92+'[2]$ зима'!k92</f>
        <v>4</v>
      </c>
      <c r="I92" s="191" t="n">
        <f aca="false">'[2]$ зима'!ay92*1.1</f>
        <v>831.6</v>
      </c>
      <c r="J92" s="171" t="n">
        <v>2014</v>
      </c>
    </row>
    <row r="93" customFormat="false" ht="15" hidden="true" customHeight="false" outlineLevel="0" collapsed="false">
      <c r="A93" s="196" t="s">
        <v>81</v>
      </c>
      <c r="B93" s="149" t="s">
        <v>557</v>
      </c>
      <c r="C93" s="148" t="s">
        <v>3196</v>
      </c>
      <c r="D93" s="148" t="s">
        <v>3127</v>
      </c>
      <c r="E93" s="148"/>
      <c r="F93" s="148"/>
      <c r="G93" s="193"/>
      <c r="H93" s="105" t="n">
        <f aca="false">'[2]$ зима'!j93-'[2]$ зима'!au93-'[2]$ зима'!at93-'[2]$ зима'!as93-'[2]$ зима'!ar93-'[2]$ зима'!aq93-'[2]$ зима'!ap93-'[2]$ зима'!an93-'[2]$ зима'!am93-'[2]$ зима'!al93-'[2]$ зима'!ak93-'[2]$ зима'!aj93-'[2]$ зима'!ah93-'[2]$ зима'!ag93-'[2]$ зима'!af93-'[2]$ зима'!ae93-'[2]$ зима'!ad93-'[2]$ зима'!ab93-'[2]$ зима'!aa93-'[2]$ зима'!z93-'[2]$ зима'!y93-'[2]$ зима'!x93-'[2]$ зима'!v93-'[2]$ зима'!u93-'[2]$ зима'!t93-'[2]$ зима'!s93-'[2]$ зима'!r93-'[2]$ зима'!p93-'[2]$ зима'!o93-'[2]$ зима'!n93-'[2]$ зима'!m93-'[2]$ зима'!l93+'[2]$ зима'!q93+'[2]$ зима'!w93+'[2]$ зима'!ac93+'[2]$ зима'!ai93+'[2]$ зима'!ao93+'[2]$ зима'!k93</f>
        <v>0</v>
      </c>
      <c r="I93" s="191" t="n">
        <f aca="false">'[2]$ зима'!ay93*1.1</f>
        <v>924</v>
      </c>
    </row>
    <row r="94" customFormat="false" ht="15" hidden="false" customHeight="false" outlineLevel="0" collapsed="false">
      <c r="A94" s="196" t="s">
        <v>81</v>
      </c>
      <c r="B94" s="149" t="s">
        <v>3184</v>
      </c>
      <c r="C94" s="148" t="s">
        <v>3185</v>
      </c>
      <c r="D94" s="148"/>
      <c r="E94" s="192"/>
      <c r="F94" s="192"/>
      <c r="G94" s="193" t="s">
        <v>911</v>
      </c>
      <c r="H94" s="105" t="n">
        <f aca="false">'[2]$ зима'!j94-'[2]$ зима'!au94-'[2]$ зима'!at94-'[2]$ зима'!as94-'[2]$ зима'!ar94-'[2]$ зима'!aq94-'[2]$ зима'!ap94-'[2]$ зима'!an94-'[2]$ зима'!am94-'[2]$ зима'!al94-'[2]$ зима'!ak94-'[2]$ зима'!aj94-'[2]$ зима'!ah94-'[2]$ зима'!ag94-'[2]$ зима'!af94-'[2]$ зима'!ae94-'[2]$ зима'!ad94-'[2]$ зима'!ab94-'[2]$ зима'!aa94-'[2]$ зима'!z94-'[2]$ зима'!y94-'[2]$ зима'!x94-'[2]$ зима'!v94-'[2]$ зима'!u94-'[2]$ зима'!t94-'[2]$ зима'!s94-'[2]$ зима'!r94-'[2]$ зима'!p94-'[2]$ зима'!o94-'[2]$ зима'!n94-'[2]$ зима'!m94-'[2]$ зима'!l94+'[2]$ зима'!q94+'[2]$ зима'!w94+'[2]$ зима'!ac94+'[2]$ зима'!ai94+'[2]$ зима'!ao94+'[2]$ зима'!k94</f>
        <v>4</v>
      </c>
      <c r="I94" s="191" t="n">
        <f aca="false">'[2]$ зима'!ay94*1.1</f>
        <v>739.2</v>
      </c>
      <c r="J94" s="171" t="n">
        <v>2013</v>
      </c>
    </row>
    <row r="95" customFormat="false" ht="15" hidden="false" customHeight="false" outlineLevel="0" collapsed="false">
      <c r="A95" s="196" t="s">
        <v>81</v>
      </c>
      <c r="B95" s="149" t="s">
        <v>604</v>
      </c>
      <c r="C95" s="148" t="s">
        <v>3152</v>
      </c>
      <c r="D95" s="148"/>
      <c r="E95" s="192"/>
      <c r="F95" s="192"/>
      <c r="G95" s="193" t="s">
        <v>933</v>
      </c>
      <c r="H95" s="105" t="n">
        <f aca="false">'[2]$ зима'!j95-'[2]$ зима'!au95-'[2]$ зима'!at95-'[2]$ зима'!as95-'[2]$ зима'!ar95-'[2]$ зима'!aq95-'[2]$ зима'!ap95-'[2]$ зима'!an95-'[2]$ зима'!am95-'[2]$ зима'!al95-'[2]$ зима'!ak95-'[2]$ зима'!aj95-'[2]$ зима'!ah95-'[2]$ зима'!ag95-'[2]$ зима'!af95-'[2]$ зима'!ae95-'[2]$ зима'!ad95-'[2]$ зима'!ab95-'[2]$ зима'!aa95-'[2]$ зима'!z95-'[2]$ зима'!y95-'[2]$ зима'!x95-'[2]$ зима'!v95-'[2]$ зима'!u95-'[2]$ зима'!t95-'[2]$ зима'!s95-'[2]$ зима'!r95-'[2]$ зима'!p95-'[2]$ зима'!o95-'[2]$ зима'!n95-'[2]$ зима'!m95-'[2]$ зима'!l95+'[2]$ зима'!q95+'[2]$ зима'!w95+'[2]$ зима'!ac95+'[2]$ зима'!ai95+'[2]$ зима'!ao95+'[2]$ зима'!k95</f>
        <v>6</v>
      </c>
      <c r="I95" s="191" t="n">
        <f aca="false">'[2]$ зима'!ay95*1.1</f>
        <v>1108.8</v>
      </c>
      <c r="J95" s="171" t="n">
        <v>2014</v>
      </c>
    </row>
    <row r="96" customFormat="false" ht="15" hidden="false" customHeight="false" outlineLevel="0" collapsed="false">
      <c r="A96" s="196" t="s">
        <v>81</v>
      </c>
      <c r="B96" s="149" t="s">
        <v>606</v>
      </c>
      <c r="C96" s="148" t="s">
        <v>3156</v>
      </c>
      <c r="D96" s="148"/>
      <c r="E96" s="192" t="n">
        <v>86</v>
      </c>
      <c r="F96" s="192" t="s">
        <v>562</v>
      </c>
      <c r="G96" s="193" t="s">
        <v>609</v>
      </c>
      <c r="H96" s="105" t="n">
        <f aca="false">'[2]$ зима'!j96-'[2]$ зима'!au96-'[2]$ зима'!at96-'[2]$ зима'!as96-'[2]$ зима'!ar96-'[2]$ зима'!aq96-'[2]$ зима'!ap96-'[2]$ зима'!an96-'[2]$ зима'!am96-'[2]$ зима'!al96-'[2]$ зима'!ak96-'[2]$ зима'!aj96-'[2]$ зима'!ah96-'[2]$ зима'!ag96-'[2]$ зима'!af96-'[2]$ зима'!ae96-'[2]$ зима'!ad96-'[2]$ зима'!ab96-'[2]$ зима'!aa96-'[2]$ зима'!z96-'[2]$ зима'!y96-'[2]$ зима'!x96-'[2]$ зима'!v96-'[2]$ зима'!u96-'[2]$ зима'!t96-'[2]$ зима'!s96-'[2]$ зима'!r96-'[2]$ зима'!p96-'[2]$ зима'!o96-'[2]$ зима'!n96-'[2]$ зима'!m96-'[2]$ зима'!l96+'[2]$ зима'!q96+'[2]$ зима'!w96+'[2]$ зима'!ac96+'[2]$ зима'!ai96+'[2]$ зима'!ao96+'[2]$ зима'!k96</f>
        <v>20</v>
      </c>
      <c r="I96" s="191" t="n">
        <f aca="false">'[2]$ зима'!ay96*1.1</f>
        <v>1232</v>
      </c>
      <c r="J96" s="171" t="n">
        <v>2017</v>
      </c>
    </row>
    <row r="97" customFormat="false" ht="15" hidden="false" customHeight="false" outlineLevel="0" collapsed="false">
      <c r="A97" s="196" t="s">
        <v>81</v>
      </c>
      <c r="B97" s="149" t="s">
        <v>666</v>
      </c>
      <c r="C97" s="148" t="s">
        <v>3197</v>
      </c>
      <c r="D97" s="148"/>
      <c r="E97" s="192"/>
      <c r="F97" s="192"/>
      <c r="G97" s="193" t="s">
        <v>631</v>
      </c>
      <c r="H97" s="105" t="n">
        <f aca="false">'[2]$ зима'!j97-'[2]$ зима'!au97-'[2]$ зима'!at97-'[2]$ зима'!as97-'[2]$ зима'!ar97-'[2]$ зима'!aq97-'[2]$ зима'!ap97-'[2]$ зима'!an97-'[2]$ зима'!am97-'[2]$ зима'!al97-'[2]$ зима'!ak97-'[2]$ зима'!aj97-'[2]$ зима'!ah97-'[2]$ зима'!ag97-'[2]$ зима'!af97-'[2]$ зима'!ae97-'[2]$ зима'!ad97-'[2]$ зима'!ab97-'[2]$ зима'!aa97-'[2]$ зима'!z97-'[2]$ зима'!y97-'[2]$ зима'!x97-'[2]$ зима'!v97-'[2]$ зима'!u97-'[2]$ зима'!t97-'[2]$ зима'!s97-'[2]$ зима'!r97-'[2]$ зима'!p97-'[2]$ зима'!o97-'[2]$ зима'!n97-'[2]$ зима'!m97-'[2]$ зима'!l97+'[2]$ зима'!q97+'[2]$ зима'!w97+'[2]$ зима'!ac97+'[2]$ зима'!ai97+'[2]$ зима'!ao97+'[2]$ зима'!k97</f>
        <v>10</v>
      </c>
      <c r="I97" s="191" t="n">
        <f aca="false">'[2]$ зима'!ay97*1.1</f>
        <v>1047.2</v>
      </c>
      <c r="J97" s="171" t="n">
        <v>2017</v>
      </c>
    </row>
    <row r="98" customFormat="false" ht="15" hidden="true" customHeight="false" outlineLevel="0" collapsed="false">
      <c r="A98" s="196" t="s">
        <v>81</v>
      </c>
      <c r="B98" s="149" t="s">
        <v>572</v>
      </c>
      <c r="C98" s="148" t="s">
        <v>3198</v>
      </c>
      <c r="D98" s="148"/>
      <c r="E98" s="148"/>
      <c r="F98" s="148"/>
      <c r="G98" s="193"/>
      <c r="H98" s="105" t="n">
        <f aca="false">'[2]$ зима'!j98-'[2]$ зима'!au98-'[2]$ зима'!at98-'[2]$ зима'!as98-'[2]$ зима'!ar98-'[2]$ зима'!aq98-'[2]$ зима'!ap98-'[2]$ зима'!an98-'[2]$ зима'!am98-'[2]$ зима'!al98-'[2]$ зима'!ak98-'[2]$ зима'!aj98-'[2]$ зима'!ah98-'[2]$ зима'!ag98-'[2]$ зима'!af98-'[2]$ зима'!ae98-'[2]$ зима'!ad98-'[2]$ зима'!ab98-'[2]$ зима'!aa98-'[2]$ зима'!z98-'[2]$ зима'!y98-'[2]$ зима'!x98-'[2]$ зима'!v98-'[2]$ зима'!u98-'[2]$ зима'!t98-'[2]$ зима'!s98-'[2]$ зима'!r98-'[2]$ зима'!p98-'[2]$ зима'!o98-'[2]$ зима'!n98-'[2]$ зима'!m98-'[2]$ зима'!l98+'[2]$ зима'!q98+'[2]$ зима'!w98+'[2]$ зима'!ac98+'[2]$ зима'!ai98+'[2]$ зима'!ao98+'[2]$ зима'!k98</f>
        <v>0</v>
      </c>
      <c r="I98" s="191" t="n">
        <f aca="false">'[2]$ зима'!ay98*1.1</f>
        <v>800.8</v>
      </c>
    </row>
    <row r="99" customFormat="false" ht="15" hidden="true" customHeight="false" outlineLevel="0" collapsed="false">
      <c r="A99" s="196" t="s">
        <v>81</v>
      </c>
      <c r="B99" s="149" t="s">
        <v>668</v>
      </c>
      <c r="C99" s="194" t="s">
        <v>3182</v>
      </c>
      <c r="D99" s="148"/>
      <c r="E99" s="148"/>
      <c r="F99" s="148"/>
      <c r="G99" s="193"/>
      <c r="H99" s="105" t="n">
        <f aca="false">'[2]$ зима'!j99-'[2]$ зима'!au99-'[2]$ зима'!at99-'[2]$ зима'!as99-'[2]$ зима'!ar99-'[2]$ зима'!aq99-'[2]$ зима'!ap99-'[2]$ зима'!an99-'[2]$ зима'!am99-'[2]$ зима'!al99-'[2]$ зима'!ak99-'[2]$ зима'!aj99-'[2]$ зима'!ah99-'[2]$ зима'!ag99-'[2]$ зима'!af99-'[2]$ зима'!ae99-'[2]$ зима'!ad99-'[2]$ зима'!ab99-'[2]$ зима'!aa99-'[2]$ зима'!z99-'[2]$ зима'!y99-'[2]$ зима'!x99-'[2]$ зима'!v99-'[2]$ зима'!u99-'[2]$ зима'!t99-'[2]$ зима'!s99-'[2]$ зима'!r99-'[2]$ зима'!p99-'[2]$ зима'!o99-'[2]$ зима'!n99-'[2]$ зима'!m99-'[2]$ зима'!l99+'[2]$ зима'!q99+'[2]$ зима'!w99+'[2]$ зима'!ac99+'[2]$ зима'!ai99+'[2]$ зима'!ao99+'[2]$ зима'!k99</f>
        <v>0</v>
      </c>
      <c r="I99" s="191" t="n">
        <f aca="false">'[2]$ зима'!ay99*1.1</f>
        <v>1108.8</v>
      </c>
      <c r="J99" s="171" t="n">
        <v>2017</v>
      </c>
    </row>
    <row r="100" customFormat="false" ht="15" hidden="false" customHeight="false" outlineLevel="0" collapsed="false">
      <c r="A100" s="196" t="s">
        <v>81</v>
      </c>
      <c r="B100" s="149" t="s">
        <v>574</v>
      </c>
      <c r="C100" s="148" t="s">
        <v>3199</v>
      </c>
      <c r="D100" s="148"/>
      <c r="E100" s="192"/>
      <c r="F100" s="192"/>
      <c r="G100" s="193" t="s">
        <v>576</v>
      </c>
      <c r="H100" s="105" t="n">
        <f aca="false">'[2]$ зима'!j100-'[2]$ зима'!au100-'[2]$ зима'!at100-'[2]$ зима'!as100-'[2]$ зима'!ar100-'[2]$ зима'!aq100-'[2]$ зима'!ap100-'[2]$ зима'!an100-'[2]$ зима'!am100-'[2]$ зима'!al100-'[2]$ зима'!ak100-'[2]$ зима'!aj100-'[2]$ зима'!ah100-'[2]$ зима'!ag100-'[2]$ зима'!af100-'[2]$ зима'!ae100-'[2]$ зима'!ad100-'[2]$ зима'!ab100-'[2]$ зима'!aa100-'[2]$ зима'!z100-'[2]$ зима'!y100-'[2]$ зима'!x100-'[2]$ зима'!v100-'[2]$ зима'!u100-'[2]$ зима'!t100-'[2]$ зима'!s100-'[2]$ зима'!r100-'[2]$ зима'!p100-'[2]$ зима'!o100-'[2]$ зима'!n100-'[2]$ зима'!m100-'[2]$ зима'!l100+'[2]$ зима'!q100+'[2]$ зима'!w100+'[2]$ зима'!ac100+'[2]$ зима'!ai100+'[2]$ зима'!ao100+'[2]$ зима'!k100</f>
        <v>4</v>
      </c>
      <c r="I100" s="191" t="n">
        <f aca="false">'[2]$ зима'!ay100*1.1</f>
        <v>937.2</v>
      </c>
    </row>
    <row r="101" customFormat="false" ht="15" hidden="false" customHeight="false" outlineLevel="0" collapsed="false">
      <c r="A101" s="196" t="s">
        <v>81</v>
      </c>
      <c r="B101" s="149" t="s">
        <v>574</v>
      </c>
      <c r="C101" s="148" t="s">
        <v>3200</v>
      </c>
      <c r="D101" s="148"/>
      <c r="E101" s="192"/>
      <c r="F101" s="192"/>
      <c r="G101" s="193" t="s">
        <v>576</v>
      </c>
      <c r="H101" s="105" t="n">
        <f aca="false">'[2]$ зима'!j101-'[2]$ зима'!au101-'[2]$ зима'!at101-'[2]$ зима'!as101-'[2]$ зима'!ar101-'[2]$ зима'!aq101-'[2]$ зима'!ap101-'[2]$ зима'!an101-'[2]$ зима'!am101-'[2]$ зима'!al101-'[2]$ зима'!ak101-'[2]$ зима'!aj101-'[2]$ зима'!ah101-'[2]$ зима'!ag101-'[2]$ зима'!af101-'[2]$ зима'!ae101-'[2]$ зима'!ad101-'[2]$ зима'!ab101-'[2]$ зима'!aa101-'[2]$ зима'!z101-'[2]$ зима'!y101-'[2]$ зима'!x101-'[2]$ зима'!v101-'[2]$ зима'!u101-'[2]$ зима'!t101-'[2]$ зима'!s101-'[2]$ зима'!r101-'[2]$ зима'!p101-'[2]$ зима'!o101-'[2]$ зима'!n101-'[2]$ зима'!m101-'[2]$ зима'!l101+'[2]$ зима'!q101+'[2]$ зима'!w101+'[2]$ зима'!ac101+'[2]$ зима'!ai101+'[2]$ зима'!ao101+'[2]$ зима'!k101</f>
        <v>2</v>
      </c>
      <c r="I101" s="191" t="n">
        <f aca="false">'[2]$ зима'!ay101*1.1</f>
        <v>1030.92</v>
      </c>
    </row>
    <row r="102" customFormat="false" ht="15" hidden="false" customHeight="false" outlineLevel="0" collapsed="false">
      <c r="A102" s="196" t="s">
        <v>81</v>
      </c>
      <c r="B102" s="149" t="s">
        <v>574</v>
      </c>
      <c r="C102" s="148" t="s">
        <v>3201</v>
      </c>
      <c r="D102" s="148"/>
      <c r="E102" s="192"/>
      <c r="F102" s="192"/>
      <c r="G102" s="193" t="s">
        <v>576</v>
      </c>
      <c r="H102" s="105" t="n">
        <f aca="false">'[2]$ зима'!j102-'[2]$ зима'!au102-'[2]$ зима'!at102-'[2]$ зима'!as102-'[2]$ зима'!ar102-'[2]$ зима'!aq102-'[2]$ зима'!ap102-'[2]$ зима'!an102-'[2]$ зима'!am102-'[2]$ зима'!al102-'[2]$ зима'!ak102-'[2]$ зима'!aj102-'[2]$ зима'!ah102-'[2]$ зима'!ag102-'[2]$ зима'!af102-'[2]$ зима'!ae102-'[2]$ зима'!ad102-'[2]$ зима'!ab102-'[2]$ зима'!aa102-'[2]$ зима'!z102-'[2]$ зима'!y102-'[2]$ зима'!x102-'[2]$ зима'!v102-'[2]$ зима'!u102-'[2]$ зима'!t102-'[2]$ зима'!s102-'[2]$ зима'!r102-'[2]$ зима'!p102-'[2]$ зима'!o102-'[2]$ зима'!n102-'[2]$ зима'!m102-'[2]$ зима'!l102+'[2]$ зима'!q102+'[2]$ зима'!w102+'[2]$ зима'!ac102+'[2]$ зима'!ai102+'[2]$ зима'!ao102+'[2]$ зима'!k102</f>
        <v>4</v>
      </c>
      <c r="I102" s="191" t="n">
        <f aca="false">'[2]$ зима'!ay102*1.1</f>
        <v>1093.4</v>
      </c>
    </row>
    <row r="103" customFormat="false" ht="15" hidden="false" customHeight="false" outlineLevel="0" collapsed="false">
      <c r="A103" s="196" t="s">
        <v>81</v>
      </c>
      <c r="B103" s="149" t="s">
        <v>574</v>
      </c>
      <c r="C103" s="148" t="s">
        <v>3163</v>
      </c>
      <c r="D103" s="148"/>
      <c r="E103" s="192" t="n">
        <v>82</v>
      </c>
      <c r="F103" s="192" t="s">
        <v>562</v>
      </c>
      <c r="G103" s="193" t="s">
        <v>576</v>
      </c>
      <c r="H103" s="105" t="n">
        <f aca="false">'[2]$ зима'!j103-'[2]$ зима'!au103-'[2]$ зима'!at103-'[2]$ зима'!as103-'[2]$ зима'!ar103-'[2]$ зима'!aq103-'[2]$ зима'!ap103-'[2]$ зима'!an103-'[2]$ зима'!am103-'[2]$ зима'!al103-'[2]$ зима'!ak103-'[2]$ зима'!aj103-'[2]$ зима'!ah103-'[2]$ зима'!ag103-'[2]$ зима'!af103-'[2]$ зима'!ae103-'[2]$ зима'!ad103-'[2]$ зима'!ab103-'[2]$ зима'!aa103-'[2]$ зима'!z103-'[2]$ зима'!y103-'[2]$ зима'!x103-'[2]$ зима'!v103-'[2]$ зима'!u103-'[2]$ зима'!t103-'[2]$ зима'!s103-'[2]$ зима'!r103-'[2]$ зима'!p103-'[2]$ зима'!o103-'[2]$ зима'!n103-'[2]$ зима'!m103-'[2]$ зима'!l103+'[2]$ зима'!q103+'[2]$ зима'!w103+'[2]$ зима'!ac103+'[2]$ зима'!ai103+'[2]$ зима'!ao103+'[2]$ зима'!k103</f>
        <v>8</v>
      </c>
      <c r="I103" s="191" t="n">
        <f aca="false">'[2]$ зима'!ay103*1.1</f>
        <v>1155.88</v>
      </c>
    </row>
    <row r="104" customFormat="false" ht="15" hidden="true" customHeight="false" outlineLevel="0" collapsed="false">
      <c r="A104" s="196" t="s">
        <v>81</v>
      </c>
      <c r="B104" s="149" t="s">
        <v>1471</v>
      </c>
      <c r="C104" s="148" t="s">
        <v>3202</v>
      </c>
      <c r="D104" s="148"/>
      <c r="E104" s="148"/>
      <c r="F104" s="148"/>
      <c r="G104" s="193"/>
      <c r="H104" s="105" t="n">
        <f aca="false">'[2]$ зима'!j104-'[2]$ зима'!au104-'[2]$ зима'!at104-'[2]$ зима'!as104-'[2]$ зима'!ar104-'[2]$ зима'!aq104-'[2]$ зима'!ap104-'[2]$ зима'!an104-'[2]$ зима'!am104-'[2]$ зима'!al104-'[2]$ зима'!ak104-'[2]$ зима'!aj104-'[2]$ зима'!ah104-'[2]$ зима'!ag104-'[2]$ зима'!af104-'[2]$ зима'!ae104-'[2]$ зима'!ad104-'[2]$ зима'!ab104-'[2]$ зима'!aa104-'[2]$ зима'!z104-'[2]$ зима'!y104-'[2]$ зима'!x104-'[2]$ зима'!v104-'[2]$ зима'!u104-'[2]$ зима'!t104-'[2]$ зима'!s104-'[2]$ зима'!r104-'[2]$ зима'!p104-'[2]$ зима'!o104-'[2]$ зима'!n104-'[2]$ зима'!m104-'[2]$ зима'!l104+'[2]$ зима'!q104+'[2]$ зима'!w104+'[2]$ зима'!ac104+'[2]$ зима'!ai104+'[2]$ зима'!ao104+'[2]$ зима'!k104</f>
        <v>0</v>
      </c>
      <c r="I104" s="191" t="n">
        <f aca="false">'[2]$ зима'!ay104*1.1</f>
        <v>985.6</v>
      </c>
    </row>
    <row r="105" customFormat="false" ht="15" hidden="true" customHeight="false" outlineLevel="0" collapsed="false">
      <c r="A105" s="196" t="s">
        <v>81</v>
      </c>
      <c r="B105" s="149" t="s">
        <v>583</v>
      </c>
      <c r="C105" s="148" t="s">
        <v>3130</v>
      </c>
      <c r="D105" s="202"/>
      <c r="E105" s="202"/>
      <c r="F105" s="202"/>
      <c r="G105" s="203"/>
      <c r="H105" s="105" t="n">
        <f aca="false">'[2]$ зима'!j105-'[2]$ зима'!au105-'[2]$ зима'!at105-'[2]$ зима'!as105-'[2]$ зима'!ar105-'[2]$ зима'!aq105-'[2]$ зима'!ap105-'[2]$ зима'!an105-'[2]$ зима'!am105-'[2]$ зима'!al105-'[2]$ зима'!ak105-'[2]$ зима'!aj105-'[2]$ зима'!ah105-'[2]$ зима'!ag105-'[2]$ зима'!af105-'[2]$ зима'!ae105-'[2]$ зима'!ad105-'[2]$ зима'!ab105-'[2]$ зима'!aa105-'[2]$ зима'!z105-'[2]$ зима'!y105-'[2]$ зима'!x105-'[2]$ зима'!v105-'[2]$ зима'!u105-'[2]$ зима'!t105-'[2]$ зима'!s105-'[2]$ зима'!r105-'[2]$ зима'!p105-'[2]$ зима'!o105-'[2]$ зима'!n105-'[2]$ зима'!m105-'[2]$ зима'!l105+'[2]$ зима'!q105+'[2]$ зима'!w105+'[2]$ зима'!ac105+'[2]$ зима'!ai105+'[2]$ зима'!ao105+'[2]$ зима'!k105</f>
        <v>0</v>
      </c>
      <c r="I105" s="191" t="n">
        <f aca="false">'[2]$ зима'!ay105*1.1</f>
        <v>831.6</v>
      </c>
    </row>
    <row r="106" customFormat="false" ht="15" hidden="false" customHeight="false" outlineLevel="0" collapsed="false">
      <c r="A106" s="196" t="s">
        <v>81</v>
      </c>
      <c r="B106" s="149" t="s">
        <v>583</v>
      </c>
      <c r="C106" s="148" t="s">
        <v>3131</v>
      </c>
      <c r="D106" s="148"/>
      <c r="E106" s="192"/>
      <c r="F106" s="192"/>
      <c r="G106" s="193"/>
      <c r="H106" s="105" t="n">
        <f aca="false">'[2]$ зима'!j106-'[2]$ зима'!au106-'[2]$ зима'!at106-'[2]$ зима'!as106-'[2]$ зима'!ar106-'[2]$ зима'!aq106-'[2]$ зима'!ap106-'[2]$ зима'!an106-'[2]$ зима'!am106-'[2]$ зима'!al106-'[2]$ зима'!ak106-'[2]$ зима'!aj106-'[2]$ зима'!ah106-'[2]$ зима'!ag106-'[2]$ зима'!af106-'[2]$ зима'!ae106-'[2]$ зима'!ad106-'[2]$ зима'!ab106-'[2]$ зима'!aa106-'[2]$ зима'!z106-'[2]$ зима'!y106-'[2]$ зима'!x106-'[2]$ зима'!v106-'[2]$ зима'!u106-'[2]$ зима'!t106-'[2]$ зима'!s106-'[2]$ зима'!r106-'[2]$ зима'!p106-'[2]$ зима'!o106-'[2]$ зима'!n106-'[2]$ зима'!m106-'[2]$ зима'!l106+'[2]$ зима'!q106+'[2]$ зима'!w106+'[2]$ зима'!ac106+'[2]$ зима'!ai106+'[2]$ зима'!ao106+'[2]$ зима'!k106</f>
        <v>4</v>
      </c>
      <c r="I106" s="191" t="n">
        <f aca="false">'[2]$ зима'!ay106*1.1</f>
        <v>1016.4</v>
      </c>
    </row>
    <row r="107" customFormat="false" ht="15" hidden="false" customHeight="false" outlineLevel="0" collapsed="false">
      <c r="A107" s="196" t="s">
        <v>81</v>
      </c>
      <c r="B107" s="149" t="s">
        <v>3203</v>
      </c>
      <c r="C107" s="148" t="s">
        <v>3204</v>
      </c>
      <c r="D107" s="148"/>
      <c r="E107" s="192"/>
      <c r="F107" s="192"/>
      <c r="G107" s="193"/>
      <c r="H107" s="105" t="n">
        <f aca="false">'[2]$ зима'!j107-'[2]$ зима'!au107-'[2]$ зима'!at107-'[2]$ зима'!as107-'[2]$ зима'!ar107-'[2]$ зима'!aq107-'[2]$ зима'!ap107-'[2]$ зима'!an107-'[2]$ зима'!am107-'[2]$ зима'!al107-'[2]$ зима'!ak107-'[2]$ зима'!aj107-'[2]$ зима'!ah107-'[2]$ зима'!ag107-'[2]$ зима'!af107-'[2]$ зима'!ae107-'[2]$ зима'!ad107-'[2]$ зима'!ab107-'[2]$ зима'!aa107-'[2]$ зима'!z107-'[2]$ зима'!y107-'[2]$ зима'!x107-'[2]$ зима'!v107-'[2]$ зима'!u107-'[2]$ зима'!t107-'[2]$ зима'!s107-'[2]$ зима'!r107-'[2]$ зима'!p107-'[2]$ зима'!o107-'[2]$ зима'!n107-'[2]$ зима'!m107-'[2]$ зима'!l107+'[2]$ зима'!q107+'[2]$ зима'!w107+'[2]$ зима'!ac107+'[2]$ зима'!ai107+'[2]$ зима'!ao107+'[2]$ зима'!k107</f>
        <v>4</v>
      </c>
      <c r="I107" s="191" t="n">
        <f aca="false">'[2]$ зима'!ay107*1.1</f>
        <v>739.2</v>
      </c>
    </row>
    <row r="108" customFormat="false" ht="15" hidden="false" customHeight="false" outlineLevel="0" collapsed="false">
      <c r="A108" s="196" t="s">
        <v>81</v>
      </c>
      <c r="B108" s="149" t="s">
        <v>593</v>
      </c>
      <c r="C108" s="148" t="s">
        <v>3187</v>
      </c>
      <c r="D108" s="148"/>
      <c r="E108" s="192"/>
      <c r="F108" s="192"/>
      <c r="G108" s="193"/>
      <c r="H108" s="105" t="n">
        <f aca="false">'[2]$ зима'!j108-'[2]$ зима'!au108-'[2]$ зима'!at108-'[2]$ зима'!as108-'[2]$ зима'!ar108-'[2]$ зима'!aq108-'[2]$ зима'!ap108-'[2]$ зима'!an108-'[2]$ зима'!am108-'[2]$ зима'!al108-'[2]$ зима'!ak108-'[2]$ зима'!aj108-'[2]$ зима'!ah108-'[2]$ зима'!ag108-'[2]$ зима'!af108-'[2]$ зима'!ae108-'[2]$ зима'!ad108-'[2]$ зима'!ab108-'[2]$ зима'!aa108-'[2]$ зима'!z108-'[2]$ зима'!y108-'[2]$ зима'!x108-'[2]$ зима'!v108-'[2]$ зима'!u108-'[2]$ зима'!t108-'[2]$ зима'!s108-'[2]$ зима'!r108-'[2]$ зима'!p108-'[2]$ зима'!o108-'[2]$ зима'!n108-'[2]$ зима'!m108-'[2]$ зима'!l108+'[2]$ зима'!q108+'[2]$ зима'!w108+'[2]$ зима'!ac108+'[2]$ зима'!ai108+'[2]$ зима'!ao108+'[2]$ зима'!k108</f>
        <v>4</v>
      </c>
      <c r="I108" s="191" t="n">
        <f aca="false">'[2]$ зима'!ay108*1.1</f>
        <v>1293.6</v>
      </c>
    </row>
    <row r="109" customFormat="false" ht="15" hidden="false" customHeight="false" outlineLevel="0" collapsed="false">
      <c r="A109" s="196" t="s">
        <v>81</v>
      </c>
      <c r="B109" s="149" t="s">
        <v>3142</v>
      </c>
      <c r="C109" s="148" t="s">
        <v>3169</v>
      </c>
      <c r="D109" s="148"/>
      <c r="E109" s="192"/>
      <c r="F109" s="192"/>
      <c r="G109" s="193"/>
      <c r="H109" s="105" t="n">
        <f aca="false">'[2]$ зима'!j109-'[2]$ зима'!au109-'[2]$ зима'!at109-'[2]$ зима'!as109-'[2]$ зима'!ar109-'[2]$ зима'!aq109-'[2]$ зима'!ap109-'[2]$ зима'!an109-'[2]$ зима'!am109-'[2]$ зима'!al109-'[2]$ зима'!ak109-'[2]$ зима'!aj109-'[2]$ зима'!ah109-'[2]$ зима'!ag109-'[2]$ зима'!af109-'[2]$ зима'!ae109-'[2]$ зима'!ad109-'[2]$ зима'!ab109-'[2]$ зима'!aa109-'[2]$ зима'!z109-'[2]$ зима'!y109-'[2]$ зима'!x109-'[2]$ зима'!v109-'[2]$ зима'!u109-'[2]$ зима'!t109-'[2]$ зима'!s109-'[2]$ зима'!r109-'[2]$ зима'!p109-'[2]$ зима'!o109-'[2]$ зима'!n109-'[2]$ зима'!m109-'[2]$ зима'!l109+'[2]$ зима'!q109+'[2]$ зима'!w109+'[2]$ зима'!ac109+'[2]$ зима'!ai109+'[2]$ зима'!ao109+'[2]$ зима'!k109</f>
        <v>28</v>
      </c>
      <c r="I109" s="191" t="n">
        <f aca="false">'[2]$ зима'!ay109*1.1</f>
        <v>924</v>
      </c>
    </row>
    <row r="110" customFormat="false" ht="15" hidden="true" customHeight="false" outlineLevel="0" collapsed="false">
      <c r="A110" s="196" t="s">
        <v>81</v>
      </c>
      <c r="B110" s="149" t="s">
        <v>1149</v>
      </c>
      <c r="C110" s="148" t="s">
        <v>3170</v>
      </c>
      <c r="D110" s="148"/>
      <c r="E110" s="148"/>
      <c r="F110" s="148"/>
      <c r="G110" s="193"/>
      <c r="H110" s="105" t="n">
        <f aca="false">'[2]$ зима'!j110-'[2]$ зима'!au110-'[2]$ зима'!at110-'[2]$ зима'!as110-'[2]$ зима'!ar110-'[2]$ зима'!aq110-'[2]$ зима'!ap110-'[2]$ зима'!an110-'[2]$ зима'!am110-'[2]$ зима'!al110-'[2]$ зима'!ak110-'[2]$ зима'!aj110-'[2]$ зима'!ah110-'[2]$ зима'!ag110-'[2]$ зима'!af110-'[2]$ зима'!ae110-'[2]$ зима'!ad110-'[2]$ зима'!ab110-'[2]$ зима'!aa110-'[2]$ зима'!z110-'[2]$ зима'!y110-'[2]$ зима'!x110-'[2]$ зима'!v110-'[2]$ зима'!u110-'[2]$ зима'!t110-'[2]$ зима'!s110-'[2]$ зима'!r110-'[2]$ зима'!p110-'[2]$ зима'!o110-'[2]$ зима'!n110-'[2]$ зима'!m110-'[2]$ зима'!l110+'[2]$ зима'!q110+'[2]$ зима'!w110+'[2]$ зима'!ac110+'[2]$ зима'!ai110+'[2]$ зима'!ao110+'[2]$ зима'!k110</f>
        <v>0</v>
      </c>
      <c r="I110" s="191" t="n">
        <f aca="false">'[2]$ зима'!ay110*1.1</f>
        <v>924</v>
      </c>
    </row>
    <row r="111" customFormat="false" ht="15" hidden="true" customHeight="false" outlineLevel="0" collapsed="false">
      <c r="A111" s="196" t="s">
        <v>81</v>
      </c>
      <c r="B111" s="149" t="s">
        <v>617</v>
      </c>
      <c r="C111" s="194" t="s">
        <v>3171</v>
      </c>
      <c r="D111" s="194"/>
      <c r="E111" s="194"/>
      <c r="F111" s="194"/>
      <c r="G111" s="193"/>
      <c r="H111" s="105" t="n">
        <f aca="false">'[2]$ зима'!j111-'[2]$ зима'!au111-'[2]$ зима'!at111-'[2]$ зима'!as111-'[2]$ зима'!ar111-'[2]$ зима'!aq111-'[2]$ зима'!ap111-'[2]$ зима'!an111-'[2]$ зима'!am111-'[2]$ зима'!al111-'[2]$ зима'!ak111-'[2]$ зима'!aj111-'[2]$ зима'!ah111-'[2]$ зима'!ag111-'[2]$ зима'!af111-'[2]$ зима'!ae111-'[2]$ зима'!ad111-'[2]$ зима'!ab111-'[2]$ зима'!aa111-'[2]$ зима'!z111-'[2]$ зима'!y111-'[2]$ зима'!x111-'[2]$ зима'!v111-'[2]$ зима'!u111-'[2]$ зима'!t111-'[2]$ зима'!s111-'[2]$ зима'!r111-'[2]$ зима'!p111-'[2]$ зима'!o111-'[2]$ зима'!n111-'[2]$ зима'!m111-'[2]$ зима'!l111+'[2]$ зима'!q111+'[2]$ зима'!w111+'[2]$ зима'!ac111+'[2]$ зима'!ai111+'[2]$ зима'!ao111+'[2]$ зима'!k111</f>
        <v>0</v>
      </c>
      <c r="I111" s="191" t="n">
        <f aca="false">'[2]$ зима'!ay111*1.1</f>
        <v>831.6</v>
      </c>
    </row>
    <row r="112" customFormat="false" ht="15" hidden="false" customHeight="false" outlineLevel="0" collapsed="false">
      <c r="A112" s="196" t="s">
        <v>81</v>
      </c>
      <c r="B112" s="149" t="s">
        <v>652</v>
      </c>
      <c r="C112" s="148" t="s">
        <v>3144</v>
      </c>
      <c r="D112" s="148"/>
      <c r="E112" s="192"/>
      <c r="F112" s="192"/>
      <c r="G112" s="193"/>
      <c r="H112" s="105" t="n">
        <f aca="false">'[2]$ зима'!j112-'[2]$ зима'!au112-'[2]$ зима'!at112-'[2]$ зима'!as112-'[2]$ зима'!ar112-'[2]$ зима'!aq112-'[2]$ зима'!ap112-'[2]$ зима'!an112-'[2]$ зима'!am112-'[2]$ зима'!al112-'[2]$ зима'!ak112-'[2]$ зима'!aj112-'[2]$ зима'!ah112-'[2]$ зима'!ag112-'[2]$ зима'!af112-'[2]$ зима'!ae112-'[2]$ зима'!ad112-'[2]$ зима'!ab112-'[2]$ зима'!aa112-'[2]$ зима'!z112-'[2]$ зима'!y112-'[2]$ зима'!x112-'[2]$ зима'!v112-'[2]$ зима'!u112-'[2]$ зима'!t112-'[2]$ зима'!s112-'[2]$ зима'!r112-'[2]$ зима'!p112-'[2]$ зима'!o112-'[2]$ зима'!n112-'[2]$ зима'!m112-'[2]$ зима'!l112+'[2]$ зима'!q112+'[2]$ зима'!w112+'[2]$ зима'!ac112+'[2]$ зима'!ai112+'[2]$ зима'!ao112+'[2]$ зима'!k112</f>
        <v>4</v>
      </c>
      <c r="I112" s="191" t="n">
        <f aca="false">'[2]$ зима'!ay112*1.1</f>
        <v>1078</v>
      </c>
    </row>
    <row r="113" customFormat="false" ht="15" hidden="true" customHeight="false" outlineLevel="0" collapsed="false">
      <c r="A113" s="196" t="s">
        <v>81</v>
      </c>
      <c r="B113" s="149" t="s">
        <v>1161</v>
      </c>
      <c r="C113" s="148" t="s">
        <v>3205</v>
      </c>
      <c r="D113" s="148"/>
      <c r="E113" s="148"/>
      <c r="F113" s="148"/>
      <c r="G113" s="193"/>
      <c r="H113" s="105" t="n">
        <f aca="false">'[2]$ зима'!j113-'[2]$ зима'!au113-'[2]$ зима'!at113-'[2]$ зима'!as113-'[2]$ зима'!ar113-'[2]$ зима'!aq113-'[2]$ зима'!ap113-'[2]$ зима'!an113-'[2]$ зима'!am113-'[2]$ зима'!al113-'[2]$ зима'!ak113-'[2]$ зима'!aj113-'[2]$ зима'!ah113-'[2]$ зима'!ag113-'[2]$ зима'!af113-'[2]$ зима'!ae113-'[2]$ зима'!ad113-'[2]$ зима'!ab113-'[2]$ зима'!aa113-'[2]$ зима'!z113-'[2]$ зима'!y113-'[2]$ зима'!x113-'[2]$ зима'!v113-'[2]$ зима'!u113-'[2]$ зима'!t113-'[2]$ зима'!s113-'[2]$ зима'!r113-'[2]$ зима'!p113-'[2]$ зима'!o113-'[2]$ зима'!n113-'[2]$ зима'!m113-'[2]$ зима'!l113+'[2]$ зима'!q113+'[2]$ зима'!w113+'[2]$ зима'!ac113+'[2]$ зима'!ai113+'[2]$ зима'!ao113+'[2]$ зима'!k113</f>
        <v>0</v>
      </c>
      <c r="I113" s="191" t="n">
        <f aca="false">'[2]$ зима'!ay113*1.1</f>
        <v>770</v>
      </c>
    </row>
    <row r="114" customFormat="false" ht="15" hidden="false" customHeight="false" outlineLevel="0" collapsed="false">
      <c r="A114" s="196" t="s">
        <v>81</v>
      </c>
      <c r="B114" s="149" t="s">
        <v>589</v>
      </c>
      <c r="C114" s="148" t="s">
        <v>3206</v>
      </c>
      <c r="D114" s="148"/>
      <c r="E114" s="148" t="n">
        <v>82</v>
      </c>
      <c r="F114" s="148" t="s">
        <v>3207</v>
      </c>
      <c r="G114" s="193" t="s">
        <v>626</v>
      </c>
      <c r="H114" s="105" t="n">
        <f aca="false">'[2]$ зима'!j114-'[2]$ зима'!au114-'[2]$ зима'!at114-'[2]$ зима'!as114-'[2]$ зима'!ar114-'[2]$ зима'!aq114-'[2]$ зима'!ap114-'[2]$ зима'!an114-'[2]$ зима'!am114-'[2]$ зима'!al114-'[2]$ зима'!ak114-'[2]$ зима'!aj114-'[2]$ зима'!ah114-'[2]$ зима'!ag114-'[2]$ зима'!af114-'[2]$ зима'!ae114-'[2]$ зима'!ad114-'[2]$ зима'!ab114-'[2]$ зима'!aa114-'[2]$ зима'!z114-'[2]$ зима'!y114-'[2]$ зима'!x114-'[2]$ зима'!v114-'[2]$ зима'!u114-'[2]$ зима'!t114-'[2]$ зима'!s114-'[2]$ зима'!r114-'[2]$ зима'!p114-'[2]$ зима'!o114-'[2]$ зима'!n114-'[2]$ зима'!m114-'[2]$ зима'!l114+'[2]$ зима'!q114+'[2]$ зима'!w114+'[2]$ зима'!ac114+'[2]$ зима'!ai114+'[2]$ зима'!ao114+'[2]$ зима'!k114</f>
        <v>8</v>
      </c>
      <c r="I114" s="191" t="n">
        <f aca="false">'[2]$ зима'!ay114*1.1</f>
        <v>1369.72</v>
      </c>
      <c r="J114" s="171" t="n">
        <v>2018</v>
      </c>
    </row>
    <row r="115" customFormat="false" ht="15" hidden="false" customHeight="false" outlineLevel="0" collapsed="false">
      <c r="A115" s="196" t="s">
        <v>81</v>
      </c>
      <c r="B115" s="149" t="s">
        <v>589</v>
      </c>
      <c r="C115" s="148" t="s">
        <v>3208</v>
      </c>
      <c r="D115" s="148"/>
      <c r="E115" s="192"/>
      <c r="F115" s="192"/>
      <c r="G115" s="193" t="s">
        <v>626</v>
      </c>
      <c r="H115" s="105" t="n">
        <f aca="false">'[2]$ зима'!j115-'[2]$ зима'!au115-'[2]$ зима'!at115-'[2]$ зима'!as115-'[2]$ зима'!ar115-'[2]$ зима'!aq115-'[2]$ зима'!ap115-'[2]$ зима'!an115-'[2]$ зима'!am115-'[2]$ зима'!al115-'[2]$ зима'!ak115-'[2]$ зима'!aj115-'[2]$ зима'!ah115-'[2]$ зима'!ag115-'[2]$ зима'!af115-'[2]$ зима'!ae115-'[2]$ зима'!ad115-'[2]$ зима'!ab115-'[2]$ зима'!aa115-'[2]$ зима'!z115-'[2]$ зима'!y115-'[2]$ зима'!x115-'[2]$ зима'!v115-'[2]$ зима'!u115-'[2]$ зима'!t115-'[2]$ зима'!s115-'[2]$ зима'!r115-'[2]$ зима'!p115-'[2]$ зима'!o115-'[2]$ зима'!n115-'[2]$ зима'!m115-'[2]$ зима'!l115+'[2]$ зима'!q115+'[2]$ зима'!w115+'[2]$ зима'!ac115+'[2]$ зима'!ai115+'[2]$ зима'!ao115+'[2]$ зима'!k115</f>
        <v>2</v>
      </c>
      <c r="I115" s="191" t="n">
        <f aca="false">'[2]$ зима'!ay115*1.1</f>
        <v>1312.08</v>
      </c>
    </row>
    <row r="116" customFormat="false" ht="15" hidden="false" customHeight="false" outlineLevel="0" collapsed="false">
      <c r="A116" s="196" t="s">
        <v>81</v>
      </c>
      <c r="B116" s="149" t="s">
        <v>589</v>
      </c>
      <c r="C116" s="148" t="s">
        <v>3209</v>
      </c>
      <c r="D116" s="148"/>
      <c r="E116" s="192" t="n">
        <v>82</v>
      </c>
      <c r="F116" s="192" t="s">
        <v>3207</v>
      </c>
      <c r="G116" s="193" t="s">
        <v>626</v>
      </c>
      <c r="H116" s="105" t="n">
        <f aca="false">'[2]$ зима'!j116-'[2]$ зима'!au116-'[2]$ зима'!at116-'[2]$ зима'!as116-'[2]$ зима'!ar116-'[2]$ зима'!aq116-'[2]$ зима'!ap116-'[2]$ зима'!an116-'[2]$ зима'!am116-'[2]$ зима'!al116-'[2]$ зима'!ak116-'[2]$ зима'!aj116-'[2]$ зима'!ah116-'[2]$ зима'!ag116-'[2]$ зима'!af116-'[2]$ зима'!ae116-'[2]$ зима'!ad116-'[2]$ зима'!ab116-'[2]$ зима'!aa116-'[2]$ зима'!z116-'[2]$ зима'!y116-'[2]$ зима'!x116-'[2]$ зима'!v116-'[2]$ зима'!u116-'[2]$ зима'!t116-'[2]$ зима'!s116-'[2]$ зима'!r116-'[2]$ зима'!p116-'[2]$ зима'!o116-'[2]$ зима'!n116-'[2]$ зима'!m116-'[2]$ зима'!l116+'[2]$ зима'!q116+'[2]$ зима'!w116+'[2]$ зима'!ac116+'[2]$ зима'!ai116+'[2]$ зима'!ao116+'[2]$ зима'!k116</f>
        <v>12</v>
      </c>
      <c r="I116" s="191" t="n">
        <f aca="false">'[2]$ зима'!ay116*1.1</f>
        <v>1312.08</v>
      </c>
      <c r="J116" s="171" t="n">
        <v>2018</v>
      </c>
    </row>
    <row r="117" customFormat="false" ht="15" hidden="true" customHeight="false" outlineLevel="0" collapsed="false">
      <c r="A117" s="196" t="s">
        <v>81</v>
      </c>
      <c r="B117" s="149" t="s">
        <v>1028</v>
      </c>
      <c r="C117" s="148" t="s">
        <v>3210</v>
      </c>
      <c r="D117" s="148"/>
      <c r="E117" s="148"/>
      <c r="F117" s="148"/>
      <c r="G117" s="193"/>
      <c r="H117" s="105" t="n">
        <f aca="false">'[2]$ зима'!j117-'[2]$ зима'!au117-'[2]$ зима'!at117-'[2]$ зима'!as117-'[2]$ зима'!ar117-'[2]$ зима'!aq117-'[2]$ зима'!ap117-'[2]$ зима'!an117-'[2]$ зима'!am117-'[2]$ зима'!al117-'[2]$ зима'!ak117-'[2]$ зима'!aj117-'[2]$ зима'!ah117-'[2]$ зима'!ag117-'[2]$ зима'!af117-'[2]$ зима'!ae117-'[2]$ зима'!ad117-'[2]$ зима'!ab117-'[2]$ зима'!aa117-'[2]$ зима'!z117-'[2]$ зима'!y117-'[2]$ зима'!x117-'[2]$ зима'!v117-'[2]$ зима'!u117-'[2]$ зима'!t117-'[2]$ зима'!s117-'[2]$ зима'!r117-'[2]$ зима'!p117-'[2]$ зима'!o117-'[2]$ зима'!n117-'[2]$ зима'!m117-'[2]$ зима'!l117+'[2]$ зима'!q117+'[2]$ зима'!w117+'[2]$ зима'!ac117+'[2]$ зима'!ai117+'[2]$ зима'!ao117+'[2]$ зима'!k117</f>
        <v>0</v>
      </c>
      <c r="I117" s="191" t="n">
        <f aca="false">'[2]$ зима'!ay117*1.1</f>
        <v>1293.6</v>
      </c>
    </row>
    <row r="118" customFormat="false" ht="15" hidden="true" customHeight="false" outlineLevel="0" collapsed="false">
      <c r="A118" s="196" t="s">
        <v>95</v>
      </c>
      <c r="B118" s="149" t="s">
        <v>568</v>
      </c>
      <c r="C118" s="148" t="s">
        <v>3211</v>
      </c>
      <c r="D118" s="148"/>
      <c r="E118" s="148"/>
      <c r="F118" s="148"/>
      <c r="G118" s="193"/>
      <c r="H118" s="105" t="n">
        <f aca="false">'[2]$ зима'!j118-'[2]$ зима'!au118-'[2]$ зима'!at118-'[2]$ зима'!as118-'[2]$ зима'!ar118-'[2]$ зима'!aq118-'[2]$ зима'!ap118-'[2]$ зима'!an118-'[2]$ зима'!am118-'[2]$ зима'!al118-'[2]$ зима'!ak118-'[2]$ зима'!aj118-'[2]$ зима'!ah118-'[2]$ зима'!ag118-'[2]$ зима'!af118-'[2]$ зима'!ae118-'[2]$ зима'!ad118-'[2]$ зима'!ab118-'[2]$ зима'!aa118-'[2]$ зима'!z118-'[2]$ зима'!y118-'[2]$ зима'!x118-'[2]$ зима'!v118-'[2]$ зима'!u118-'[2]$ зима'!t118-'[2]$ зима'!s118-'[2]$ зима'!r118-'[2]$ зима'!p118-'[2]$ зима'!o118-'[2]$ зима'!n118-'[2]$ зима'!m118-'[2]$ зима'!l118+'[2]$ зима'!q118+'[2]$ зима'!w118+'[2]$ зима'!ac118+'[2]$ зима'!ai118+'[2]$ зима'!ao118+'[2]$ зима'!k118</f>
        <v>0</v>
      </c>
      <c r="I118" s="191" t="n">
        <f aca="false">'[2]$ зима'!ay118*1.1</f>
        <v>1016.4</v>
      </c>
    </row>
    <row r="119" customFormat="false" ht="15" hidden="true" customHeight="false" outlineLevel="0" collapsed="false">
      <c r="A119" s="196" t="s">
        <v>95</v>
      </c>
      <c r="B119" s="149" t="s">
        <v>601</v>
      </c>
      <c r="C119" s="148" t="s">
        <v>3151</v>
      </c>
      <c r="D119" s="148"/>
      <c r="E119" s="148"/>
      <c r="F119" s="148"/>
      <c r="G119" s="193"/>
      <c r="H119" s="105" t="n">
        <f aca="false">'[2]$ зима'!j119-'[2]$ зима'!au119-'[2]$ зима'!at119-'[2]$ зима'!as119-'[2]$ зима'!ar119-'[2]$ зима'!aq119-'[2]$ зима'!ap119-'[2]$ зима'!an119-'[2]$ зима'!am119-'[2]$ зима'!al119-'[2]$ зима'!ak119-'[2]$ зима'!aj119-'[2]$ зима'!ah119-'[2]$ зима'!ag119-'[2]$ зима'!af119-'[2]$ зима'!ae119-'[2]$ зима'!ad119-'[2]$ зима'!ab119-'[2]$ зима'!aa119-'[2]$ зима'!z119-'[2]$ зима'!y119-'[2]$ зима'!x119-'[2]$ зима'!v119-'[2]$ зима'!u119-'[2]$ зима'!t119-'[2]$ зима'!s119-'[2]$ зима'!r119-'[2]$ зима'!p119-'[2]$ зима'!o119-'[2]$ зима'!n119-'[2]$ зима'!m119-'[2]$ зима'!l119+'[2]$ зима'!q119+'[2]$ зима'!w119+'[2]$ зима'!ac119+'[2]$ зима'!ai119+'[2]$ зима'!ao119+'[2]$ зима'!k119</f>
        <v>0</v>
      </c>
      <c r="I119" s="191" t="n">
        <f aca="false">'[2]$ зима'!ay119*1.1</f>
        <v>1478.4</v>
      </c>
    </row>
    <row r="120" customFormat="false" ht="15" hidden="true" customHeight="false" outlineLevel="0" collapsed="false">
      <c r="A120" s="196" t="s">
        <v>95</v>
      </c>
      <c r="B120" s="149" t="s">
        <v>601</v>
      </c>
      <c r="C120" s="148" t="s">
        <v>3150</v>
      </c>
      <c r="D120" s="202"/>
      <c r="E120" s="202"/>
      <c r="F120" s="202"/>
      <c r="G120" s="203"/>
      <c r="H120" s="105" t="n">
        <f aca="false">'[2]$ зима'!j120-'[2]$ зима'!au120-'[2]$ зима'!at120-'[2]$ зима'!as120-'[2]$ зима'!ar120-'[2]$ зима'!aq120-'[2]$ зима'!ap120-'[2]$ зима'!an120-'[2]$ зима'!am120-'[2]$ зима'!al120-'[2]$ зима'!ak120-'[2]$ зима'!aj120-'[2]$ зима'!ah120-'[2]$ зима'!ag120-'[2]$ зима'!af120-'[2]$ зима'!ae120-'[2]$ зима'!ad120-'[2]$ зима'!ab120-'[2]$ зима'!aa120-'[2]$ зима'!z120-'[2]$ зима'!y120-'[2]$ зима'!x120-'[2]$ зима'!v120-'[2]$ зима'!u120-'[2]$ зима'!t120-'[2]$ зима'!s120-'[2]$ зима'!r120-'[2]$ зима'!p120-'[2]$ зима'!o120-'[2]$ зима'!n120-'[2]$ зима'!m120-'[2]$ зима'!l120+'[2]$ зима'!q120+'[2]$ зима'!w120+'[2]$ зима'!ac120+'[2]$ зима'!ai120+'[2]$ зима'!ao120+'[2]$ зима'!k120</f>
        <v>0</v>
      </c>
      <c r="I120" s="191" t="n">
        <f aca="false">'[2]$ зима'!ay120*1.1</f>
        <v>1601.6</v>
      </c>
    </row>
    <row r="121" customFormat="false" ht="15" hidden="true" customHeight="false" outlineLevel="0" collapsed="false">
      <c r="A121" s="196" t="s">
        <v>95</v>
      </c>
      <c r="B121" s="149" t="s">
        <v>3193</v>
      </c>
      <c r="C121" s="148" t="s">
        <v>3212</v>
      </c>
      <c r="D121" s="148"/>
      <c r="E121" s="148"/>
      <c r="F121" s="148"/>
      <c r="G121" s="193"/>
      <c r="H121" s="105" t="n">
        <f aca="false">'[2]$ зима'!j121-'[2]$ зима'!au121-'[2]$ зима'!at121-'[2]$ зима'!as121-'[2]$ зима'!ar121-'[2]$ зима'!aq121-'[2]$ зима'!ap121-'[2]$ зима'!an121-'[2]$ зима'!am121-'[2]$ зима'!al121-'[2]$ зима'!ak121-'[2]$ зима'!aj121-'[2]$ зима'!ah121-'[2]$ зима'!ag121-'[2]$ зима'!af121-'[2]$ зима'!ae121-'[2]$ зима'!ad121-'[2]$ зима'!ab121-'[2]$ зима'!aa121-'[2]$ зима'!z121-'[2]$ зима'!y121-'[2]$ зима'!x121-'[2]$ зима'!v121-'[2]$ зима'!u121-'[2]$ зима'!t121-'[2]$ зима'!s121-'[2]$ зима'!r121-'[2]$ зима'!p121-'[2]$ зима'!o121-'[2]$ зима'!n121-'[2]$ зима'!m121-'[2]$ зима'!l121+'[2]$ зима'!q121+'[2]$ зима'!w121+'[2]$ зима'!ac121+'[2]$ зима'!ai121+'[2]$ зима'!ao121+'[2]$ зима'!k121</f>
        <v>0</v>
      </c>
      <c r="I121" s="191" t="n">
        <f aca="false">'[2]$ зима'!ay121*1.1</f>
        <v>924</v>
      </c>
      <c r="J121" s="171" t="s">
        <v>1062</v>
      </c>
    </row>
    <row r="122" customFormat="false" ht="15" hidden="false" customHeight="false" outlineLevel="0" collapsed="false">
      <c r="A122" s="196" t="s">
        <v>95</v>
      </c>
      <c r="B122" s="149" t="s">
        <v>555</v>
      </c>
      <c r="C122" s="148" t="s">
        <v>3140</v>
      </c>
      <c r="D122" s="148"/>
      <c r="E122" s="192"/>
      <c r="F122" s="192"/>
      <c r="G122" s="193"/>
      <c r="H122" s="105" t="n">
        <f aca="false">'[2]$ зима'!j122-'[2]$ зима'!au122-'[2]$ зима'!at122-'[2]$ зима'!as122-'[2]$ зима'!ar122-'[2]$ зима'!aq122-'[2]$ зима'!ap122-'[2]$ зима'!an122-'[2]$ зима'!am122-'[2]$ зима'!al122-'[2]$ зима'!ak122-'[2]$ зима'!aj122-'[2]$ зима'!ah122-'[2]$ зима'!ag122-'[2]$ зима'!af122-'[2]$ зима'!ae122-'[2]$ зима'!ad122-'[2]$ зима'!ab122-'[2]$ зима'!aa122-'[2]$ зима'!z122-'[2]$ зима'!y122-'[2]$ зима'!x122-'[2]$ зима'!v122-'[2]$ зима'!u122-'[2]$ зима'!t122-'[2]$ зима'!s122-'[2]$ зима'!r122-'[2]$ зима'!p122-'[2]$ зима'!o122-'[2]$ зима'!n122-'[2]$ зима'!m122-'[2]$ зима'!l122+'[2]$ зима'!q122+'[2]$ зима'!w122+'[2]$ зима'!ac122+'[2]$ зима'!ai122+'[2]$ зима'!ao122+'[2]$ зима'!k122</f>
        <v>2</v>
      </c>
      <c r="I122" s="191" t="n">
        <f aca="false">'[2]$ зима'!ay122*1.1</f>
        <v>985.6</v>
      </c>
      <c r="J122" s="171" t="n">
        <v>2014</v>
      </c>
    </row>
    <row r="123" customFormat="false" ht="15" hidden="true" customHeight="false" outlineLevel="0" collapsed="false">
      <c r="A123" s="196" t="s">
        <v>95</v>
      </c>
      <c r="B123" s="149" t="s">
        <v>646</v>
      </c>
      <c r="C123" s="148" t="s">
        <v>3213</v>
      </c>
      <c r="D123" s="148"/>
      <c r="E123" s="148"/>
      <c r="F123" s="148"/>
      <c r="G123" s="193"/>
      <c r="H123" s="105" t="n">
        <f aca="false">'[2]$ зима'!j123-'[2]$ зима'!au123-'[2]$ зима'!at123-'[2]$ зима'!as123-'[2]$ зима'!ar123-'[2]$ зима'!aq123-'[2]$ зима'!ap123-'[2]$ зима'!an123-'[2]$ зима'!am123-'[2]$ зима'!al123-'[2]$ зима'!ak123-'[2]$ зима'!aj123-'[2]$ зима'!ah123-'[2]$ зима'!ag123-'[2]$ зима'!af123-'[2]$ зима'!ae123-'[2]$ зима'!ad123-'[2]$ зима'!ab123-'[2]$ зима'!aa123-'[2]$ зима'!z123-'[2]$ зима'!y123-'[2]$ зима'!x123-'[2]$ зима'!v123-'[2]$ зима'!u123-'[2]$ зима'!t123-'[2]$ зима'!s123-'[2]$ зима'!r123-'[2]$ зима'!p123-'[2]$ зима'!o123-'[2]$ зима'!n123-'[2]$ зима'!m123-'[2]$ зима'!l123+'[2]$ зима'!q123+'[2]$ зима'!w123+'[2]$ зима'!ac123+'[2]$ зима'!ai123+'[2]$ зима'!ao123+'[2]$ зима'!k123</f>
        <v>0</v>
      </c>
      <c r="I123" s="191" t="n">
        <f aca="false">'[2]$ зима'!ay123*1.1</f>
        <v>924</v>
      </c>
    </row>
    <row r="124" customFormat="false" ht="15" hidden="true" customHeight="false" outlineLevel="0" collapsed="false">
      <c r="A124" s="196" t="s">
        <v>95</v>
      </c>
      <c r="B124" s="149" t="s">
        <v>741</v>
      </c>
      <c r="C124" s="148" t="s">
        <v>3214</v>
      </c>
      <c r="D124" s="148"/>
      <c r="E124" s="148"/>
      <c r="F124" s="148"/>
      <c r="G124" s="193"/>
      <c r="H124" s="105" t="n">
        <f aca="false">'[2]$ зима'!j124-'[2]$ зима'!au124-'[2]$ зима'!at124-'[2]$ зима'!as124-'[2]$ зима'!ar124-'[2]$ зима'!aq124-'[2]$ зима'!ap124-'[2]$ зима'!an124-'[2]$ зима'!am124-'[2]$ зима'!al124-'[2]$ зима'!ak124-'[2]$ зима'!aj124-'[2]$ зима'!ah124-'[2]$ зима'!ag124-'[2]$ зима'!af124-'[2]$ зима'!ae124-'[2]$ зима'!ad124-'[2]$ зима'!ab124-'[2]$ зима'!aa124-'[2]$ зима'!z124-'[2]$ зима'!y124-'[2]$ зима'!x124-'[2]$ зима'!v124-'[2]$ зима'!u124-'[2]$ зима'!t124-'[2]$ зима'!s124-'[2]$ зима'!r124-'[2]$ зима'!p124-'[2]$ зима'!o124-'[2]$ зима'!n124-'[2]$ зима'!m124-'[2]$ зима'!l124+'[2]$ зима'!q124+'[2]$ зима'!w124+'[2]$ зима'!ac124+'[2]$ зима'!ai124+'[2]$ зима'!ao124+'[2]$ зима'!k124</f>
        <v>0</v>
      </c>
      <c r="I124" s="191" t="n">
        <f aca="false">'[2]$ зима'!ay124*1.1</f>
        <v>1386</v>
      </c>
      <c r="J124" s="171" t="s">
        <v>1240</v>
      </c>
    </row>
    <row r="125" customFormat="false" ht="15" hidden="true" customHeight="false" outlineLevel="0" collapsed="false">
      <c r="A125" s="196" t="s">
        <v>95</v>
      </c>
      <c r="B125" s="149" t="s">
        <v>604</v>
      </c>
      <c r="C125" s="148" t="s">
        <v>3152</v>
      </c>
      <c r="D125" s="148"/>
      <c r="E125" s="148"/>
      <c r="F125" s="148"/>
      <c r="G125" s="193"/>
      <c r="H125" s="105" t="n">
        <f aca="false">'[2]$ зима'!j125-'[2]$ зима'!au125-'[2]$ зима'!at125-'[2]$ зима'!as125-'[2]$ зима'!ar125-'[2]$ зима'!aq125-'[2]$ зима'!ap125-'[2]$ зима'!an125-'[2]$ зима'!am125-'[2]$ зима'!al125-'[2]$ зима'!ak125-'[2]$ зима'!aj125-'[2]$ зима'!ah125-'[2]$ зима'!ag125-'[2]$ зима'!af125-'[2]$ зима'!ae125-'[2]$ зима'!ad125-'[2]$ зима'!ab125-'[2]$ зима'!aa125-'[2]$ зима'!z125-'[2]$ зима'!y125-'[2]$ зима'!x125-'[2]$ зима'!v125-'[2]$ зима'!u125-'[2]$ зима'!t125-'[2]$ зима'!s125-'[2]$ зима'!r125-'[2]$ зима'!p125-'[2]$ зима'!o125-'[2]$ зима'!n125-'[2]$ зима'!m125-'[2]$ зима'!l125+'[2]$ зима'!q125+'[2]$ зима'!w125+'[2]$ зима'!ac125+'[2]$ зима'!ai125+'[2]$ зима'!ao125+'[2]$ зима'!k125</f>
        <v>0</v>
      </c>
      <c r="I125" s="191" t="n">
        <f aca="false">'[2]$ зима'!ay125*1.1</f>
        <v>1078</v>
      </c>
    </row>
    <row r="126" customFormat="false" ht="15" hidden="true" customHeight="false" outlineLevel="0" collapsed="false">
      <c r="A126" s="196" t="s">
        <v>95</v>
      </c>
      <c r="B126" s="149" t="s">
        <v>948</v>
      </c>
      <c r="C126" s="148" t="s">
        <v>3215</v>
      </c>
      <c r="D126" s="148"/>
      <c r="E126" s="148"/>
      <c r="F126" s="148"/>
      <c r="G126" s="193"/>
      <c r="H126" s="105" t="n">
        <f aca="false">'[2]$ зима'!j126-'[2]$ зима'!au126-'[2]$ зима'!at126-'[2]$ зима'!as126-'[2]$ зима'!ar126-'[2]$ зима'!aq126-'[2]$ зима'!ap126-'[2]$ зима'!an126-'[2]$ зима'!am126-'[2]$ зима'!al126-'[2]$ зима'!ak126-'[2]$ зима'!aj126-'[2]$ зима'!ah126-'[2]$ зима'!ag126-'[2]$ зима'!af126-'[2]$ зима'!ae126-'[2]$ зима'!ad126-'[2]$ зима'!ab126-'[2]$ зима'!aa126-'[2]$ зима'!z126-'[2]$ зима'!y126-'[2]$ зима'!x126-'[2]$ зима'!v126-'[2]$ зима'!u126-'[2]$ зима'!t126-'[2]$ зима'!s126-'[2]$ зима'!r126-'[2]$ зима'!p126-'[2]$ зима'!o126-'[2]$ зима'!n126-'[2]$ зима'!m126-'[2]$ зима'!l126+'[2]$ зима'!q126+'[2]$ зима'!w126+'[2]$ зима'!ac126+'[2]$ зима'!ai126+'[2]$ зима'!ao126+'[2]$ зима'!k126</f>
        <v>0</v>
      </c>
      <c r="I126" s="191" t="n">
        <f aca="false">'[2]$ зима'!ay126*1.1</f>
        <v>1139.6</v>
      </c>
    </row>
    <row r="127" customFormat="false" ht="15" hidden="false" customHeight="false" outlineLevel="0" collapsed="false">
      <c r="A127" s="196" t="s">
        <v>95</v>
      </c>
      <c r="B127" s="149" t="s">
        <v>606</v>
      </c>
      <c r="C127" s="148" t="s">
        <v>3125</v>
      </c>
      <c r="D127" s="148"/>
      <c r="E127" s="192" t="n">
        <v>88</v>
      </c>
      <c r="F127" s="192" t="s">
        <v>3216</v>
      </c>
      <c r="G127" s="193" t="s">
        <v>609</v>
      </c>
      <c r="H127" s="105" t="n">
        <f aca="false">'[2]$ зима'!j127-'[2]$ зима'!au127-'[2]$ зима'!at127-'[2]$ зима'!as127-'[2]$ зима'!ar127-'[2]$ зима'!aq127-'[2]$ зима'!ap127-'[2]$ зима'!an127-'[2]$ зима'!am127-'[2]$ зима'!al127-'[2]$ зима'!ak127-'[2]$ зима'!aj127-'[2]$ зима'!ah127-'[2]$ зима'!ag127-'[2]$ зима'!af127-'[2]$ зима'!ae127-'[2]$ зима'!ad127-'[2]$ зима'!ab127-'[2]$ зима'!aa127-'[2]$ зима'!z127-'[2]$ зима'!y127-'[2]$ зима'!x127-'[2]$ зима'!v127-'[2]$ зима'!u127-'[2]$ зима'!t127-'[2]$ зима'!s127-'[2]$ зима'!r127-'[2]$ зима'!p127-'[2]$ зима'!o127-'[2]$ зима'!n127-'[2]$ зима'!m127-'[2]$ зима'!l127+'[2]$ зима'!q127+'[2]$ зима'!w127+'[2]$ зима'!ac127+'[2]$ зима'!ai127+'[2]$ зима'!ao127+'[2]$ зима'!k127</f>
        <v>8</v>
      </c>
      <c r="I127" s="191" t="n">
        <f aca="false">'[2]$ зима'!ay127*1.1</f>
        <v>1232</v>
      </c>
      <c r="J127" s="171" t="n">
        <v>2018</v>
      </c>
    </row>
    <row r="128" customFormat="false" ht="15" hidden="false" customHeight="false" outlineLevel="0" collapsed="false">
      <c r="A128" s="196" t="s">
        <v>95</v>
      </c>
      <c r="B128" s="149" t="s">
        <v>606</v>
      </c>
      <c r="C128" s="148" t="s">
        <v>3156</v>
      </c>
      <c r="D128" s="148"/>
      <c r="E128" s="192" t="n">
        <v>88</v>
      </c>
      <c r="F128" s="192" t="s">
        <v>562</v>
      </c>
      <c r="G128" s="193" t="s">
        <v>609</v>
      </c>
      <c r="H128" s="105" t="n">
        <f aca="false">'[2]$ зима'!j128-'[2]$ зима'!au128-'[2]$ зима'!at128-'[2]$ зима'!as128-'[2]$ зима'!ar128-'[2]$ зима'!aq128-'[2]$ зима'!ap128-'[2]$ зима'!an128-'[2]$ зима'!am128-'[2]$ зима'!al128-'[2]$ зима'!ak128-'[2]$ зима'!aj128-'[2]$ зима'!ah128-'[2]$ зима'!ag128-'[2]$ зима'!af128-'[2]$ зима'!ae128-'[2]$ зима'!ad128-'[2]$ зима'!ab128-'[2]$ зима'!aa128-'[2]$ зима'!z128-'[2]$ зима'!y128-'[2]$ зима'!x128-'[2]$ зима'!v128-'[2]$ зима'!u128-'[2]$ зима'!t128-'[2]$ зима'!s128-'[2]$ зима'!r128-'[2]$ зима'!p128-'[2]$ зима'!o128-'[2]$ зима'!n128-'[2]$ зима'!m128-'[2]$ зима'!l128+'[2]$ зима'!q128+'[2]$ зима'!w128+'[2]$ зима'!ac128+'[2]$ зима'!ai128+'[2]$ зима'!ao128+'[2]$ зима'!k128</f>
        <v>8</v>
      </c>
      <c r="I128" s="191" t="n">
        <f aca="false">'[2]$ зима'!ay128*1.1</f>
        <v>1201.2</v>
      </c>
      <c r="J128" s="171" t="n">
        <v>2018</v>
      </c>
    </row>
    <row r="129" customFormat="false" ht="15" hidden="true" customHeight="false" outlineLevel="0" collapsed="false">
      <c r="A129" s="196" t="s">
        <v>95</v>
      </c>
      <c r="B129" s="149" t="s">
        <v>668</v>
      </c>
      <c r="C129" s="194" t="s">
        <v>3182</v>
      </c>
      <c r="D129" s="148"/>
      <c r="E129" s="148"/>
      <c r="F129" s="148"/>
      <c r="G129" s="193"/>
      <c r="H129" s="105" t="n">
        <f aca="false">'[2]$ зима'!j129-'[2]$ зима'!au129-'[2]$ зима'!at129-'[2]$ зима'!as129-'[2]$ зима'!ar129-'[2]$ зима'!aq129-'[2]$ зима'!ap129-'[2]$ зима'!an129-'[2]$ зима'!am129-'[2]$ зима'!al129-'[2]$ зима'!ak129-'[2]$ зима'!aj129-'[2]$ зима'!ah129-'[2]$ зима'!ag129-'[2]$ зима'!af129-'[2]$ зима'!ae129-'[2]$ зима'!ad129-'[2]$ зима'!ab129-'[2]$ зима'!aa129-'[2]$ зима'!z129-'[2]$ зима'!y129-'[2]$ зима'!x129-'[2]$ зима'!v129-'[2]$ зима'!u129-'[2]$ зима'!t129-'[2]$ зима'!s129-'[2]$ зима'!r129-'[2]$ зима'!p129-'[2]$ зима'!o129-'[2]$ зима'!n129-'[2]$ зима'!m129-'[2]$ зима'!l129+'[2]$ зима'!q129+'[2]$ зима'!w129+'[2]$ зима'!ac129+'[2]$ зима'!ai129+'[2]$ зима'!ao129+'[2]$ зима'!k129</f>
        <v>0</v>
      </c>
      <c r="I129" s="191" t="n">
        <f aca="false">'[2]$ зима'!ay129*1.1</f>
        <v>1170.4</v>
      </c>
    </row>
    <row r="130" customFormat="false" ht="15" hidden="true" customHeight="false" outlineLevel="0" collapsed="false">
      <c r="A130" s="196" t="s">
        <v>95</v>
      </c>
      <c r="B130" s="149" t="s">
        <v>577</v>
      </c>
      <c r="C130" s="148" t="s">
        <v>3217</v>
      </c>
      <c r="D130" s="148"/>
      <c r="E130" s="148" t="n">
        <v>88</v>
      </c>
      <c r="F130" s="148" t="s">
        <v>562</v>
      </c>
      <c r="G130" s="193" t="s">
        <v>563</v>
      </c>
      <c r="H130" s="105" t="n">
        <f aca="false">'[2]$ зима'!j130-'[2]$ зима'!au130-'[2]$ зима'!at130-'[2]$ зима'!as130-'[2]$ зима'!ar130-'[2]$ зима'!aq130-'[2]$ зима'!ap130-'[2]$ зима'!an130-'[2]$ зима'!am130-'[2]$ зима'!al130-'[2]$ зима'!ak130-'[2]$ зима'!aj130-'[2]$ зима'!ah130-'[2]$ зима'!ag130-'[2]$ зима'!af130-'[2]$ зима'!ae130-'[2]$ зима'!ad130-'[2]$ зима'!ab130-'[2]$ зима'!aa130-'[2]$ зима'!z130-'[2]$ зима'!y130-'[2]$ зима'!x130-'[2]$ зима'!v130-'[2]$ зима'!u130-'[2]$ зима'!t130-'[2]$ зима'!s130-'[2]$ зима'!r130-'[2]$ зима'!p130-'[2]$ зима'!o130-'[2]$ зима'!n130-'[2]$ зима'!m130-'[2]$ зима'!l130+'[2]$ зима'!q130+'[2]$ зима'!w130+'[2]$ зима'!ac130+'[2]$ зима'!ai130+'[2]$ зима'!ao130+'[2]$ зима'!k130</f>
        <v>0</v>
      </c>
      <c r="I130" s="191" t="n">
        <f aca="false">'[2]$ зима'!ay130*1.1</f>
        <v>1016.4</v>
      </c>
    </row>
    <row r="131" customFormat="false" ht="15" hidden="true" customHeight="false" outlineLevel="0" collapsed="false">
      <c r="A131" s="196" t="s">
        <v>95</v>
      </c>
      <c r="B131" s="149" t="s">
        <v>577</v>
      </c>
      <c r="C131" s="148" t="s">
        <v>3218</v>
      </c>
      <c r="D131" s="148"/>
      <c r="E131" s="148" t="n">
        <v>88</v>
      </c>
      <c r="F131" s="148" t="s">
        <v>562</v>
      </c>
      <c r="G131" s="193" t="s">
        <v>563</v>
      </c>
      <c r="H131" s="105" t="n">
        <f aca="false">'[2]$ зима'!j131-'[2]$ зима'!au131-'[2]$ зима'!at131-'[2]$ зима'!as131-'[2]$ зима'!ar131-'[2]$ зима'!aq131-'[2]$ зима'!ap131-'[2]$ зима'!an131-'[2]$ зима'!am131-'[2]$ зима'!al131-'[2]$ зима'!ak131-'[2]$ зима'!aj131-'[2]$ зима'!ah131-'[2]$ зима'!ag131-'[2]$ зима'!af131-'[2]$ зима'!ae131-'[2]$ зима'!ad131-'[2]$ зима'!ab131-'[2]$ зима'!aa131-'[2]$ зима'!z131-'[2]$ зима'!y131-'[2]$ зима'!x131-'[2]$ зима'!v131-'[2]$ зима'!u131-'[2]$ зима'!t131-'[2]$ зима'!s131-'[2]$ зима'!r131-'[2]$ зима'!p131-'[2]$ зима'!o131-'[2]$ зима'!n131-'[2]$ зима'!m131-'[2]$ зима'!l131+'[2]$ зима'!q131+'[2]$ зима'!w131+'[2]$ зима'!ac131+'[2]$ зима'!ai131+'[2]$ зима'!ao131+'[2]$ зима'!k131</f>
        <v>0</v>
      </c>
      <c r="I131" s="191" t="n">
        <f aca="false">'[2]$ зима'!ay131*1.1</f>
        <v>1016.4</v>
      </c>
    </row>
    <row r="132" customFormat="false" ht="15" hidden="false" customHeight="false" outlineLevel="0" collapsed="false">
      <c r="A132" s="196" t="s">
        <v>95</v>
      </c>
      <c r="B132" s="149" t="s">
        <v>1471</v>
      </c>
      <c r="C132" s="148" t="s">
        <v>3219</v>
      </c>
      <c r="D132" s="148"/>
      <c r="E132" s="192" t="n">
        <v>84</v>
      </c>
      <c r="F132" s="192" t="s">
        <v>3220</v>
      </c>
      <c r="G132" s="193" t="s">
        <v>609</v>
      </c>
      <c r="H132" s="105" t="n">
        <f aca="false">'[2]$ зима'!j132-'[2]$ зима'!au132-'[2]$ зима'!at132-'[2]$ зима'!as132-'[2]$ зима'!ar132-'[2]$ зима'!aq132-'[2]$ зима'!ap132-'[2]$ зима'!an132-'[2]$ зима'!am132-'[2]$ зима'!al132-'[2]$ зима'!ak132-'[2]$ зима'!aj132-'[2]$ зима'!ah132-'[2]$ зима'!ag132-'[2]$ зима'!af132-'[2]$ зима'!ae132-'[2]$ зима'!ad132-'[2]$ зима'!ab132-'[2]$ зима'!aa132-'[2]$ зима'!z132-'[2]$ зима'!y132-'[2]$ зима'!x132-'[2]$ зима'!v132-'[2]$ зима'!u132-'[2]$ зима'!t132-'[2]$ зима'!s132-'[2]$ зима'!r132-'[2]$ зима'!p132-'[2]$ зима'!o132-'[2]$ зима'!n132-'[2]$ зима'!m132-'[2]$ зима'!l132+'[2]$ зима'!q132+'[2]$ зима'!w132+'[2]$ зима'!ac132+'[2]$ зима'!ai132+'[2]$ зима'!ao132+'[2]$ зима'!k132</f>
        <v>8</v>
      </c>
      <c r="I132" s="191" t="n">
        <f aca="false">'[2]$ зима'!ay132*1.1</f>
        <v>1170.4</v>
      </c>
    </row>
    <row r="133" customFormat="false" ht="15" hidden="false" customHeight="false" outlineLevel="0" collapsed="false">
      <c r="A133" s="196" t="s">
        <v>95</v>
      </c>
      <c r="B133" s="149" t="s">
        <v>583</v>
      </c>
      <c r="C133" s="148" t="s">
        <v>3131</v>
      </c>
      <c r="D133" s="148"/>
      <c r="E133" s="192"/>
      <c r="F133" s="192"/>
      <c r="G133" s="193"/>
      <c r="H133" s="105" t="n">
        <f aca="false">'[2]$ зима'!j133-'[2]$ зима'!au133-'[2]$ зима'!at133-'[2]$ зима'!as133-'[2]$ зима'!ar133-'[2]$ зима'!aq133-'[2]$ зима'!ap133-'[2]$ зима'!an133-'[2]$ зима'!am133-'[2]$ зима'!al133-'[2]$ зима'!ak133-'[2]$ зима'!aj133-'[2]$ зима'!ah133-'[2]$ зима'!ag133-'[2]$ зима'!af133-'[2]$ зима'!ae133-'[2]$ зима'!ad133-'[2]$ зима'!ab133-'[2]$ зима'!aa133-'[2]$ зима'!z133-'[2]$ зима'!y133-'[2]$ зима'!x133-'[2]$ зима'!v133-'[2]$ зима'!u133-'[2]$ зима'!t133-'[2]$ зима'!s133-'[2]$ зима'!r133-'[2]$ зима'!p133-'[2]$ зима'!o133-'[2]$ зима'!n133-'[2]$ зима'!m133-'[2]$ зима'!l133+'[2]$ зима'!q133+'[2]$ зима'!w133+'[2]$ зима'!ac133+'[2]$ зима'!ai133+'[2]$ зима'!ao133+'[2]$ зима'!k133</f>
        <v>12</v>
      </c>
      <c r="I133" s="191" t="n">
        <f aca="false">'[2]$ зима'!ay133*1.1</f>
        <v>1108.8</v>
      </c>
    </row>
    <row r="134" customFormat="false" ht="15" hidden="true" customHeight="false" outlineLevel="0" collapsed="false">
      <c r="A134" s="196" t="s">
        <v>95</v>
      </c>
      <c r="B134" s="149" t="s">
        <v>593</v>
      </c>
      <c r="C134" s="148" t="s">
        <v>3168</v>
      </c>
      <c r="D134" s="148"/>
      <c r="E134" s="148"/>
      <c r="F134" s="148"/>
      <c r="G134" s="193"/>
      <c r="H134" s="105" t="n">
        <f aca="false">'[2]$ зима'!j134-'[2]$ зима'!au134-'[2]$ зима'!at134-'[2]$ зима'!as134-'[2]$ зима'!ar134-'[2]$ зима'!aq134-'[2]$ зима'!ap134-'[2]$ зима'!an134-'[2]$ зима'!am134-'[2]$ зима'!al134-'[2]$ зима'!ak134-'[2]$ зима'!aj134-'[2]$ зима'!ah134-'[2]$ зима'!ag134-'[2]$ зима'!af134-'[2]$ зима'!ae134-'[2]$ зима'!ad134-'[2]$ зима'!ab134-'[2]$ зима'!aa134-'[2]$ зима'!z134-'[2]$ зима'!y134-'[2]$ зима'!x134-'[2]$ зима'!v134-'[2]$ зима'!u134-'[2]$ зима'!t134-'[2]$ зима'!s134-'[2]$ зима'!r134-'[2]$ зима'!p134-'[2]$ зима'!o134-'[2]$ зима'!n134-'[2]$ зима'!m134-'[2]$ зима'!l134+'[2]$ зима'!q134+'[2]$ зима'!w134+'[2]$ зима'!ac134+'[2]$ зима'!ai134+'[2]$ зима'!ao134+'[2]$ зима'!k134</f>
        <v>0</v>
      </c>
      <c r="I134" s="191" t="n">
        <f aca="false">'[2]$ зима'!ay134*1.1</f>
        <v>1232</v>
      </c>
    </row>
    <row r="135" customFormat="false" ht="15" hidden="false" customHeight="false" outlineLevel="0" collapsed="false">
      <c r="A135" s="196" t="s">
        <v>95</v>
      </c>
      <c r="B135" s="149" t="s">
        <v>593</v>
      </c>
      <c r="C135" s="148" t="s">
        <v>3188</v>
      </c>
      <c r="D135" s="148"/>
      <c r="E135" s="192"/>
      <c r="F135" s="192"/>
      <c r="G135" s="193" t="s">
        <v>722</v>
      </c>
      <c r="H135" s="105" t="n">
        <f aca="false">'[2]$ зима'!j135-'[2]$ зима'!au135-'[2]$ зима'!at135-'[2]$ зима'!as135-'[2]$ зима'!ar135-'[2]$ зима'!aq135-'[2]$ зима'!ap135-'[2]$ зима'!an135-'[2]$ зима'!am135-'[2]$ зима'!al135-'[2]$ зима'!ak135-'[2]$ зима'!aj135-'[2]$ зима'!ah135-'[2]$ зима'!ag135-'[2]$ зима'!af135-'[2]$ зима'!ae135-'[2]$ зима'!ad135-'[2]$ зима'!ab135-'[2]$ зима'!aa135-'[2]$ зима'!z135-'[2]$ зима'!y135-'[2]$ зима'!x135-'[2]$ зима'!v135-'[2]$ зима'!u135-'[2]$ зима'!t135-'[2]$ зима'!s135-'[2]$ зима'!r135-'[2]$ зима'!p135-'[2]$ зима'!o135-'[2]$ зима'!n135-'[2]$ зима'!m135-'[2]$ зима'!l135+'[2]$ зима'!q135+'[2]$ зима'!w135+'[2]$ зима'!ac135+'[2]$ зима'!ai135+'[2]$ зима'!ao135+'[2]$ зима'!k135</f>
        <v>4</v>
      </c>
      <c r="I135" s="191" t="n">
        <f aca="false">'[2]$ зима'!ay135*1.1</f>
        <v>1540</v>
      </c>
    </row>
    <row r="136" customFormat="false" ht="15" hidden="true" customHeight="false" outlineLevel="0" collapsed="false">
      <c r="A136" s="196" t="s">
        <v>95</v>
      </c>
      <c r="B136" s="149" t="s">
        <v>586</v>
      </c>
      <c r="C136" s="148" t="s">
        <v>3221</v>
      </c>
      <c r="D136" s="148"/>
      <c r="E136" s="148" t="n">
        <v>88</v>
      </c>
      <c r="F136" s="148" t="s">
        <v>3216</v>
      </c>
      <c r="G136" s="193"/>
      <c r="H136" s="105" t="n">
        <f aca="false">'[2]$ зима'!j136-'[2]$ зима'!au136-'[2]$ зима'!at136-'[2]$ зима'!as136-'[2]$ зима'!ar136-'[2]$ зима'!aq136-'[2]$ зима'!ap136-'[2]$ зима'!an136-'[2]$ зима'!am136-'[2]$ зима'!al136-'[2]$ зима'!ak136-'[2]$ зима'!aj136-'[2]$ зима'!ah136-'[2]$ зима'!ag136-'[2]$ зима'!af136-'[2]$ зима'!ae136-'[2]$ зима'!ad136-'[2]$ зима'!ab136-'[2]$ зима'!aa136-'[2]$ зима'!z136-'[2]$ зима'!y136-'[2]$ зима'!x136-'[2]$ зима'!v136-'[2]$ зима'!u136-'[2]$ зима'!t136-'[2]$ зима'!s136-'[2]$ зима'!r136-'[2]$ зима'!p136-'[2]$ зима'!o136-'[2]$ зима'!n136-'[2]$ зима'!m136-'[2]$ зима'!l136+'[2]$ зима'!q136+'[2]$ зима'!w136+'[2]$ зима'!ac136+'[2]$ зима'!ai136+'[2]$ зима'!ao136+'[2]$ зима'!k136</f>
        <v>0</v>
      </c>
      <c r="I136" s="191" t="n">
        <f aca="false">'[2]$ зима'!ay136*1.1</f>
        <v>770</v>
      </c>
    </row>
    <row r="137" customFormat="false" ht="15" hidden="false" customHeight="false" outlineLevel="0" collapsed="false">
      <c r="A137" s="196" t="s">
        <v>95</v>
      </c>
      <c r="B137" s="149" t="s">
        <v>3142</v>
      </c>
      <c r="C137" s="148" t="s">
        <v>3222</v>
      </c>
      <c r="D137" s="148" t="s">
        <v>3127</v>
      </c>
      <c r="E137" s="192"/>
      <c r="F137" s="192"/>
      <c r="G137" s="193"/>
      <c r="H137" s="105" t="n">
        <f aca="false">'[2]$ зима'!j137-'[2]$ зима'!au137-'[2]$ зима'!at137-'[2]$ зима'!as137-'[2]$ зима'!ar137-'[2]$ зима'!aq137-'[2]$ зима'!ap137-'[2]$ зима'!an137-'[2]$ зима'!am137-'[2]$ зима'!al137-'[2]$ зима'!ak137-'[2]$ зима'!aj137-'[2]$ зима'!ah137-'[2]$ зима'!ag137-'[2]$ зима'!af137-'[2]$ зима'!ae137-'[2]$ зима'!ad137-'[2]$ зима'!ab137-'[2]$ зима'!aa137-'[2]$ зима'!z137-'[2]$ зима'!y137-'[2]$ зима'!x137-'[2]$ зима'!v137-'[2]$ зима'!u137-'[2]$ зима'!t137-'[2]$ зима'!s137-'[2]$ зима'!r137-'[2]$ зима'!p137-'[2]$ зима'!o137-'[2]$ зима'!n137-'[2]$ зима'!m137-'[2]$ зима'!l137+'[2]$ зима'!q137+'[2]$ зима'!w137+'[2]$ зима'!ac137+'[2]$ зима'!ai137+'[2]$ зима'!ao137+'[2]$ зима'!k137</f>
        <v>2</v>
      </c>
      <c r="I137" s="191" t="n">
        <f aca="false">'[2]$ зима'!ay137*1.1</f>
        <v>1016.4</v>
      </c>
      <c r="J137" s="171" t="n">
        <v>2014</v>
      </c>
    </row>
    <row r="138" customFormat="false" ht="15" hidden="true" customHeight="false" outlineLevel="0" collapsed="false">
      <c r="A138" s="196" t="s">
        <v>95</v>
      </c>
      <c r="B138" s="149" t="s">
        <v>589</v>
      </c>
      <c r="C138" s="148" t="s">
        <v>3223</v>
      </c>
      <c r="D138" s="148"/>
      <c r="E138" s="148"/>
      <c r="F138" s="148"/>
      <c r="G138" s="193" t="s">
        <v>626</v>
      </c>
      <c r="H138" s="105" t="n">
        <f aca="false">'[2]$ зима'!j138-'[2]$ зима'!au138-'[2]$ зима'!at138-'[2]$ зима'!as138-'[2]$ зима'!ar138-'[2]$ зима'!aq138-'[2]$ зима'!ap138-'[2]$ зима'!an138-'[2]$ зима'!am138-'[2]$ зима'!al138-'[2]$ зима'!ak138-'[2]$ зима'!aj138-'[2]$ зима'!ah138-'[2]$ зима'!ag138-'[2]$ зима'!af138-'[2]$ зима'!ae138-'[2]$ зима'!ad138-'[2]$ зима'!ab138-'[2]$ зима'!aa138-'[2]$ зима'!z138-'[2]$ зима'!y138-'[2]$ зима'!x138-'[2]$ зима'!v138-'[2]$ зима'!u138-'[2]$ зима'!t138-'[2]$ зима'!s138-'[2]$ зима'!r138-'[2]$ зима'!p138-'[2]$ зима'!o138-'[2]$ зима'!n138-'[2]$ зима'!m138-'[2]$ зима'!l138+'[2]$ зима'!q138+'[2]$ зима'!w138+'[2]$ зима'!ac138+'[2]$ зима'!ai138+'[2]$ зима'!ao138+'[2]$ зима'!k138</f>
        <v>0</v>
      </c>
      <c r="I138" s="191" t="n">
        <f aca="false">'[2]$ зима'!ay138*1.1</f>
        <v>1151.81</v>
      </c>
      <c r="J138" s="171" t="n">
        <v>2013</v>
      </c>
    </row>
    <row r="139" customFormat="false" ht="15" hidden="false" customHeight="false" outlineLevel="0" collapsed="false">
      <c r="A139" s="196" t="s">
        <v>95</v>
      </c>
      <c r="B139" s="149" t="s">
        <v>589</v>
      </c>
      <c r="C139" s="148" t="s">
        <v>3224</v>
      </c>
      <c r="D139" s="148"/>
      <c r="E139" s="192" t="n">
        <v>84</v>
      </c>
      <c r="F139" s="192" t="s">
        <v>562</v>
      </c>
      <c r="G139" s="193" t="s">
        <v>626</v>
      </c>
      <c r="H139" s="105" t="n">
        <f aca="false">'[2]$ зима'!j139-'[2]$ зима'!au139-'[2]$ зима'!at139-'[2]$ зима'!as139-'[2]$ зима'!ar139-'[2]$ зима'!aq139-'[2]$ зима'!ap139-'[2]$ зима'!an139-'[2]$ зима'!am139-'[2]$ зима'!al139-'[2]$ зима'!ak139-'[2]$ зима'!aj139-'[2]$ зима'!ah139-'[2]$ зима'!ag139-'[2]$ зима'!af139-'[2]$ зима'!ae139-'[2]$ зима'!ad139-'[2]$ зима'!ab139-'[2]$ зима'!aa139-'[2]$ зима'!z139-'[2]$ зима'!y139-'[2]$ зима'!x139-'[2]$ зима'!v139-'[2]$ зима'!u139-'[2]$ зима'!t139-'[2]$ зима'!s139-'[2]$ зима'!r139-'[2]$ зима'!p139-'[2]$ зима'!o139-'[2]$ зима'!n139-'[2]$ зима'!m139-'[2]$ зима'!l139+'[2]$ зима'!q139+'[2]$ зима'!w139+'[2]$ зима'!ac139+'[2]$ зима'!ai139+'[2]$ зима'!ao139+'[2]$ зима'!k139</f>
        <v>2</v>
      </c>
      <c r="I139" s="191" t="n">
        <f aca="false">'[2]$ зима'!ay139*1.1</f>
        <v>1280.84</v>
      </c>
    </row>
    <row r="140" customFormat="false" ht="15" hidden="false" customHeight="false" outlineLevel="0" collapsed="false">
      <c r="A140" s="196" t="s">
        <v>95</v>
      </c>
      <c r="B140" s="149" t="s">
        <v>589</v>
      </c>
      <c r="C140" s="148" t="s">
        <v>3225</v>
      </c>
      <c r="D140" s="148"/>
      <c r="E140" s="192" t="n">
        <v>84</v>
      </c>
      <c r="F140" s="192" t="s">
        <v>3207</v>
      </c>
      <c r="G140" s="193" t="s">
        <v>626</v>
      </c>
      <c r="H140" s="105" t="n">
        <f aca="false">'[2]$ зима'!j140-'[2]$ зима'!au140-'[2]$ зима'!at140-'[2]$ зима'!as140-'[2]$ зима'!ar140-'[2]$ зима'!aq140-'[2]$ зима'!ap140-'[2]$ зима'!an140-'[2]$ зима'!am140-'[2]$ зима'!al140-'[2]$ зима'!ak140-'[2]$ зима'!aj140-'[2]$ зима'!ah140-'[2]$ зима'!ag140-'[2]$ зима'!af140-'[2]$ зима'!ae140-'[2]$ зима'!ad140-'[2]$ зима'!ab140-'[2]$ зима'!aa140-'[2]$ зима'!z140-'[2]$ зима'!y140-'[2]$ зима'!x140-'[2]$ зима'!v140-'[2]$ зима'!u140-'[2]$ зима'!t140-'[2]$ зима'!s140-'[2]$ зима'!r140-'[2]$ зима'!p140-'[2]$ зима'!o140-'[2]$ зима'!n140-'[2]$ зима'!m140-'[2]$ зима'!l140+'[2]$ зима'!q140+'[2]$ зима'!w140+'[2]$ зима'!ac140+'[2]$ зима'!ai140+'[2]$ зима'!ao140+'[2]$ зима'!k140</f>
        <v>4</v>
      </c>
      <c r="I140" s="191" t="n">
        <f aca="false">'[2]$ зима'!ay140*1.1</f>
        <v>1374.56</v>
      </c>
      <c r="J140" s="171" t="n">
        <v>2018</v>
      </c>
    </row>
    <row r="141" customFormat="false" ht="15" hidden="true" customHeight="false" outlineLevel="0" collapsed="false">
      <c r="A141" s="196" t="s">
        <v>95</v>
      </c>
      <c r="B141" s="149" t="s">
        <v>1028</v>
      </c>
      <c r="C141" s="148" t="s">
        <v>3177</v>
      </c>
      <c r="D141" s="148"/>
      <c r="E141" s="148"/>
      <c r="F141" s="148"/>
      <c r="G141" s="193"/>
      <c r="H141" s="105" t="n">
        <f aca="false">'[2]$ зима'!j141-'[2]$ зима'!au141-'[2]$ зима'!at141-'[2]$ зима'!as141-'[2]$ зима'!ar141-'[2]$ зима'!aq141-'[2]$ зима'!ap141-'[2]$ зима'!an141-'[2]$ зима'!am141-'[2]$ зима'!al141-'[2]$ зима'!ak141-'[2]$ зима'!aj141-'[2]$ зима'!ah141-'[2]$ зима'!ag141-'[2]$ зима'!af141-'[2]$ зима'!ae141-'[2]$ зима'!ad141-'[2]$ зима'!ab141-'[2]$ зима'!aa141-'[2]$ зима'!z141-'[2]$ зима'!y141-'[2]$ зима'!x141-'[2]$ зима'!v141-'[2]$ зима'!u141-'[2]$ зима'!t141-'[2]$ зима'!s141-'[2]$ зима'!r141-'[2]$ зима'!p141-'[2]$ зима'!o141-'[2]$ зима'!n141-'[2]$ зима'!m141-'[2]$ зима'!l141+'[2]$ зима'!q141+'[2]$ зима'!w141+'[2]$ зима'!ac141+'[2]$ зима'!ai141+'[2]$ зима'!ao141+'[2]$ зима'!k141</f>
        <v>0</v>
      </c>
      <c r="I141" s="191" t="n">
        <f aca="false">'[2]$ зима'!ay141*1.1</f>
        <v>1078</v>
      </c>
    </row>
    <row r="142" customFormat="false" ht="15" hidden="false" customHeight="false" outlineLevel="0" collapsed="false">
      <c r="A142" s="196" t="s">
        <v>101</v>
      </c>
      <c r="B142" s="149" t="s">
        <v>991</v>
      </c>
      <c r="C142" s="148" t="s">
        <v>3189</v>
      </c>
      <c r="D142" s="148"/>
      <c r="E142" s="192"/>
      <c r="F142" s="192"/>
      <c r="G142" s="193"/>
      <c r="H142" s="105" t="n">
        <f aca="false">'[2]$ зима'!j142-'[2]$ зима'!au142-'[2]$ зима'!at142-'[2]$ зима'!as142-'[2]$ зима'!ar142-'[2]$ зима'!aq142-'[2]$ зима'!ap142-'[2]$ зима'!an142-'[2]$ зима'!am142-'[2]$ зима'!al142-'[2]$ зима'!ak142-'[2]$ зима'!aj142-'[2]$ зима'!ah142-'[2]$ зима'!ag142-'[2]$ зима'!af142-'[2]$ зима'!ae142-'[2]$ зима'!ad142-'[2]$ зима'!ab142-'[2]$ зима'!aa142-'[2]$ зима'!z142-'[2]$ зима'!y142-'[2]$ зима'!x142-'[2]$ зима'!v142-'[2]$ зима'!u142-'[2]$ зима'!t142-'[2]$ зима'!s142-'[2]$ зима'!r142-'[2]$ зима'!p142-'[2]$ зима'!o142-'[2]$ зима'!n142-'[2]$ зима'!m142-'[2]$ зима'!l142+'[2]$ зима'!q142+'[2]$ зима'!w142+'[2]$ зима'!ac142+'[2]$ зима'!ai142+'[2]$ зима'!ao142+'[2]$ зима'!k142</f>
        <v>12</v>
      </c>
      <c r="I142" s="191" t="n">
        <f aca="false">'[2]$ зима'!ay142*1.1</f>
        <v>831.6</v>
      </c>
    </row>
    <row r="143" customFormat="false" ht="15" hidden="false" customHeight="false" outlineLevel="0" collapsed="false">
      <c r="A143" s="196" t="s">
        <v>101</v>
      </c>
      <c r="B143" s="149" t="s">
        <v>991</v>
      </c>
      <c r="C143" s="148" t="s">
        <v>3190</v>
      </c>
      <c r="D143" s="148"/>
      <c r="E143" s="192"/>
      <c r="F143" s="192"/>
      <c r="G143" s="193"/>
      <c r="H143" s="105" t="n">
        <f aca="false">'[2]$ зима'!j143-'[2]$ зима'!au143-'[2]$ зима'!at143-'[2]$ зима'!as143-'[2]$ зима'!ar143-'[2]$ зима'!aq143-'[2]$ зима'!ap143-'[2]$ зима'!an143-'[2]$ зима'!am143-'[2]$ зима'!al143-'[2]$ зима'!ak143-'[2]$ зима'!aj143-'[2]$ зима'!ah143-'[2]$ зима'!ag143-'[2]$ зима'!af143-'[2]$ зима'!ae143-'[2]$ зима'!ad143-'[2]$ зима'!ab143-'[2]$ зима'!aa143-'[2]$ зима'!z143-'[2]$ зима'!y143-'[2]$ зима'!x143-'[2]$ зима'!v143-'[2]$ зима'!u143-'[2]$ зима'!t143-'[2]$ зима'!s143-'[2]$ зима'!r143-'[2]$ зима'!p143-'[2]$ зима'!o143-'[2]$ зима'!n143-'[2]$ зима'!m143-'[2]$ зима'!l143+'[2]$ зима'!q143+'[2]$ зима'!w143+'[2]$ зима'!ac143+'[2]$ зима'!ai143+'[2]$ зима'!ao143+'[2]$ зима'!k143</f>
        <v>8</v>
      </c>
      <c r="I143" s="191" t="n">
        <f aca="false">'[2]$ зима'!ay143*1.1</f>
        <v>862.4</v>
      </c>
    </row>
    <row r="144" customFormat="false" ht="15" hidden="true" customHeight="false" outlineLevel="0" collapsed="false">
      <c r="A144" s="196" t="s">
        <v>101</v>
      </c>
      <c r="B144" s="149" t="s">
        <v>568</v>
      </c>
      <c r="C144" s="148" t="s">
        <v>3121</v>
      </c>
      <c r="D144" s="148"/>
      <c r="E144" s="148"/>
      <c r="F144" s="148"/>
      <c r="G144" s="193"/>
      <c r="H144" s="105" t="n">
        <f aca="false">'[2]$ зима'!j144-'[2]$ зима'!au144-'[2]$ зима'!at144-'[2]$ зима'!as144-'[2]$ зима'!ar144-'[2]$ зима'!aq144-'[2]$ зима'!ap144-'[2]$ зима'!an144-'[2]$ зима'!am144-'[2]$ зима'!al144-'[2]$ зима'!ak144-'[2]$ зима'!aj144-'[2]$ зима'!ah144-'[2]$ зима'!ag144-'[2]$ зима'!af144-'[2]$ зима'!ae144-'[2]$ зима'!ad144-'[2]$ зима'!ab144-'[2]$ зима'!aa144-'[2]$ зима'!z144-'[2]$ зима'!y144-'[2]$ зима'!x144-'[2]$ зима'!v144-'[2]$ зима'!u144-'[2]$ зима'!t144-'[2]$ зима'!s144-'[2]$ зима'!r144-'[2]$ зима'!p144-'[2]$ зима'!o144-'[2]$ зима'!n144-'[2]$ зима'!m144-'[2]$ зима'!l144+'[2]$ зима'!q144+'[2]$ зима'!w144+'[2]$ зима'!ac144+'[2]$ зима'!ai144+'[2]$ зима'!ao144+'[2]$ зима'!k144</f>
        <v>0</v>
      </c>
      <c r="I144" s="191" t="n">
        <f aca="false">'[2]$ зима'!ay144*1.1</f>
        <v>954.8</v>
      </c>
      <c r="J144" s="171" t="n">
        <v>2012</v>
      </c>
    </row>
    <row r="145" customFormat="false" ht="15" hidden="false" customHeight="false" outlineLevel="0" collapsed="false">
      <c r="A145" s="196" t="s">
        <v>101</v>
      </c>
      <c r="B145" s="149" t="s">
        <v>844</v>
      </c>
      <c r="C145" s="148" t="s">
        <v>3226</v>
      </c>
      <c r="D145" s="148"/>
      <c r="E145" s="192"/>
      <c r="F145" s="192"/>
      <c r="G145" s="193"/>
      <c r="H145" s="105" t="n">
        <f aca="false">'[2]$ зима'!j145-'[2]$ зима'!au145-'[2]$ зима'!at145-'[2]$ зима'!as145-'[2]$ зима'!ar145-'[2]$ зима'!aq145-'[2]$ зима'!ap145-'[2]$ зима'!an145-'[2]$ зима'!am145-'[2]$ зима'!al145-'[2]$ зима'!ak145-'[2]$ зима'!aj145-'[2]$ зима'!ah145-'[2]$ зима'!ag145-'[2]$ зима'!af145-'[2]$ зима'!ae145-'[2]$ зима'!ad145-'[2]$ зима'!ab145-'[2]$ зима'!aa145-'[2]$ зима'!z145-'[2]$ зима'!y145-'[2]$ зима'!x145-'[2]$ зима'!v145-'[2]$ зима'!u145-'[2]$ зима'!t145-'[2]$ зима'!s145-'[2]$ зима'!r145-'[2]$ зима'!p145-'[2]$ зима'!o145-'[2]$ зима'!n145-'[2]$ зима'!m145-'[2]$ зима'!l145+'[2]$ зима'!q145+'[2]$ зима'!w145+'[2]$ зима'!ac145+'[2]$ зима'!ai145+'[2]$ зима'!ao145+'[2]$ зима'!k145</f>
        <v>8</v>
      </c>
      <c r="I145" s="191" t="n">
        <f aca="false">'[2]$ зима'!ay145*1.1</f>
        <v>985.6</v>
      </c>
      <c r="J145" s="171" t="n">
        <v>2012</v>
      </c>
    </row>
    <row r="146" customFormat="false" ht="15" hidden="true" customHeight="false" outlineLevel="0" collapsed="false">
      <c r="A146" s="196" t="s">
        <v>101</v>
      </c>
      <c r="B146" s="149" t="s">
        <v>601</v>
      </c>
      <c r="C146" s="148" t="s">
        <v>3227</v>
      </c>
      <c r="D146" s="148"/>
      <c r="E146" s="148"/>
      <c r="F146" s="148"/>
      <c r="G146" s="193"/>
      <c r="H146" s="105" t="n">
        <f aca="false">'[2]$ зима'!j146-'[2]$ зима'!au146-'[2]$ зима'!at146-'[2]$ зима'!as146-'[2]$ зима'!ar146-'[2]$ зима'!aq146-'[2]$ зима'!ap146-'[2]$ зима'!an146-'[2]$ зима'!am146-'[2]$ зима'!al146-'[2]$ зима'!ak146-'[2]$ зима'!aj146-'[2]$ зима'!ah146-'[2]$ зима'!ag146-'[2]$ зима'!af146-'[2]$ зима'!ae146-'[2]$ зима'!ad146-'[2]$ зима'!ab146-'[2]$ зима'!aa146-'[2]$ зима'!z146-'[2]$ зима'!y146-'[2]$ зима'!x146-'[2]$ зима'!v146-'[2]$ зима'!u146-'[2]$ зима'!t146-'[2]$ зима'!s146-'[2]$ зима'!r146-'[2]$ зима'!p146-'[2]$ зима'!o146-'[2]$ зима'!n146-'[2]$ зима'!m146-'[2]$ зима'!l146+'[2]$ зима'!q146+'[2]$ зима'!w146+'[2]$ зима'!ac146+'[2]$ зима'!ai146+'[2]$ зима'!ao146+'[2]$ зима'!k146</f>
        <v>0</v>
      </c>
      <c r="I146" s="191" t="n">
        <f aca="false">'[2]$ зима'!ay146*1.1</f>
        <v>831.6</v>
      </c>
    </row>
    <row r="147" customFormat="false" ht="15" hidden="false" customHeight="false" outlineLevel="0" collapsed="false">
      <c r="A147" s="196" t="s">
        <v>101</v>
      </c>
      <c r="B147" s="149" t="s">
        <v>601</v>
      </c>
      <c r="C147" s="148" t="s">
        <v>3151</v>
      </c>
      <c r="D147" s="148"/>
      <c r="E147" s="192" t="n">
        <v>82</v>
      </c>
      <c r="F147" s="192" t="s">
        <v>1455</v>
      </c>
      <c r="G147" s="193" t="s">
        <v>626</v>
      </c>
      <c r="H147" s="105" t="n">
        <f aca="false">'[2]$ зима'!j147-'[2]$ зима'!au147-'[2]$ зима'!at147-'[2]$ зима'!as147-'[2]$ зима'!ar147-'[2]$ зима'!aq147-'[2]$ зима'!ap147-'[2]$ зима'!an147-'[2]$ зима'!am147-'[2]$ зима'!al147-'[2]$ зима'!ak147-'[2]$ зима'!aj147-'[2]$ зима'!ah147-'[2]$ зима'!ag147-'[2]$ зима'!af147-'[2]$ зима'!ae147-'[2]$ зима'!ad147-'[2]$ зима'!ab147-'[2]$ зима'!aa147-'[2]$ зима'!z147-'[2]$ зима'!y147-'[2]$ зима'!x147-'[2]$ зима'!v147-'[2]$ зима'!u147-'[2]$ зима'!t147-'[2]$ зима'!s147-'[2]$ зима'!r147-'[2]$ зима'!p147-'[2]$ зима'!o147-'[2]$ зима'!n147-'[2]$ зима'!m147-'[2]$ зима'!l147+'[2]$ зима'!q147+'[2]$ зима'!w147+'[2]$ зима'!ac147+'[2]$ зима'!ai147+'[2]$ зима'!ao147+'[2]$ зима'!k147</f>
        <v>2</v>
      </c>
      <c r="I147" s="191" t="n">
        <f aca="false">'[2]$ зима'!ay147*1.1</f>
        <v>1386</v>
      </c>
      <c r="J147" s="171" t="n">
        <v>2011</v>
      </c>
    </row>
    <row r="148" customFormat="false" ht="15" hidden="false" customHeight="false" outlineLevel="0" collapsed="false">
      <c r="A148" s="196" t="s">
        <v>101</v>
      </c>
      <c r="B148" s="149" t="s">
        <v>601</v>
      </c>
      <c r="C148" s="148" t="s">
        <v>3228</v>
      </c>
      <c r="D148" s="148"/>
      <c r="E148" s="192" t="n">
        <v>82</v>
      </c>
      <c r="F148" s="192" t="s">
        <v>3207</v>
      </c>
      <c r="G148" s="193"/>
      <c r="H148" s="105" t="n">
        <f aca="false">'[2]$ зима'!j148-'[2]$ зима'!au148-'[2]$ зима'!at148-'[2]$ зима'!as148-'[2]$ зима'!ar148-'[2]$ зима'!aq148-'[2]$ зима'!ap148-'[2]$ зима'!an148-'[2]$ зима'!am148-'[2]$ зима'!al148-'[2]$ зима'!ak148-'[2]$ зима'!aj148-'[2]$ зима'!ah148-'[2]$ зима'!ag148-'[2]$ зима'!af148-'[2]$ зима'!ae148-'[2]$ зима'!ad148-'[2]$ зима'!ab148-'[2]$ зима'!aa148-'[2]$ зима'!z148-'[2]$ зима'!y148-'[2]$ зима'!x148-'[2]$ зима'!v148-'[2]$ зима'!u148-'[2]$ зима'!t148-'[2]$ зима'!s148-'[2]$ зима'!r148-'[2]$ зима'!p148-'[2]$ зима'!o148-'[2]$ зима'!n148-'[2]$ зима'!m148-'[2]$ зима'!l148+'[2]$ зима'!q148+'[2]$ зима'!w148+'[2]$ зима'!ac148+'[2]$ зима'!ai148+'[2]$ зима'!ao148+'[2]$ зима'!k148</f>
        <v>2</v>
      </c>
      <c r="I148" s="191" t="n">
        <f aca="false">'[2]$ зима'!ay148*1.1</f>
        <v>1293.6</v>
      </c>
    </row>
    <row r="149" customFormat="false" ht="15" hidden="false" customHeight="false" outlineLevel="0" collapsed="false">
      <c r="A149" s="196" t="s">
        <v>101</v>
      </c>
      <c r="B149" s="149" t="s">
        <v>601</v>
      </c>
      <c r="C149" s="148" t="s">
        <v>3150</v>
      </c>
      <c r="D149" s="148"/>
      <c r="E149" s="192"/>
      <c r="F149" s="192"/>
      <c r="G149" s="193" t="s">
        <v>626</v>
      </c>
      <c r="H149" s="105" t="n">
        <f aca="false">'[2]$ зима'!j149-'[2]$ зима'!au149-'[2]$ зима'!at149-'[2]$ зима'!as149-'[2]$ зима'!ar149-'[2]$ зима'!aq149-'[2]$ зима'!ap149-'[2]$ зима'!an149-'[2]$ зима'!am149-'[2]$ зима'!al149-'[2]$ зима'!ak149-'[2]$ зима'!aj149-'[2]$ зима'!ah149-'[2]$ зима'!ag149-'[2]$ зима'!af149-'[2]$ зима'!ae149-'[2]$ зима'!ad149-'[2]$ зима'!ab149-'[2]$ зима'!aa149-'[2]$ зима'!z149-'[2]$ зима'!y149-'[2]$ зима'!x149-'[2]$ зима'!v149-'[2]$ зима'!u149-'[2]$ зима'!t149-'[2]$ зима'!s149-'[2]$ зима'!r149-'[2]$ зима'!p149-'[2]$ зима'!o149-'[2]$ зима'!n149-'[2]$ зима'!m149-'[2]$ зима'!l149+'[2]$ зима'!q149+'[2]$ зима'!w149+'[2]$ зима'!ac149+'[2]$ зима'!ai149+'[2]$ зима'!ao149+'[2]$ зима'!k149</f>
        <v>1</v>
      </c>
      <c r="I149" s="191" t="n">
        <f aca="false">'[2]$ зима'!ay149*1.1</f>
        <v>1232</v>
      </c>
      <c r="J149" s="171" t="n">
        <v>2013</v>
      </c>
    </row>
    <row r="150" customFormat="false" ht="15" hidden="true" customHeight="false" outlineLevel="0" collapsed="false">
      <c r="A150" s="196" t="s">
        <v>101</v>
      </c>
      <c r="B150" s="149" t="s">
        <v>3193</v>
      </c>
      <c r="C150" s="148" t="s">
        <v>3194</v>
      </c>
      <c r="D150" s="148"/>
      <c r="E150" s="148"/>
      <c r="F150" s="148"/>
      <c r="G150" s="193" t="s">
        <v>911</v>
      </c>
      <c r="H150" s="105" t="n">
        <f aca="false">'[2]$ зима'!j150-'[2]$ зима'!au150-'[2]$ зима'!at150-'[2]$ зима'!as150-'[2]$ зима'!ar150-'[2]$ зима'!aq150-'[2]$ зима'!ap150-'[2]$ зима'!an150-'[2]$ зима'!am150-'[2]$ зима'!al150-'[2]$ зима'!ak150-'[2]$ зима'!aj150-'[2]$ зима'!ah150-'[2]$ зима'!ag150-'[2]$ зима'!af150-'[2]$ зима'!ae150-'[2]$ зима'!ad150-'[2]$ зима'!ab150-'[2]$ зима'!aa150-'[2]$ зима'!z150-'[2]$ зима'!y150-'[2]$ зима'!x150-'[2]$ зима'!v150-'[2]$ зима'!u150-'[2]$ зима'!t150-'[2]$ зима'!s150-'[2]$ зима'!r150-'[2]$ зима'!p150-'[2]$ зима'!o150-'[2]$ зима'!n150-'[2]$ зима'!m150-'[2]$ зима'!l150+'[2]$ зима'!q150+'[2]$ зима'!w150+'[2]$ зима'!ac150+'[2]$ зима'!ai150+'[2]$ зима'!ao150+'[2]$ зима'!k150</f>
        <v>0</v>
      </c>
      <c r="I150" s="191" t="n">
        <f aca="false">'[2]$ зима'!ay150*1.1</f>
        <v>770</v>
      </c>
      <c r="J150" s="171" t="n">
        <v>2012</v>
      </c>
    </row>
    <row r="151" customFormat="false" ht="15" hidden="true" customHeight="false" outlineLevel="0" collapsed="false">
      <c r="A151" s="196" t="s">
        <v>101</v>
      </c>
      <c r="B151" s="149" t="s">
        <v>646</v>
      </c>
      <c r="C151" s="148" t="s">
        <v>3213</v>
      </c>
      <c r="D151" s="148"/>
      <c r="E151" s="148"/>
      <c r="F151" s="148"/>
      <c r="G151" s="193"/>
      <c r="H151" s="105" t="n">
        <f aca="false">'[2]$ зима'!j151-'[2]$ зима'!au151-'[2]$ зима'!at151-'[2]$ зима'!as151-'[2]$ зима'!ar151-'[2]$ зима'!aq151-'[2]$ зима'!ap151-'[2]$ зима'!an151-'[2]$ зима'!am151-'[2]$ зима'!al151-'[2]$ зима'!ak151-'[2]$ зима'!aj151-'[2]$ зима'!ah151-'[2]$ зима'!ag151-'[2]$ зима'!af151-'[2]$ зима'!ae151-'[2]$ зима'!ad151-'[2]$ зима'!ab151-'[2]$ зима'!aa151-'[2]$ зима'!z151-'[2]$ зима'!y151-'[2]$ зима'!x151-'[2]$ зима'!v151-'[2]$ зима'!u151-'[2]$ зима'!t151-'[2]$ зима'!s151-'[2]$ зима'!r151-'[2]$ зима'!p151-'[2]$ зима'!o151-'[2]$ зима'!n151-'[2]$ зима'!m151-'[2]$ зима'!l151+'[2]$ зима'!q151+'[2]$ зима'!w151+'[2]$ зима'!ac151+'[2]$ зима'!ai151+'[2]$ зима'!ao151+'[2]$ зима'!k151</f>
        <v>0</v>
      </c>
      <c r="I151" s="191" t="n">
        <f aca="false">'[2]$ зима'!ay151*1.1</f>
        <v>862.4</v>
      </c>
    </row>
    <row r="152" customFormat="false" ht="15" hidden="true" customHeight="false" outlineLevel="0" collapsed="false">
      <c r="A152" s="196" t="s">
        <v>101</v>
      </c>
      <c r="B152" s="149" t="s">
        <v>557</v>
      </c>
      <c r="C152" s="148" t="s">
        <v>3229</v>
      </c>
      <c r="D152" s="148"/>
      <c r="E152" s="148"/>
      <c r="F152" s="148"/>
      <c r="G152" s="193"/>
      <c r="H152" s="105" t="n">
        <f aca="false">'[2]$ зима'!j152-'[2]$ зима'!au152-'[2]$ зима'!at152-'[2]$ зима'!as152-'[2]$ зима'!ar152-'[2]$ зима'!aq152-'[2]$ зима'!ap152-'[2]$ зима'!an152-'[2]$ зима'!am152-'[2]$ зима'!al152-'[2]$ зима'!ak152-'[2]$ зима'!aj152-'[2]$ зима'!ah152-'[2]$ зима'!ag152-'[2]$ зима'!af152-'[2]$ зима'!ae152-'[2]$ зима'!ad152-'[2]$ зима'!ab152-'[2]$ зима'!aa152-'[2]$ зима'!z152-'[2]$ зима'!y152-'[2]$ зима'!x152-'[2]$ зима'!v152-'[2]$ зима'!u152-'[2]$ зима'!t152-'[2]$ зима'!s152-'[2]$ зима'!r152-'[2]$ зима'!p152-'[2]$ зима'!o152-'[2]$ зима'!n152-'[2]$ зима'!m152-'[2]$ зима'!l152+'[2]$ зима'!q152+'[2]$ зима'!w152+'[2]$ зима'!ac152+'[2]$ зима'!ai152+'[2]$ зима'!ao152+'[2]$ зима'!k152</f>
        <v>0</v>
      </c>
      <c r="I152" s="191" t="n">
        <f aca="false">'[2]$ зима'!ay152*1.1</f>
        <v>924</v>
      </c>
    </row>
    <row r="153" customFormat="false" ht="15" hidden="false" customHeight="false" outlineLevel="0" collapsed="false">
      <c r="A153" s="196" t="s">
        <v>101</v>
      </c>
      <c r="B153" s="149" t="s">
        <v>604</v>
      </c>
      <c r="C153" s="148" t="s">
        <v>3152</v>
      </c>
      <c r="D153" s="148"/>
      <c r="E153" s="192"/>
      <c r="F153" s="192"/>
      <c r="G153" s="193" t="s">
        <v>843</v>
      </c>
      <c r="H153" s="105" t="n">
        <f aca="false">'[2]$ зима'!j153-'[2]$ зима'!au153-'[2]$ зима'!at153-'[2]$ зима'!as153-'[2]$ зима'!ar153-'[2]$ зима'!aq153-'[2]$ зима'!ap153-'[2]$ зима'!an153-'[2]$ зима'!am153-'[2]$ зима'!al153-'[2]$ зима'!ak153-'[2]$ зима'!aj153-'[2]$ зима'!ah153-'[2]$ зима'!ag153-'[2]$ зима'!af153-'[2]$ зима'!ae153-'[2]$ зима'!ad153-'[2]$ зима'!ab153-'[2]$ зима'!aa153-'[2]$ зима'!z153-'[2]$ зима'!y153-'[2]$ зима'!x153-'[2]$ зима'!v153-'[2]$ зима'!u153-'[2]$ зима'!t153-'[2]$ зима'!s153-'[2]$ зима'!r153-'[2]$ зима'!p153-'[2]$ зима'!o153-'[2]$ зима'!n153-'[2]$ зима'!m153-'[2]$ зима'!l153+'[2]$ зима'!q153+'[2]$ зима'!w153+'[2]$ зима'!ac153+'[2]$ зима'!ai153+'[2]$ зима'!ao153+'[2]$ зима'!k153</f>
        <v>12</v>
      </c>
      <c r="I153" s="191" t="n">
        <f aca="false">'[2]$ зима'!ay153*1.1</f>
        <v>1232</v>
      </c>
    </row>
    <row r="154" customFormat="false" ht="15" hidden="true" customHeight="false" outlineLevel="0" collapsed="false">
      <c r="A154" s="196" t="s">
        <v>101</v>
      </c>
      <c r="B154" s="149" t="s">
        <v>2480</v>
      </c>
      <c r="C154" s="148" t="s">
        <v>3124</v>
      </c>
      <c r="D154" s="148"/>
      <c r="E154" s="148"/>
      <c r="F154" s="148"/>
      <c r="G154" s="193"/>
      <c r="H154" s="105" t="n">
        <f aca="false">'[2]$ зима'!j154-'[2]$ зима'!au154-'[2]$ зима'!at154-'[2]$ зима'!as154-'[2]$ зима'!ar154-'[2]$ зима'!aq154-'[2]$ зима'!ap154-'[2]$ зима'!an154-'[2]$ зима'!am154-'[2]$ зима'!al154-'[2]$ зима'!ak154-'[2]$ зима'!aj154-'[2]$ зима'!ah154-'[2]$ зима'!ag154-'[2]$ зима'!af154-'[2]$ зима'!ae154-'[2]$ зима'!ad154-'[2]$ зима'!ab154-'[2]$ зима'!aa154-'[2]$ зима'!z154-'[2]$ зима'!y154-'[2]$ зима'!x154-'[2]$ зима'!v154-'[2]$ зима'!u154-'[2]$ зима'!t154-'[2]$ зима'!s154-'[2]$ зима'!r154-'[2]$ зима'!p154-'[2]$ зима'!o154-'[2]$ зима'!n154-'[2]$ зима'!m154-'[2]$ зима'!l154+'[2]$ зима'!q154+'[2]$ зима'!w154+'[2]$ зима'!ac154+'[2]$ зима'!ai154+'[2]$ зима'!ao154+'[2]$ зима'!k154</f>
        <v>0</v>
      </c>
      <c r="I154" s="191" t="n">
        <f aca="false">'[2]$ зима'!ay154*1.1</f>
        <v>1232</v>
      </c>
    </row>
    <row r="155" customFormat="false" ht="15" hidden="true" customHeight="false" outlineLevel="0" collapsed="false">
      <c r="A155" s="196" t="s">
        <v>101</v>
      </c>
      <c r="B155" s="149" t="s">
        <v>606</v>
      </c>
      <c r="C155" s="148" t="s">
        <v>3230</v>
      </c>
      <c r="D155" s="148"/>
      <c r="E155" s="148"/>
      <c r="F155" s="148"/>
      <c r="G155" s="193"/>
      <c r="H155" s="105" t="n">
        <f aca="false">'[2]$ зима'!j155-'[2]$ зима'!au155-'[2]$ зима'!at155-'[2]$ зима'!as155-'[2]$ зима'!ar155-'[2]$ зима'!aq155-'[2]$ зима'!ap155-'[2]$ зима'!an155-'[2]$ зима'!am155-'[2]$ зима'!al155-'[2]$ зима'!ak155-'[2]$ зима'!aj155-'[2]$ зима'!ah155-'[2]$ зима'!ag155-'[2]$ зима'!af155-'[2]$ зима'!ae155-'[2]$ зима'!ad155-'[2]$ зима'!ab155-'[2]$ зима'!aa155-'[2]$ зима'!z155-'[2]$ зима'!y155-'[2]$ зима'!x155-'[2]$ зима'!v155-'[2]$ зима'!u155-'[2]$ зима'!t155-'[2]$ зима'!s155-'[2]$ зима'!r155-'[2]$ зима'!p155-'[2]$ зима'!o155-'[2]$ зима'!n155-'[2]$ зима'!m155-'[2]$ зима'!l155+'[2]$ зима'!q155+'[2]$ зима'!w155+'[2]$ зима'!ac155+'[2]$ зима'!ai155+'[2]$ зима'!ao155+'[2]$ зима'!k155</f>
        <v>0</v>
      </c>
      <c r="I155" s="191" t="n">
        <f aca="false">'[2]$ зима'!ay155*1.1</f>
        <v>1078</v>
      </c>
    </row>
    <row r="156" customFormat="false" ht="15" hidden="true" customHeight="false" outlineLevel="0" collapsed="false">
      <c r="A156" s="196" t="s">
        <v>101</v>
      </c>
      <c r="B156" s="149" t="s">
        <v>606</v>
      </c>
      <c r="C156" s="148" t="s">
        <v>3125</v>
      </c>
      <c r="D156" s="148"/>
      <c r="E156" s="148"/>
      <c r="F156" s="148"/>
      <c r="G156" s="193"/>
      <c r="H156" s="105" t="n">
        <f aca="false">'[2]$ зима'!j156-'[2]$ зима'!au156-'[2]$ зима'!at156-'[2]$ зима'!as156-'[2]$ зима'!ar156-'[2]$ зима'!aq156-'[2]$ зима'!ap156-'[2]$ зима'!an156-'[2]$ зима'!am156-'[2]$ зима'!al156-'[2]$ зима'!ak156-'[2]$ зима'!aj156-'[2]$ зима'!ah156-'[2]$ зима'!ag156-'[2]$ зима'!af156-'[2]$ зима'!ae156-'[2]$ зима'!ad156-'[2]$ зима'!ab156-'[2]$ зима'!aa156-'[2]$ зима'!z156-'[2]$ зима'!y156-'[2]$ зима'!x156-'[2]$ зима'!v156-'[2]$ зима'!u156-'[2]$ зима'!t156-'[2]$ зима'!s156-'[2]$ зима'!r156-'[2]$ зима'!p156-'[2]$ зима'!o156-'[2]$ зима'!n156-'[2]$ зима'!m156-'[2]$ зима'!l156+'[2]$ зима'!q156+'[2]$ зима'!w156+'[2]$ зима'!ac156+'[2]$ зима'!ai156+'[2]$ зима'!ao156+'[2]$ зима'!k156</f>
        <v>0</v>
      </c>
      <c r="I156" s="191" t="n">
        <f aca="false">'[2]$ зима'!ay156*1.1</f>
        <v>1355.2</v>
      </c>
    </row>
    <row r="157" customFormat="false" ht="15" hidden="false" customHeight="false" outlineLevel="0" collapsed="false">
      <c r="A157" s="196" t="s">
        <v>101</v>
      </c>
      <c r="B157" s="149" t="s">
        <v>606</v>
      </c>
      <c r="C157" s="148" t="s">
        <v>3186</v>
      </c>
      <c r="D157" s="148"/>
      <c r="E157" s="192"/>
      <c r="F157" s="192"/>
      <c r="G157" s="193" t="s">
        <v>609</v>
      </c>
      <c r="H157" s="105" t="n">
        <f aca="false">'[2]$ зима'!j157-'[2]$ зима'!au157-'[2]$ зима'!at157-'[2]$ зима'!as157-'[2]$ зима'!ar157-'[2]$ зима'!aq157-'[2]$ зима'!ap157-'[2]$ зима'!an157-'[2]$ зима'!am157-'[2]$ зима'!al157-'[2]$ зима'!ak157-'[2]$ зима'!aj157-'[2]$ зима'!ah157-'[2]$ зима'!ag157-'[2]$ зима'!af157-'[2]$ зима'!ae157-'[2]$ зима'!ad157-'[2]$ зима'!ab157-'[2]$ зима'!aa157-'[2]$ зима'!z157-'[2]$ зима'!y157-'[2]$ зима'!x157-'[2]$ зима'!v157-'[2]$ зима'!u157-'[2]$ зима'!t157-'[2]$ зима'!s157-'[2]$ зима'!r157-'[2]$ зима'!p157-'[2]$ зима'!o157-'[2]$ зима'!n157-'[2]$ зима'!m157-'[2]$ зима'!l157+'[2]$ зима'!q157+'[2]$ зима'!w157+'[2]$ зима'!ac157+'[2]$ зима'!ai157+'[2]$ зима'!ao157+'[2]$ зима'!k157</f>
        <v>2</v>
      </c>
      <c r="I157" s="191" t="n">
        <f aca="false">'[2]$ зима'!ay157*1.1</f>
        <v>985.6</v>
      </c>
      <c r="J157" s="171" t="n">
        <v>2015</v>
      </c>
    </row>
    <row r="158" customFormat="false" ht="15" hidden="false" customHeight="false" outlineLevel="0" collapsed="false">
      <c r="A158" s="196" t="s">
        <v>101</v>
      </c>
      <c r="B158" s="149" t="s">
        <v>606</v>
      </c>
      <c r="C158" s="148" t="s">
        <v>3231</v>
      </c>
      <c r="D158" s="148"/>
      <c r="E158" s="192" t="n">
        <v>86</v>
      </c>
      <c r="F158" s="192" t="s">
        <v>562</v>
      </c>
      <c r="G158" s="193" t="s">
        <v>609</v>
      </c>
      <c r="H158" s="105" t="n">
        <f aca="false">'[2]$ зима'!j158-'[2]$ зима'!au158-'[2]$ зима'!at158-'[2]$ зима'!as158-'[2]$ зима'!ar158-'[2]$ зима'!aq158-'[2]$ зима'!ap158-'[2]$ зима'!an158-'[2]$ зима'!am158-'[2]$ зима'!al158-'[2]$ зима'!ak158-'[2]$ зима'!aj158-'[2]$ зима'!ah158-'[2]$ зима'!ag158-'[2]$ зима'!af158-'[2]$ зима'!ae158-'[2]$ зима'!ad158-'[2]$ зима'!ab158-'[2]$ зима'!aa158-'[2]$ зима'!z158-'[2]$ зима'!y158-'[2]$ зима'!x158-'[2]$ зима'!v158-'[2]$ зима'!u158-'[2]$ зима'!t158-'[2]$ зима'!s158-'[2]$ зима'!r158-'[2]$ зима'!p158-'[2]$ зима'!o158-'[2]$ зима'!n158-'[2]$ зима'!m158-'[2]$ зима'!l158+'[2]$ зима'!q158+'[2]$ зима'!w158+'[2]$ зима'!ac158+'[2]$ зима'!ai158+'[2]$ зима'!ao158+'[2]$ зима'!k158</f>
        <v>16</v>
      </c>
      <c r="I158" s="191" t="n">
        <f aca="false">'[2]$ зима'!ay158*1.1</f>
        <v>1355.2</v>
      </c>
    </row>
    <row r="159" customFormat="false" ht="15" hidden="true" customHeight="false" outlineLevel="0" collapsed="false">
      <c r="A159" s="196" t="s">
        <v>101</v>
      </c>
      <c r="B159" s="149" t="s">
        <v>666</v>
      </c>
      <c r="C159" s="148" t="s">
        <v>3197</v>
      </c>
      <c r="D159" s="148"/>
      <c r="E159" s="148"/>
      <c r="F159" s="148"/>
      <c r="G159" s="193" t="s">
        <v>1075</v>
      </c>
      <c r="H159" s="105" t="n">
        <f aca="false">'[2]$ зима'!j159-'[2]$ зима'!au159-'[2]$ зима'!at159-'[2]$ зима'!as159-'[2]$ зима'!ar159-'[2]$ зима'!aq159-'[2]$ зима'!ap159-'[2]$ зима'!an159-'[2]$ зима'!am159-'[2]$ зима'!al159-'[2]$ зима'!ak159-'[2]$ зима'!aj159-'[2]$ зима'!ah159-'[2]$ зима'!ag159-'[2]$ зима'!af159-'[2]$ зима'!ae159-'[2]$ зима'!ad159-'[2]$ зима'!ab159-'[2]$ зима'!aa159-'[2]$ зима'!z159-'[2]$ зима'!y159-'[2]$ зима'!x159-'[2]$ зима'!v159-'[2]$ зима'!u159-'[2]$ зима'!t159-'[2]$ зима'!s159-'[2]$ зима'!r159-'[2]$ зима'!p159-'[2]$ зима'!o159-'[2]$ зима'!n159-'[2]$ зима'!m159-'[2]$ зима'!l159+'[2]$ зима'!q159+'[2]$ зима'!w159+'[2]$ зима'!ac159+'[2]$ зима'!ai159+'[2]$ зима'!ao159+'[2]$ зима'!k159</f>
        <v>0</v>
      </c>
      <c r="I159" s="191" t="n">
        <f aca="false">'[2]$ зима'!ay159*1.1</f>
        <v>1016.4</v>
      </c>
      <c r="J159" s="171" t="n">
        <v>2017</v>
      </c>
    </row>
    <row r="160" customFormat="false" ht="15" hidden="true" customHeight="false" outlineLevel="0" collapsed="false">
      <c r="A160" s="196" t="s">
        <v>101</v>
      </c>
      <c r="B160" s="149" t="s">
        <v>668</v>
      </c>
      <c r="C160" s="148" t="s">
        <v>3232</v>
      </c>
      <c r="D160" s="202"/>
      <c r="E160" s="202"/>
      <c r="F160" s="202"/>
      <c r="G160" s="203"/>
      <c r="H160" s="105" t="n">
        <f aca="false">'[2]$ зима'!j160-'[2]$ зима'!au160-'[2]$ зима'!at160-'[2]$ зима'!as160-'[2]$ зима'!ar160-'[2]$ зима'!aq160-'[2]$ зима'!ap160-'[2]$ зима'!an160-'[2]$ зима'!am160-'[2]$ зима'!al160-'[2]$ зима'!ak160-'[2]$ зима'!aj160-'[2]$ зима'!ah160-'[2]$ зима'!ag160-'[2]$ зима'!af160-'[2]$ зима'!ae160-'[2]$ зима'!ad160-'[2]$ зима'!ab160-'[2]$ зима'!aa160-'[2]$ зима'!z160-'[2]$ зима'!y160-'[2]$ зима'!x160-'[2]$ зима'!v160-'[2]$ зима'!u160-'[2]$ зима'!t160-'[2]$ зима'!s160-'[2]$ зима'!r160-'[2]$ зима'!p160-'[2]$ зима'!o160-'[2]$ зима'!n160-'[2]$ зима'!m160-'[2]$ зима'!l160+'[2]$ зима'!q160+'[2]$ зима'!w160+'[2]$ зима'!ac160+'[2]$ зима'!ai160+'[2]$ зима'!ao160+'[2]$ зима'!k160</f>
        <v>0</v>
      </c>
      <c r="I160" s="191" t="n">
        <f aca="false">'[2]$ зима'!ay160*1.1</f>
        <v>770</v>
      </c>
    </row>
    <row r="161" customFormat="false" ht="15" hidden="true" customHeight="false" outlineLevel="0" collapsed="false">
      <c r="A161" s="196" t="s">
        <v>101</v>
      </c>
      <c r="B161" s="149" t="s">
        <v>668</v>
      </c>
      <c r="C161" s="148" t="s">
        <v>3233</v>
      </c>
      <c r="D161" s="148"/>
      <c r="E161" s="148"/>
      <c r="F161" s="148"/>
      <c r="G161" s="193"/>
      <c r="H161" s="105" t="n">
        <f aca="false">'[2]$ зима'!j161-'[2]$ зима'!au161-'[2]$ зима'!at161-'[2]$ зима'!as161-'[2]$ зима'!ar161-'[2]$ зима'!aq161-'[2]$ зима'!ap161-'[2]$ зима'!an161-'[2]$ зима'!am161-'[2]$ зима'!al161-'[2]$ зима'!ak161-'[2]$ зима'!aj161-'[2]$ зима'!ah161-'[2]$ зима'!ag161-'[2]$ зима'!af161-'[2]$ зима'!ae161-'[2]$ зима'!ad161-'[2]$ зима'!ab161-'[2]$ зима'!aa161-'[2]$ зима'!z161-'[2]$ зима'!y161-'[2]$ зима'!x161-'[2]$ зима'!v161-'[2]$ зима'!u161-'[2]$ зима'!t161-'[2]$ зима'!s161-'[2]$ зима'!r161-'[2]$ зима'!p161-'[2]$ зима'!o161-'[2]$ зима'!n161-'[2]$ зима'!m161-'[2]$ зима'!l161+'[2]$ зима'!q161+'[2]$ зима'!w161+'[2]$ зима'!ac161+'[2]$ зима'!ai161+'[2]$ зима'!ao161+'[2]$ зима'!k161</f>
        <v>0</v>
      </c>
      <c r="I161" s="191" t="n">
        <f aca="false">'[2]$ зима'!ay161*1.1</f>
        <v>924</v>
      </c>
    </row>
    <row r="162" customFormat="false" ht="15" hidden="true" customHeight="false" outlineLevel="0" collapsed="false">
      <c r="A162" s="196" t="s">
        <v>101</v>
      </c>
      <c r="B162" s="149" t="s">
        <v>574</v>
      </c>
      <c r="C162" s="148" t="s">
        <v>3199</v>
      </c>
      <c r="D162" s="148"/>
      <c r="E162" s="148"/>
      <c r="F162" s="148"/>
      <c r="G162" s="193" t="s">
        <v>576</v>
      </c>
      <c r="H162" s="105" t="n">
        <f aca="false">'[2]$ зима'!j162-'[2]$ зима'!au162-'[2]$ зима'!at162-'[2]$ зима'!as162-'[2]$ зима'!ar162-'[2]$ зима'!aq162-'[2]$ зима'!ap162-'[2]$ зима'!an162-'[2]$ зима'!am162-'[2]$ зима'!al162-'[2]$ зима'!ak162-'[2]$ зима'!aj162-'[2]$ зима'!ah162-'[2]$ зима'!ag162-'[2]$ зима'!af162-'[2]$ зима'!ae162-'[2]$ зима'!ad162-'[2]$ зима'!ab162-'[2]$ зима'!aa162-'[2]$ зима'!z162-'[2]$ зима'!y162-'[2]$ зима'!x162-'[2]$ зима'!v162-'[2]$ зима'!u162-'[2]$ зима'!t162-'[2]$ зима'!s162-'[2]$ зима'!r162-'[2]$ зима'!p162-'[2]$ зима'!o162-'[2]$ зима'!n162-'[2]$ зима'!m162-'[2]$ зима'!l162+'[2]$ зима'!q162+'[2]$ зима'!w162+'[2]$ зима'!ac162+'[2]$ зима'!ai162+'[2]$ зима'!ao162+'[2]$ зима'!k162</f>
        <v>0</v>
      </c>
      <c r="I162" s="191" t="n">
        <f aca="false">'[2]$ зима'!ay162*1.1</f>
        <v>1058.42</v>
      </c>
    </row>
    <row r="163" customFormat="false" ht="15" hidden="false" customHeight="false" outlineLevel="0" collapsed="false">
      <c r="A163" s="196" t="s">
        <v>101</v>
      </c>
      <c r="B163" s="149" t="s">
        <v>574</v>
      </c>
      <c r="C163" s="148" t="s">
        <v>3163</v>
      </c>
      <c r="D163" s="148"/>
      <c r="E163" s="192" t="n">
        <v>82</v>
      </c>
      <c r="F163" s="192" t="s">
        <v>562</v>
      </c>
      <c r="G163" s="193" t="s">
        <v>576</v>
      </c>
      <c r="H163" s="105" t="n">
        <f aca="false">'[2]$ зима'!j163-'[2]$ зима'!au163-'[2]$ зима'!at163-'[2]$ зима'!as163-'[2]$ зима'!ar163-'[2]$ зима'!aq163-'[2]$ зима'!ap163-'[2]$ зима'!an163-'[2]$ зима'!am163-'[2]$ зима'!al163-'[2]$ зима'!ak163-'[2]$ зима'!aj163-'[2]$ зима'!ah163-'[2]$ зима'!ag163-'[2]$ зима'!af163-'[2]$ зима'!ae163-'[2]$ зима'!ad163-'[2]$ зима'!ab163-'[2]$ зима'!aa163-'[2]$ зима'!z163-'[2]$ зима'!y163-'[2]$ зима'!x163-'[2]$ зима'!v163-'[2]$ зима'!u163-'[2]$ зима'!t163-'[2]$ зима'!s163-'[2]$ зима'!r163-'[2]$ зима'!p163-'[2]$ зима'!o163-'[2]$ зима'!n163-'[2]$ зима'!m163-'[2]$ зима'!l163+'[2]$ зима'!q163+'[2]$ зима'!w163+'[2]$ зима'!ac163+'[2]$ зима'!ai163+'[2]$ зима'!ao163+'[2]$ зима'!k163</f>
        <v>8</v>
      </c>
      <c r="I163" s="191" t="n">
        <f aca="false">'[2]$ зима'!ay163*1.1</f>
        <v>1187.12</v>
      </c>
      <c r="J163" s="171" t="n">
        <v>2017</v>
      </c>
    </row>
    <row r="164" customFormat="false" ht="15" hidden="false" customHeight="false" outlineLevel="0" collapsed="false">
      <c r="A164" s="196" t="s">
        <v>101</v>
      </c>
      <c r="B164" s="149" t="s">
        <v>577</v>
      </c>
      <c r="C164" s="148" t="s">
        <v>3234</v>
      </c>
      <c r="D164" s="148"/>
      <c r="E164" s="192" t="n">
        <v>82</v>
      </c>
      <c r="F164" s="192" t="s">
        <v>562</v>
      </c>
      <c r="G164" s="193" t="s">
        <v>563</v>
      </c>
      <c r="H164" s="105" t="n">
        <f aca="false">'[2]$ зима'!j164-'[2]$ зима'!au164-'[2]$ зима'!at164-'[2]$ зима'!as164-'[2]$ зима'!ar164-'[2]$ зима'!aq164-'[2]$ зима'!ap164-'[2]$ зима'!an164-'[2]$ зима'!am164-'[2]$ зима'!al164-'[2]$ зима'!ak164-'[2]$ зима'!aj164-'[2]$ зима'!ah164-'[2]$ зима'!ag164-'[2]$ зима'!af164-'[2]$ зима'!ae164-'[2]$ зима'!ad164-'[2]$ зима'!ab164-'[2]$ зима'!aa164-'[2]$ зима'!z164-'[2]$ зима'!y164-'[2]$ зима'!x164-'[2]$ зима'!v164-'[2]$ зима'!u164-'[2]$ зима'!t164-'[2]$ зима'!s164-'[2]$ зима'!r164-'[2]$ зима'!p164-'[2]$ зима'!o164-'[2]$ зима'!n164-'[2]$ зима'!m164-'[2]$ зима'!l164+'[2]$ зима'!q164+'[2]$ зима'!w164+'[2]$ зима'!ac164+'[2]$ зима'!ai164+'[2]$ зима'!ao164+'[2]$ зима'!k164</f>
        <v>8</v>
      </c>
      <c r="I164" s="191" t="n">
        <f aca="false">'[2]$ зима'!ay164*1.1</f>
        <v>1170.4</v>
      </c>
    </row>
    <row r="165" customFormat="false" ht="15" hidden="true" customHeight="false" outlineLevel="0" collapsed="false">
      <c r="A165" s="196" t="s">
        <v>101</v>
      </c>
      <c r="B165" s="149" t="s">
        <v>1471</v>
      </c>
      <c r="C165" s="148" t="s">
        <v>3202</v>
      </c>
      <c r="D165" s="148"/>
      <c r="E165" s="148"/>
      <c r="F165" s="148"/>
      <c r="G165" s="193"/>
      <c r="H165" s="105" t="n">
        <f aca="false">'[2]$ зима'!j165-'[2]$ зима'!au165-'[2]$ зима'!at165-'[2]$ зима'!as165-'[2]$ зима'!ar165-'[2]$ зима'!aq165-'[2]$ зима'!ap165-'[2]$ зима'!an165-'[2]$ зима'!am165-'[2]$ зима'!al165-'[2]$ зима'!ak165-'[2]$ зима'!aj165-'[2]$ зима'!ah165-'[2]$ зима'!ag165-'[2]$ зима'!af165-'[2]$ зима'!ae165-'[2]$ зима'!ad165-'[2]$ зима'!ab165-'[2]$ зима'!aa165-'[2]$ зима'!z165-'[2]$ зима'!y165-'[2]$ зима'!x165-'[2]$ зима'!v165-'[2]$ зима'!u165-'[2]$ зима'!t165-'[2]$ зима'!s165-'[2]$ зима'!r165-'[2]$ зима'!p165-'[2]$ зима'!o165-'[2]$ зима'!n165-'[2]$ зима'!m165-'[2]$ зима'!l165+'[2]$ зима'!q165+'[2]$ зима'!w165+'[2]$ зима'!ac165+'[2]$ зима'!ai165+'[2]$ зима'!ao165+'[2]$ зима'!k165</f>
        <v>0</v>
      </c>
      <c r="I165" s="191" t="n">
        <f aca="false">'[2]$ зима'!ay165*1.1</f>
        <v>985.6</v>
      </c>
    </row>
    <row r="166" customFormat="false" ht="15" hidden="true" customHeight="false" outlineLevel="0" collapsed="false">
      <c r="A166" s="196" t="s">
        <v>101</v>
      </c>
      <c r="B166" s="149" t="s">
        <v>583</v>
      </c>
      <c r="C166" s="148" t="s">
        <v>3130</v>
      </c>
      <c r="D166" s="148"/>
      <c r="E166" s="148"/>
      <c r="F166" s="148"/>
      <c r="G166" s="193"/>
      <c r="H166" s="105" t="n">
        <f aca="false">'[2]$ зима'!j166-'[2]$ зима'!au166-'[2]$ зима'!at166-'[2]$ зима'!as166-'[2]$ зима'!ar166-'[2]$ зима'!aq166-'[2]$ зима'!ap166-'[2]$ зима'!an166-'[2]$ зима'!am166-'[2]$ зима'!al166-'[2]$ зима'!ak166-'[2]$ зима'!aj166-'[2]$ зима'!ah166-'[2]$ зима'!ag166-'[2]$ зима'!af166-'[2]$ зима'!ae166-'[2]$ зима'!ad166-'[2]$ зима'!ab166-'[2]$ зима'!aa166-'[2]$ зима'!z166-'[2]$ зима'!y166-'[2]$ зима'!x166-'[2]$ зима'!v166-'[2]$ зима'!u166-'[2]$ зима'!t166-'[2]$ зима'!s166-'[2]$ зима'!r166-'[2]$ зима'!p166-'[2]$ зима'!o166-'[2]$ зима'!n166-'[2]$ зима'!m166-'[2]$ зима'!l166+'[2]$ зима'!q166+'[2]$ зима'!w166+'[2]$ зима'!ac166+'[2]$ зима'!ai166+'[2]$ зима'!ao166+'[2]$ зима'!k166</f>
        <v>0</v>
      </c>
      <c r="I166" s="191" t="n">
        <f aca="false">'[2]$ зима'!ay166*1.1</f>
        <v>924</v>
      </c>
    </row>
    <row r="167" customFormat="false" ht="15" hidden="false" customHeight="false" outlineLevel="0" collapsed="false">
      <c r="A167" s="196" t="s">
        <v>101</v>
      </c>
      <c r="B167" s="149" t="s">
        <v>583</v>
      </c>
      <c r="C167" s="148" t="s">
        <v>3235</v>
      </c>
      <c r="D167" s="148"/>
      <c r="E167" s="192" t="n">
        <v>82</v>
      </c>
      <c r="F167" s="192" t="s">
        <v>562</v>
      </c>
      <c r="G167" s="193"/>
      <c r="H167" s="105" t="n">
        <f aca="false">'[2]$ зима'!j167-'[2]$ зима'!au167-'[2]$ зима'!at167-'[2]$ зима'!as167-'[2]$ зима'!ar167-'[2]$ зима'!aq167-'[2]$ зима'!ap167-'[2]$ зима'!an167-'[2]$ зима'!am167-'[2]$ зима'!al167-'[2]$ зима'!ak167-'[2]$ зима'!aj167-'[2]$ зима'!ah167-'[2]$ зима'!ag167-'[2]$ зима'!af167-'[2]$ зима'!ae167-'[2]$ зима'!ad167-'[2]$ зима'!ab167-'[2]$ зима'!aa167-'[2]$ зима'!z167-'[2]$ зима'!y167-'[2]$ зима'!x167-'[2]$ зима'!v167-'[2]$ зима'!u167-'[2]$ зима'!t167-'[2]$ зима'!s167-'[2]$ зима'!r167-'[2]$ зима'!p167-'[2]$ зима'!o167-'[2]$ зима'!n167-'[2]$ зима'!m167-'[2]$ зима'!l167+'[2]$ зима'!q167+'[2]$ зима'!w167+'[2]$ зима'!ac167+'[2]$ зима'!ai167+'[2]$ зима'!ao167+'[2]$ зима'!k167</f>
        <v>4</v>
      </c>
      <c r="I167" s="191" t="n">
        <f aca="false">'[2]$ зима'!ay167*1.1</f>
        <v>1170.4</v>
      </c>
    </row>
    <row r="168" customFormat="false" ht="15" hidden="true" customHeight="false" outlineLevel="0" collapsed="false">
      <c r="A168" s="196" t="s">
        <v>101</v>
      </c>
      <c r="B168" s="149" t="s">
        <v>593</v>
      </c>
      <c r="C168" s="148" t="s">
        <v>3236</v>
      </c>
      <c r="D168" s="148"/>
      <c r="E168" s="148"/>
      <c r="F168" s="148"/>
      <c r="G168" s="193"/>
      <c r="H168" s="105" t="n">
        <f aca="false">'[2]$ зима'!j168-'[2]$ зима'!au168-'[2]$ зима'!at168-'[2]$ зима'!as168-'[2]$ зима'!ar168-'[2]$ зима'!aq168-'[2]$ зима'!ap168-'[2]$ зима'!an168-'[2]$ зима'!am168-'[2]$ зима'!al168-'[2]$ зима'!ak168-'[2]$ зима'!aj168-'[2]$ зима'!ah168-'[2]$ зима'!ag168-'[2]$ зима'!af168-'[2]$ зима'!ae168-'[2]$ зима'!ad168-'[2]$ зима'!ab168-'[2]$ зима'!aa168-'[2]$ зима'!z168-'[2]$ зима'!y168-'[2]$ зима'!x168-'[2]$ зима'!v168-'[2]$ зима'!u168-'[2]$ зима'!t168-'[2]$ зима'!s168-'[2]$ зима'!r168-'[2]$ зима'!p168-'[2]$ зима'!o168-'[2]$ зима'!n168-'[2]$ зима'!m168-'[2]$ зима'!l168+'[2]$ зима'!q168+'[2]$ зима'!w168+'[2]$ зима'!ac168+'[2]$ зима'!ai168+'[2]$ зима'!ao168+'[2]$ зима'!k168</f>
        <v>0</v>
      </c>
      <c r="I168" s="191" t="n">
        <f aca="false">'[2]$ зима'!ay168*1.1</f>
        <v>1540</v>
      </c>
    </row>
    <row r="169" customFormat="false" ht="15" hidden="false" customHeight="false" outlineLevel="0" collapsed="false">
      <c r="A169" s="196" t="s">
        <v>101</v>
      </c>
      <c r="B169" s="149" t="s">
        <v>593</v>
      </c>
      <c r="C169" s="148" t="s">
        <v>3237</v>
      </c>
      <c r="D169" s="148"/>
      <c r="E169" s="192"/>
      <c r="F169" s="192"/>
      <c r="G169" s="193"/>
      <c r="H169" s="105" t="n">
        <f aca="false">'[2]$ зима'!j169-'[2]$ зима'!au169-'[2]$ зима'!at169-'[2]$ зима'!as169-'[2]$ зима'!ar169-'[2]$ зима'!aq169-'[2]$ зима'!ap169-'[2]$ зима'!an169-'[2]$ зима'!am169-'[2]$ зима'!al169-'[2]$ зима'!ak169-'[2]$ зима'!aj169-'[2]$ зима'!ah169-'[2]$ зима'!ag169-'[2]$ зима'!af169-'[2]$ зима'!ae169-'[2]$ зима'!ad169-'[2]$ зима'!ab169-'[2]$ зима'!aa169-'[2]$ зима'!z169-'[2]$ зима'!y169-'[2]$ зима'!x169-'[2]$ зима'!v169-'[2]$ зима'!u169-'[2]$ зима'!t169-'[2]$ зима'!s169-'[2]$ зима'!r169-'[2]$ зима'!p169-'[2]$ зима'!o169-'[2]$ зима'!n169-'[2]$ зима'!m169-'[2]$ зима'!l169+'[2]$ зима'!q169+'[2]$ зима'!w169+'[2]$ зима'!ac169+'[2]$ зима'!ai169+'[2]$ зима'!ao169+'[2]$ зима'!k169</f>
        <v>2</v>
      </c>
      <c r="I169" s="191" t="n">
        <f aca="false">'[2]$ зима'!ay169*1.1</f>
        <v>1232</v>
      </c>
    </row>
    <row r="170" customFormat="false" ht="15" hidden="true" customHeight="false" outlineLevel="0" collapsed="false">
      <c r="A170" s="196" t="s">
        <v>101</v>
      </c>
      <c r="B170" s="149" t="s">
        <v>586</v>
      </c>
      <c r="C170" s="148" t="s">
        <v>3238</v>
      </c>
      <c r="D170" s="148"/>
      <c r="E170" s="148" t="n">
        <v>82</v>
      </c>
      <c r="F170" s="148" t="s">
        <v>3239</v>
      </c>
      <c r="G170" s="193"/>
      <c r="H170" s="105" t="n">
        <f aca="false">'[2]$ зима'!j170-'[2]$ зима'!au170-'[2]$ зима'!at170-'[2]$ зима'!as170-'[2]$ зима'!ar170-'[2]$ зима'!aq170-'[2]$ зима'!ap170-'[2]$ зима'!an170-'[2]$ зима'!am170-'[2]$ зима'!al170-'[2]$ зима'!ak170-'[2]$ зима'!aj170-'[2]$ зима'!ah170-'[2]$ зима'!ag170-'[2]$ зима'!af170-'[2]$ зима'!ae170-'[2]$ зима'!ad170-'[2]$ зима'!ab170-'[2]$ зима'!aa170-'[2]$ зима'!z170-'[2]$ зима'!y170-'[2]$ зима'!x170-'[2]$ зима'!v170-'[2]$ зима'!u170-'[2]$ зима'!t170-'[2]$ зима'!s170-'[2]$ зима'!r170-'[2]$ зима'!p170-'[2]$ зима'!o170-'[2]$ зима'!n170-'[2]$ зима'!m170-'[2]$ зима'!l170+'[2]$ зима'!q170+'[2]$ зима'!w170+'[2]$ зима'!ac170+'[2]$ зима'!ai170+'[2]$ зима'!ao170+'[2]$ зима'!k170</f>
        <v>0</v>
      </c>
      <c r="I170" s="191" t="n">
        <f aca="false">'[2]$ зима'!ay170*1.1</f>
        <v>770</v>
      </c>
    </row>
    <row r="171" customFormat="false" ht="15" hidden="false" customHeight="false" outlineLevel="0" collapsed="false">
      <c r="A171" s="196" t="s">
        <v>101</v>
      </c>
      <c r="B171" s="149" t="s">
        <v>1149</v>
      </c>
      <c r="C171" s="148" t="s">
        <v>3240</v>
      </c>
      <c r="D171" s="148"/>
      <c r="E171" s="192"/>
      <c r="F171" s="192"/>
      <c r="G171" s="193"/>
      <c r="H171" s="105" t="n">
        <f aca="false">'[2]$ зима'!j171-'[2]$ зима'!au171-'[2]$ зима'!at171-'[2]$ зима'!as171-'[2]$ зима'!ar171-'[2]$ зима'!aq171-'[2]$ зима'!ap171-'[2]$ зима'!an171-'[2]$ зима'!am171-'[2]$ зима'!al171-'[2]$ зима'!ak171-'[2]$ зима'!aj171-'[2]$ зима'!ah171-'[2]$ зима'!ag171-'[2]$ зима'!af171-'[2]$ зима'!ae171-'[2]$ зима'!ad171-'[2]$ зима'!ab171-'[2]$ зима'!aa171-'[2]$ зима'!z171-'[2]$ зима'!y171-'[2]$ зима'!x171-'[2]$ зима'!v171-'[2]$ зима'!u171-'[2]$ зима'!t171-'[2]$ зима'!s171-'[2]$ зима'!r171-'[2]$ зима'!p171-'[2]$ зима'!o171-'[2]$ зима'!n171-'[2]$ зима'!m171-'[2]$ зима'!l171+'[2]$ зима'!q171+'[2]$ зима'!w171+'[2]$ зима'!ac171+'[2]$ зима'!ai171+'[2]$ зима'!ao171+'[2]$ зима'!k171</f>
        <v>2</v>
      </c>
      <c r="I171" s="191" t="n">
        <f aca="false">'[2]$ зима'!ay171*1.1</f>
        <v>1078</v>
      </c>
      <c r="J171" s="171" t="n">
        <v>2010</v>
      </c>
    </row>
    <row r="172" customFormat="false" ht="15" hidden="true" customHeight="false" outlineLevel="0" collapsed="false">
      <c r="A172" s="196" t="s">
        <v>101</v>
      </c>
      <c r="B172" s="149" t="s">
        <v>3142</v>
      </c>
      <c r="C172" s="148" t="s">
        <v>3143</v>
      </c>
      <c r="D172" s="202"/>
      <c r="E172" s="202"/>
      <c r="F172" s="202"/>
      <c r="G172" s="203"/>
      <c r="H172" s="105" t="n">
        <f aca="false">'[2]$ зима'!j172-'[2]$ зима'!au172-'[2]$ зима'!at172-'[2]$ зима'!as172-'[2]$ зима'!ar172-'[2]$ зима'!aq172-'[2]$ зима'!ap172-'[2]$ зима'!an172-'[2]$ зима'!am172-'[2]$ зима'!al172-'[2]$ зима'!ak172-'[2]$ зима'!aj172-'[2]$ зима'!ah172-'[2]$ зима'!ag172-'[2]$ зима'!af172-'[2]$ зима'!ae172-'[2]$ зима'!ad172-'[2]$ зима'!ab172-'[2]$ зима'!aa172-'[2]$ зима'!z172-'[2]$ зима'!y172-'[2]$ зима'!x172-'[2]$ зима'!v172-'[2]$ зима'!u172-'[2]$ зима'!t172-'[2]$ зима'!s172-'[2]$ зима'!r172-'[2]$ зима'!p172-'[2]$ зима'!o172-'[2]$ зима'!n172-'[2]$ зима'!m172-'[2]$ зима'!l172+'[2]$ зима'!q172+'[2]$ зима'!w172+'[2]$ зима'!ac172+'[2]$ зима'!ai172+'[2]$ зима'!ao172+'[2]$ зима'!k172</f>
        <v>0</v>
      </c>
      <c r="I172" s="191" t="n">
        <f aca="false">'[2]$ зима'!ay172*1.1</f>
        <v>616</v>
      </c>
    </row>
    <row r="173" customFormat="false" ht="15" hidden="false" customHeight="false" outlineLevel="0" collapsed="false">
      <c r="A173" s="196" t="s">
        <v>101</v>
      </c>
      <c r="B173" s="149" t="s">
        <v>652</v>
      </c>
      <c r="C173" s="148" t="s">
        <v>3144</v>
      </c>
      <c r="D173" s="148"/>
      <c r="E173" s="192"/>
      <c r="F173" s="192"/>
      <c r="G173" s="193"/>
      <c r="H173" s="105" t="n">
        <f aca="false">'[2]$ зима'!j173-'[2]$ зима'!au173-'[2]$ зима'!at173-'[2]$ зима'!as173-'[2]$ зима'!ar173-'[2]$ зима'!aq173-'[2]$ зима'!ap173-'[2]$ зима'!an173-'[2]$ зима'!am173-'[2]$ зима'!al173-'[2]$ зима'!ak173-'[2]$ зима'!aj173-'[2]$ зима'!ah173-'[2]$ зима'!ag173-'[2]$ зима'!af173-'[2]$ зима'!ae173-'[2]$ зима'!ad173-'[2]$ зима'!ab173-'[2]$ зима'!aa173-'[2]$ зима'!z173-'[2]$ зима'!y173-'[2]$ зима'!x173-'[2]$ зима'!v173-'[2]$ зима'!u173-'[2]$ зима'!t173-'[2]$ зима'!s173-'[2]$ зима'!r173-'[2]$ зима'!p173-'[2]$ зима'!o173-'[2]$ зима'!n173-'[2]$ зима'!m173-'[2]$ зима'!l173+'[2]$ зима'!q173+'[2]$ зима'!w173+'[2]$ зима'!ac173+'[2]$ зима'!ai173+'[2]$ зима'!ao173+'[2]$ зима'!k173</f>
        <v>1</v>
      </c>
      <c r="I173" s="191" t="n">
        <f aca="false">'[2]$ зима'!ay173*1.1</f>
        <v>985.6</v>
      </c>
    </row>
    <row r="174" customFormat="false" ht="15" hidden="false" customHeight="false" outlineLevel="0" collapsed="false">
      <c r="A174" s="196" t="s">
        <v>101</v>
      </c>
      <c r="B174" s="149" t="s">
        <v>589</v>
      </c>
      <c r="C174" s="148" t="s">
        <v>3173</v>
      </c>
      <c r="D174" s="148"/>
      <c r="E174" s="192"/>
      <c r="F174" s="192"/>
      <c r="G174" s="193" t="s">
        <v>626</v>
      </c>
      <c r="H174" s="105" t="n">
        <f aca="false">'[2]$ зима'!j174-'[2]$ зима'!au174-'[2]$ зима'!at174-'[2]$ зима'!as174-'[2]$ зима'!ar174-'[2]$ зима'!aq174-'[2]$ зима'!ap174-'[2]$ зима'!an174-'[2]$ зима'!am174-'[2]$ зима'!al174-'[2]$ зима'!ak174-'[2]$ зима'!aj174-'[2]$ зима'!ah174-'[2]$ зима'!ag174-'[2]$ зима'!af174-'[2]$ зима'!ae174-'[2]$ зима'!ad174-'[2]$ зима'!ab174-'[2]$ зима'!aa174-'[2]$ зима'!z174-'[2]$ зима'!y174-'[2]$ зима'!x174-'[2]$ зима'!v174-'[2]$ зима'!u174-'[2]$ зима'!t174-'[2]$ зима'!s174-'[2]$ зима'!r174-'[2]$ зима'!p174-'[2]$ зима'!o174-'[2]$ зима'!n174-'[2]$ зима'!m174-'[2]$ зима'!l174+'[2]$ зима'!q174+'[2]$ зима'!w174+'[2]$ зима'!ac174+'[2]$ зима'!ai174+'[2]$ зима'!ao174+'[2]$ зима'!k174</f>
        <v>2</v>
      </c>
      <c r="I174" s="191" t="n">
        <f aca="false">'[2]$ зима'!ay174*1.1</f>
        <v>1187.12</v>
      </c>
      <c r="J174" s="171" t="n">
        <v>2008</v>
      </c>
    </row>
    <row r="175" customFormat="false" ht="15" hidden="false" customHeight="false" outlineLevel="0" collapsed="false">
      <c r="A175" s="196" t="s">
        <v>101</v>
      </c>
      <c r="B175" s="149" t="s">
        <v>589</v>
      </c>
      <c r="C175" s="148" t="s">
        <v>3208</v>
      </c>
      <c r="D175" s="148"/>
      <c r="E175" s="192" t="n">
        <v>82</v>
      </c>
      <c r="F175" s="192" t="s">
        <v>562</v>
      </c>
      <c r="G175" s="193" t="s">
        <v>626</v>
      </c>
      <c r="H175" s="105" t="n">
        <f aca="false">'[2]$ зима'!j175-'[2]$ зима'!au175-'[2]$ зима'!at175-'[2]$ зима'!as175-'[2]$ зима'!ar175-'[2]$ зима'!aq175-'[2]$ зима'!ap175-'[2]$ зима'!an175-'[2]$ зима'!am175-'[2]$ зима'!al175-'[2]$ зима'!ak175-'[2]$ зима'!aj175-'[2]$ зима'!ah175-'[2]$ зима'!ag175-'[2]$ зима'!af175-'[2]$ зима'!ae175-'[2]$ зима'!ad175-'[2]$ зима'!ab175-'[2]$ зима'!aa175-'[2]$ зима'!z175-'[2]$ зима'!y175-'[2]$ зима'!x175-'[2]$ зима'!v175-'[2]$ зима'!u175-'[2]$ зима'!t175-'[2]$ зима'!s175-'[2]$ зима'!r175-'[2]$ зима'!p175-'[2]$ зима'!o175-'[2]$ зима'!n175-'[2]$ зима'!m175-'[2]$ зима'!l175+'[2]$ зима'!q175+'[2]$ зима'!w175+'[2]$ зима'!ac175+'[2]$ зима'!ai175+'[2]$ зима'!ao175+'[2]$ зима'!k175</f>
        <v>2</v>
      </c>
      <c r="I175" s="191" t="n">
        <f aca="false">'[2]$ зима'!ay175*1.1</f>
        <v>1405.8</v>
      </c>
    </row>
    <row r="176" customFormat="false" ht="15" hidden="false" customHeight="false" outlineLevel="0" collapsed="false">
      <c r="A176" s="196" t="s">
        <v>101</v>
      </c>
      <c r="B176" s="149" t="s">
        <v>589</v>
      </c>
      <c r="C176" s="148" t="s">
        <v>3209</v>
      </c>
      <c r="D176" s="148"/>
      <c r="E176" s="192"/>
      <c r="F176" s="192"/>
      <c r="G176" s="193" t="s">
        <v>626</v>
      </c>
      <c r="H176" s="105" t="n">
        <f aca="false">'[2]$ зима'!j176-'[2]$ зима'!au176-'[2]$ зима'!at176-'[2]$ зима'!as176-'[2]$ зима'!ar176-'[2]$ зима'!aq176-'[2]$ зима'!ap176-'[2]$ зима'!an176-'[2]$ зима'!am176-'[2]$ зима'!al176-'[2]$ зима'!ak176-'[2]$ зима'!aj176-'[2]$ зима'!ah176-'[2]$ зима'!ag176-'[2]$ зима'!af176-'[2]$ зима'!ae176-'[2]$ зима'!ad176-'[2]$ зима'!ab176-'[2]$ зима'!aa176-'[2]$ зима'!z176-'[2]$ зима'!y176-'[2]$ зима'!x176-'[2]$ зима'!v176-'[2]$ зима'!u176-'[2]$ зима'!t176-'[2]$ зима'!s176-'[2]$ зима'!r176-'[2]$ зима'!p176-'[2]$ зима'!o176-'[2]$ зима'!n176-'[2]$ зима'!m176-'[2]$ зима'!l176+'[2]$ зима'!q176+'[2]$ зима'!w176+'[2]$ зима'!ac176+'[2]$ зима'!ai176+'[2]$ зима'!ao176+'[2]$ зима'!k176</f>
        <v>4</v>
      </c>
      <c r="I176" s="191" t="n">
        <f aca="false">'[2]$ зима'!ay176*1.1</f>
        <v>1499.52</v>
      </c>
      <c r="J176" s="171" t="n">
        <v>2018</v>
      </c>
    </row>
    <row r="177" customFormat="false" ht="15" hidden="true" customHeight="false" outlineLevel="0" collapsed="false">
      <c r="A177" s="196" t="s">
        <v>101</v>
      </c>
      <c r="B177" s="149" t="s">
        <v>1028</v>
      </c>
      <c r="C177" s="148" t="s">
        <v>3176</v>
      </c>
      <c r="D177" s="148"/>
      <c r="E177" s="148"/>
      <c r="F177" s="148"/>
      <c r="G177" s="193"/>
      <c r="H177" s="105" t="n">
        <f aca="false">'[2]$ зима'!j177-'[2]$ зима'!au177-'[2]$ зима'!at177-'[2]$ зима'!as177-'[2]$ зима'!ar177-'[2]$ зима'!aq177-'[2]$ зима'!ap177-'[2]$ зима'!an177-'[2]$ зима'!am177-'[2]$ зима'!al177-'[2]$ зима'!ak177-'[2]$ зима'!aj177-'[2]$ зима'!ah177-'[2]$ зима'!ag177-'[2]$ зима'!af177-'[2]$ зима'!ae177-'[2]$ зима'!ad177-'[2]$ зима'!ab177-'[2]$ зима'!aa177-'[2]$ зима'!z177-'[2]$ зима'!y177-'[2]$ зима'!x177-'[2]$ зима'!v177-'[2]$ зима'!u177-'[2]$ зима'!t177-'[2]$ зима'!s177-'[2]$ зима'!r177-'[2]$ зима'!p177-'[2]$ зима'!o177-'[2]$ зима'!n177-'[2]$ зима'!m177-'[2]$ зима'!l177+'[2]$ зима'!q177+'[2]$ зима'!w177+'[2]$ зима'!ac177+'[2]$ зима'!ai177+'[2]$ зима'!ao177+'[2]$ зима'!k177</f>
        <v>0</v>
      </c>
      <c r="I177" s="191" t="n">
        <f aca="false">'[2]$ зима'!ay177*1.1</f>
        <v>1601.6</v>
      </c>
    </row>
    <row r="178" customFormat="false" ht="15" hidden="true" customHeight="false" outlineLevel="0" collapsed="false">
      <c r="A178" s="196" t="s">
        <v>114</v>
      </c>
      <c r="B178" s="149" t="s">
        <v>560</v>
      </c>
      <c r="C178" s="148" t="s">
        <v>3241</v>
      </c>
      <c r="D178" s="148"/>
      <c r="E178" s="148"/>
      <c r="F178" s="148"/>
      <c r="G178" s="193"/>
      <c r="H178" s="105" t="n">
        <f aca="false">'[2]$ зима'!j178-'[2]$ зима'!au178-'[2]$ зима'!at178-'[2]$ зима'!as178-'[2]$ зима'!ar178-'[2]$ зима'!aq178-'[2]$ зима'!ap178-'[2]$ зима'!an178-'[2]$ зима'!am178-'[2]$ зима'!al178-'[2]$ зима'!ak178-'[2]$ зима'!aj178-'[2]$ зима'!ah178-'[2]$ зима'!ag178-'[2]$ зима'!af178-'[2]$ зима'!ae178-'[2]$ зима'!ad178-'[2]$ зима'!ab178-'[2]$ зима'!aa178-'[2]$ зима'!z178-'[2]$ зима'!y178-'[2]$ зима'!x178-'[2]$ зима'!v178-'[2]$ зима'!u178-'[2]$ зима'!t178-'[2]$ зима'!s178-'[2]$ зима'!r178-'[2]$ зима'!p178-'[2]$ зима'!o178-'[2]$ зима'!n178-'[2]$ зима'!m178-'[2]$ зима'!l178+'[2]$ зима'!q178+'[2]$ зима'!w178+'[2]$ зима'!ac178+'[2]$ зима'!ai178+'[2]$ зима'!ao178+'[2]$ зима'!k178</f>
        <v>0</v>
      </c>
      <c r="I178" s="191" t="n">
        <f aca="false">'[2]$ зима'!ay178*1.1</f>
        <v>462</v>
      </c>
    </row>
    <row r="179" customFormat="false" ht="15" hidden="true" customHeight="false" outlineLevel="0" collapsed="false">
      <c r="A179" s="196" t="s">
        <v>114</v>
      </c>
      <c r="B179" s="149" t="s">
        <v>991</v>
      </c>
      <c r="C179" s="148" t="s">
        <v>3189</v>
      </c>
      <c r="D179" s="148"/>
      <c r="E179" s="148"/>
      <c r="F179" s="148"/>
      <c r="G179" s="193"/>
      <c r="H179" s="105" t="n">
        <f aca="false">'[2]$ зима'!j179-'[2]$ зима'!au179-'[2]$ зима'!at179-'[2]$ зима'!as179-'[2]$ зима'!ar179-'[2]$ зима'!aq179-'[2]$ зима'!ap179-'[2]$ зима'!an179-'[2]$ зима'!am179-'[2]$ зима'!al179-'[2]$ зима'!ak179-'[2]$ зима'!aj179-'[2]$ зима'!ah179-'[2]$ зима'!ag179-'[2]$ зима'!af179-'[2]$ зима'!ae179-'[2]$ зима'!ad179-'[2]$ зима'!ab179-'[2]$ зима'!aa179-'[2]$ зима'!z179-'[2]$ зима'!y179-'[2]$ зима'!x179-'[2]$ зима'!v179-'[2]$ зима'!u179-'[2]$ зима'!t179-'[2]$ зима'!s179-'[2]$ зима'!r179-'[2]$ зима'!p179-'[2]$ зима'!o179-'[2]$ зима'!n179-'[2]$ зима'!m179-'[2]$ зима'!l179+'[2]$ зима'!q179+'[2]$ зима'!w179+'[2]$ зима'!ac179+'[2]$ зима'!ai179+'[2]$ зима'!ao179+'[2]$ зима'!k179</f>
        <v>0</v>
      </c>
      <c r="I179" s="191" t="n">
        <f aca="false">'[2]$ зима'!ay179*1.1</f>
        <v>862.4</v>
      </c>
    </row>
    <row r="180" customFormat="false" ht="15" hidden="false" customHeight="false" outlineLevel="0" collapsed="false">
      <c r="A180" s="196" t="s">
        <v>114</v>
      </c>
      <c r="B180" s="149" t="s">
        <v>991</v>
      </c>
      <c r="C180" s="148" t="s">
        <v>3190</v>
      </c>
      <c r="D180" s="148" t="s">
        <v>3127</v>
      </c>
      <c r="E180" s="192"/>
      <c r="F180" s="192"/>
      <c r="G180" s="193"/>
      <c r="H180" s="105" t="n">
        <f aca="false">'[2]$ зима'!j180-'[2]$ зима'!au180-'[2]$ зима'!at180-'[2]$ зима'!as180-'[2]$ зима'!ar180-'[2]$ зима'!aq180-'[2]$ зима'!ap180-'[2]$ зима'!an180-'[2]$ зима'!am180-'[2]$ зима'!al180-'[2]$ зима'!ak180-'[2]$ зима'!aj180-'[2]$ зима'!ah180-'[2]$ зима'!ag180-'[2]$ зима'!af180-'[2]$ зима'!ae180-'[2]$ зима'!ad180-'[2]$ зима'!ab180-'[2]$ зима'!aa180-'[2]$ зима'!z180-'[2]$ зима'!y180-'[2]$ зима'!x180-'[2]$ зима'!v180-'[2]$ зима'!u180-'[2]$ зима'!t180-'[2]$ зима'!s180-'[2]$ зима'!r180-'[2]$ зима'!p180-'[2]$ зима'!o180-'[2]$ зима'!n180-'[2]$ зима'!m180-'[2]$ зима'!l180+'[2]$ зима'!q180+'[2]$ зима'!w180+'[2]$ зима'!ac180+'[2]$ зима'!ai180+'[2]$ зима'!ao180+'[2]$ зима'!k180</f>
        <v>2</v>
      </c>
      <c r="I180" s="191" t="n">
        <f aca="false">'[2]$ зима'!ay180*1.1</f>
        <v>985.6</v>
      </c>
    </row>
    <row r="181" customFormat="false" ht="15" hidden="true" customHeight="false" outlineLevel="0" collapsed="false">
      <c r="A181" s="196" t="s">
        <v>114</v>
      </c>
      <c r="B181" s="149" t="s">
        <v>2705</v>
      </c>
      <c r="C181" s="148" t="s">
        <v>3242</v>
      </c>
      <c r="D181" s="148"/>
      <c r="E181" s="148" t="n">
        <v>86</v>
      </c>
      <c r="F181" s="148" t="s">
        <v>562</v>
      </c>
      <c r="G181" s="193"/>
      <c r="H181" s="105" t="n">
        <f aca="false">'[2]$ зима'!j181-'[2]$ зима'!au181-'[2]$ зима'!at181-'[2]$ зима'!as181-'[2]$ зима'!ar181-'[2]$ зима'!aq181-'[2]$ зима'!ap181-'[2]$ зима'!an181-'[2]$ зима'!am181-'[2]$ зима'!al181-'[2]$ зима'!ak181-'[2]$ зима'!aj181-'[2]$ зима'!ah181-'[2]$ зима'!ag181-'[2]$ зима'!af181-'[2]$ зима'!ae181-'[2]$ зима'!ad181-'[2]$ зима'!ab181-'[2]$ зима'!aa181-'[2]$ зима'!z181-'[2]$ зима'!y181-'[2]$ зима'!x181-'[2]$ зима'!v181-'[2]$ зима'!u181-'[2]$ зима'!t181-'[2]$ зима'!s181-'[2]$ зима'!r181-'[2]$ зима'!p181-'[2]$ зима'!o181-'[2]$ зима'!n181-'[2]$ зима'!m181-'[2]$ зима'!l181+'[2]$ зима'!q181+'[2]$ зима'!w181+'[2]$ зима'!ac181+'[2]$ зима'!ai181+'[2]$ зима'!ao181+'[2]$ зима'!k181</f>
        <v>0</v>
      </c>
      <c r="I181" s="191" t="n">
        <f aca="false">'[2]$ зима'!ay181*1.1</f>
        <v>954.8</v>
      </c>
      <c r="J181" s="171" t="n">
        <v>2016</v>
      </c>
    </row>
    <row r="182" customFormat="false" ht="15" hidden="false" customHeight="false" outlineLevel="0" collapsed="false">
      <c r="A182" s="196" t="s">
        <v>114</v>
      </c>
      <c r="B182" s="149" t="s">
        <v>568</v>
      </c>
      <c r="C182" s="148" t="s">
        <v>3121</v>
      </c>
      <c r="D182" s="148"/>
      <c r="E182" s="192"/>
      <c r="F182" s="192"/>
      <c r="G182" s="193"/>
      <c r="H182" s="105" t="n">
        <f aca="false">'[2]$ зима'!j182-'[2]$ зима'!au182-'[2]$ зима'!at182-'[2]$ зима'!as182-'[2]$ зима'!ar182-'[2]$ зима'!aq182-'[2]$ зима'!ap182-'[2]$ зима'!an182-'[2]$ зима'!am182-'[2]$ зима'!al182-'[2]$ зима'!ak182-'[2]$ зима'!aj182-'[2]$ зима'!ah182-'[2]$ зима'!ag182-'[2]$ зима'!af182-'[2]$ зима'!ae182-'[2]$ зима'!ad182-'[2]$ зима'!ab182-'[2]$ зима'!aa182-'[2]$ зима'!z182-'[2]$ зима'!y182-'[2]$ зима'!x182-'[2]$ зима'!v182-'[2]$ зима'!u182-'[2]$ зима'!t182-'[2]$ зима'!s182-'[2]$ зима'!r182-'[2]$ зима'!p182-'[2]$ зима'!o182-'[2]$ зима'!n182-'[2]$ зима'!m182-'[2]$ зима'!l182+'[2]$ зима'!q182+'[2]$ зима'!w182+'[2]$ зима'!ac182+'[2]$ зима'!ai182+'[2]$ зима'!ao182+'[2]$ зима'!k182</f>
        <v>9</v>
      </c>
      <c r="I182" s="191" t="n">
        <f aca="false">'[2]$ зима'!ay182*1.1</f>
        <v>985.6</v>
      </c>
      <c r="J182" s="171" t="n">
        <v>2013</v>
      </c>
    </row>
    <row r="183" customFormat="false" ht="15" hidden="true" customHeight="false" outlineLevel="0" collapsed="false">
      <c r="A183" s="196" t="s">
        <v>114</v>
      </c>
      <c r="B183" s="149" t="s">
        <v>844</v>
      </c>
      <c r="C183" s="148" t="s">
        <v>3192</v>
      </c>
      <c r="D183" s="148"/>
      <c r="E183" s="148"/>
      <c r="F183" s="148"/>
      <c r="G183" s="193"/>
      <c r="H183" s="105" t="n">
        <f aca="false">'[2]$ зима'!j183-'[2]$ зима'!au183-'[2]$ зима'!at183-'[2]$ зима'!as183-'[2]$ зима'!ar183-'[2]$ зима'!aq183-'[2]$ зима'!ap183-'[2]$ зима'!an183-'[2]$ зима'!am183-'[2]$ зима'!al183-'[2]$ зима'!ak183-'[2]$ зима'!aj183-'[2]$ зима'!ah183-'[2]$ зима'!ag183-'[2]$ зима'!af183-'[2]$ зима'!ae183-'[2]$ зима'!ad183-'[2]$ зима'!ab183-'[2]$ зима'!aa183-'[2]$ зима'!z183-'[2]$ зима'!y183-'[2]$ зима'!x183-'[2]$ зима'!v183-'[2]$ зима'!u183-'[2]$ зима'!t183-'[2]$ зима'!s183-'[2]$ зима'!r183-'[2]$ зима'!p183-'[2]$ зима'!o183-'[2]$ зима'!n183-'[2]$ зима'!m183-'[2]$ зима'!l183+'[2]$ зима'!q183+'[2]$ зима'!w183+'[2]$ зима'!ac183+'[2]$ зима'!ai183+'[2]$ зима'!ao183+'[2]$ зима'!k183</f>
        <v>0</v>
      </c>
      <c r="I183" s="191" t="n">
        <f aca="false">'[2]$ зима'!ay183*1.1</f>
        <v>985.6</v>
      </c>
    </row>
    <row r="184" customFormat="false" ht="15" hidden="false" customHeight="false" outlineLevel="0" collapsed="false">
      <c r="A184" s="196" t="s">
        <v>114</v>
      </c>
      <c r="B184" s="149" t="s">
        <v>601</v>
      </c>
      <c r="C184" s="148" t="s">
        <v>3151</v>
      </c>
      <c r="D184" s="148"/>
      <c r="E184" s="192" t="n">
        <v>86</v>
      </c>
      <c r="F184" s="192" t="s">
        <v>3207</v>
      </c>
      <c r="G184" s="193"/>
      <c r="H184" s="105" t="n">
        <f aca="false">'[2]$ зима'!j184-'[2]$ зима'!au184-'[2]$ зима'!at184-'[2]$ зима'!as184-'[2]$ зима'!ar184-'[2]$ зима'!aq184-'[2]$ зима'!ap184-'[2]$ зима'!an184-'[2]$ зима'!am184-'[2]$ зима'!al184-'[2]$ зима'!ak184-'[2]$ зима'!aj184-'[2]$ зима'!ah184-'[2]$ зима'!ag184-'[2]$ зима'!af184-'[2]$ зима'!ae184-'[2]$ зима'!ad184-'[2]$ зима'!ab184-'[2]$ зима'!aa184-'[2]$ зима'!z184-'[2]$ зима'!y184-'[2]$ зима'!x184-'[2]$ зима'!v184-'[2]$ зима'!u184-'[2]$ зима'!t184-'[2]$ зима'!s184-'[2]$ зима'!r184-'[2]$ зима'!p184-'[2]$ зима'!o184-'[2]$ зима'!n184-'[2]$ зима'!m184-'[2]$ зима'!l184+'[2]$ зима'!q184+'[2]$ зима'!w184+'[2]$ зима'!ac184+'[2]$ зима'!ai184+'[2]$ зима'!ao184+'[2]$ зима'!k184</f>
        <v>1</v>
      </c>
      <c r="I184" s="191" t="n">
        <f aca="false">'[2]$ зима'!ay184*1.1</f>
        <v>1386</v>
      </c>
    </row>
    <row r="185" customFormat="false" ht="15" hidden="true" customHeight="false" outlineLevel="0" collapsed="false">
      <c r="A185" s="196" t="s">
        <v>114</v>
      </c>
      <c r="B185" s="149" t="s">
        <v>601</v>
      </c>
      <c r="C185" s="148" t="s">
        <v>3243</v>
      </c>
      <c r="D185" s="148"/>
      <c r="E185" s="148"/>
      <c r="F185" s="148"/>
      <c r="G185" s="193"/>
      <c r="H185" s="105" t="n">
        <f aca="false">'[2]$ зима'!j185-'[2]$ зима'!au185-'[2]$ зима'!at185-'[2]$ зима'!as185-'[2]$ зима'!ar185-'[2]$ зима'!aq185-'[2]$ зима'!ap185-'[2]$ зима'!an185-'[2]$ зима'!am185-'[2]$ зима'!al185-'[2]$ зима'!ak185-'[2]$ зима'!aj185-'[2]$ зима'!ah185-'[2]$ зима'!ag185-'[2]$ зима'!af185-'[2]$ зима'!ae185-'[2]$ зима'!ad185-'[2]$ зима'!ab185-'[2]$ зима'!aa185-'[2]$ зима'!z185-'[2]$ зима'!y185-'[2]$ зима'!x185-'[2]$ зима'!v185-'[2]$ зима'!u185-'[2]$ зима'!t185-'[2]$ зима'!s185-'[2]$ зима'!r185-'[2]$ зима'!p185-'[2]$ зима'!o185-'[2]$ зима'!n185-'[2]$ зима'!m185-'[2]$ зима'!l185+'[2]$ зима'!q185+'[2]$ зима'!w185+'[2]$ зима'!ac185+'[2]$ зима'!ai185+'[2]$ зима'!ao185+'[2]$ зима'!k185</f>
        <v>0</v>
      </c>
      <c r="I185" s="191" t="n">
        <f aca="false">'[2]$ зима'!ay185*1.1</f>
        <v>1324.4</v>
      </c>
    </row>
    <row r="186" customFormat="false" ht="15" hidden="false" customHeight="false" outlineLevel="0" collapsed="false">
      <c r="A186" s="196" t="s">
        <v>114</v>
      </c>
      <c r="B186" s="149" t="s">
        <v>601</v>
      </c>
      <c r="C186" s="148" t="s">
        <v>3150</v>
      </c>
      <c r="D186" s="148"/>
      <c r="E186" s="192"/>
      <c r="F186" s="192"/>
      <c r="G186" s="193"/>
      <c r="H186" s="105" t="n">
        <f aca="false">'[2]$ зима'!j186-'[2]$ зима'!au186-'[2]$ зима'!at186-'[2]$ зима'!as186-'[2]$ зима'!ar186-'[2]$ зима'!aq186-'[2]$ зима'!ap186-'[2]$ зима'!an186-'[2]$ зима'!am186-'[2]$ зима'!al186-'[2]$ зима'!ak186-'[2]$ зима'!aj186-'[2]$ зима'!ah186-'[2]$ зима'!ag186-'[2]$ зима'!af186-'[2]$ зима'!ae186-'[2]$ зима'!ad186-'[2]$ зима'!ab186-'[2]$ зима'!aa186-'[2]$ зима'!z186-'[2]$ зима'!y186-'[2]$ зима'!x186-'[2]$ зима'!v186-'[2]$ зима'!u186-'[2]$ зима'!t186-'[2]$ зима'!s186-'[2]$ зима'!r186-'[2]$ зима'!p186-'[2]$ зима'!o186-'[2]$ зима'!n186-'[2]$ зима'!m186-'[2]$ зима'!l186+'[2]$ зима'!q186+'[2]$ зима'!w186+'[2]$ зима'!ac186+'[2]$ зима'!ai186+'[2]$ зима'!ao186+'[2]$ зима'!k186</f>
        <v>1</v>
      </c>
      <c r="I186" s="191" t="n">
        <f aca="false">'[2]$ зима'!ay186*1.1</f>
        <v>1447.6</v>
      </c>
    </row>
    <row r="187" customFormat="false" ht="15" hidden="true" customHeight="false" outlineLevel="0" collapsed="false">
      <c r="A187" s="196" t="s">
        <v>114</v>
      </c>
      <c r="B187" s="149" t="s">
        <v>601</v>
      </c>
      <c r="C187" s="148" t="s">
        <v>3227</v>
      </c>
      <c r="D187" s="148"/>
      <c r="E187" s="148"/>
      <c r="F187" s="148"/>
      <c r="G187" s="193"/>
      <c r="H187" s="105" t="n">
        <f aca="false">'[2]$ зима'!j187-'[2]$ зима'!au187-'[2]$ зима'!at187-'[2]$ зима'!as187-'[2]$ зима'!ar187-'[2]$ зима'!aq187-'[2]$ зима'!ap187-'[2]$ зима'!an187-'[2]$ зима'!am187-'[2]$ зима'!al187-'[2]$ зима'!ak187-'[2]$ зима'!aj187-'[2]$ зима'!ah187-'[2]$ зима'!ag187-'[2]$ зима'!af187-'[2]$ зима'!ae187-'[2]$ зима'!ad187-'[2]$ зима'!ab187-'[2]$ зима'!aa187-'[2]$ зима'!z187-'[2]$ зима'!y187-'[2]$ зима'!x187-'[2]$ зима'!v187-'[2]$ зима'!u187-'[2]$ зима'!t187-'[2]$ зима'!s187-'[2]$ зима'!r187-'[2]$ зима'!p187-'[2]$ зима'!o187-'[2]$ зима'!n187-'[2]$ зима'!m187-'[2]$ зима'!l187+'[2]$ зима'!q187+'[2]$ зима'!w187+'[2]$ зима'!ac187+'[2]$ зима'!ai187+'[2]$ зима'!ao187+'[2]$ зима'!k187</f>
        <v>0</v>
      </c>
      <c r="I187" s="191" t="n">
        <f aca="false">'[2]$ зима'!ay187*1.1</f>
        <v>770</v>
      </c>
    </row>
    <row r="188" customFormat="false" ht="15" hidden="false" customHeight="false" outlineLevel="0" collapsed="false">
      <c r="A188" s="196" t="s">
        <v>114</v>
      </c>
      <c r="B188" s="149" t="s">
        <v>555</v>
      </c>
      <c r="C188" s="148" t="s">
        <v>3140</v>
      </c>
      <c r="D188" s="148"/>
      <c r="E188" s="192"/>
      <c r="F188" s="192"/>
      <c r="G188" s="193"/>
      <c r="H188" s="105" t="n">
        <f aca="false">'[2]$ зима'!j188-'[2]$ зима'!au188-'[2]$ зима'!at188-'[2]$ зима'!as188-'[2]$ зима'!ar188-'[2]$ зима'!aq188-'[2]$ зима'!ap188-'[2]$ зима'!an188-'[2]$ зима'!am188-'[2]$ зима'!al188-'[2]$ зима'!ak188-'[2]$ зима'!aj188-'[2]$ зима'!ah188-'[2]$ зима'!ag188-'[2]$ зима'!af188-'[2]$ зима'!ae188-'[2]$ зима'!ad188-'[2]$ зима'!ab188-'[2]$ зима'!aa188-'[2]$ зима'!z188-'[2]$ зима'!y188-'[2]$ зима'!x188-'[2]$ зима'!v188-'[2]$ зима'!u188-'[2]$ зима'!t188-'[2]$ зима'!s188-'[2]$ зима'!r188-'[2]$ зима'!p188-'[2]$ зима'!o188-'[2]$ зима'!n188-'[2]$ зима'!m188-'[2]$ зима'!l188+'[2]$ зима'!q188+'[2]$ зима'!w188+'[2]$ зима'!ac188+'[2]$ зима'!ai188+'[2]$ зима'!ao188+'[2]$ зима'!k188</f>
        <v>4</v>
      </c>
      <c r="I188" s="191" t="n">
        <f aca="false">'[2]$ зима'!ay188*1.1</f>
        <v>985.6</v>
      </c>
      <c r="J188" s="171" t="n">
        <v>2013</v>
      </c>
    </row>
    <row r="189" customFormat="false" ht="15" hidden="true" customHeight="false" outlineLevel="0" collapsed="false">
      <c r="A189" s="196" t="s">
        <v>114</v>
      </c>
      <c r="B189" s="149" t="s">
        <v>3193</v>
      </c>
      <c r="C189" s="148" t="s">
        <v>3194</v>
      </c>
      <c r="D189" s="148"/>
      <c r="E189" s="148"/>
      <c r="F189" s="148"/>
      <c r="G189" s="193" t="s">
        <v>1954</v>
      </c>
      <c r="H189" s="105" t="n">
        <f aca="false">'[2]$ зима'!j189-'[2]$ зима'!au189-'[2]$ зима'!at189-'[2]$ зима'!as189-'[2]$ зима'!ar189-'[2]$ зима'!aq189-'[2]$ зима'!ap189-'[2]$ зима'!an189-'[2]$ зима'!am189-'[2]$ зима'!al189-'[2]$ зима'!ak189-'[2]$ зима'!aj189-'[2]$ зима'!ah189-'[2]$ зима'!ag189-'[2]$ зима'!af189-'[2]$ зима'!ae189-'[2]$ зима'!ad189-'[2]$ зима'!ab189-'[2]$ зима'!aa189-'[2]$ зима'!z189-'[2]$ зима'!y189-'[2]$ зима'!x189-'[2]$ зима'!v189-'[2]$ зима'!u189-'[2]$ зима'!t189-'[2]$ зима'!s189-'[2]$ зима'!r189-'[2]$ зима'!p189-'[2]$ зима'!o189-'[2]$ зима'!n189-'[2]$ зима'!m189-'[2]$ зима'!l189+'[2]$ зима'!q189+'[2]$ зима'!w189+'[2]$ зима'!ac189+'[2]$ зима'!ai189+'[2]$ зима'!ao189+'[2]$ зима'!k189</f>
        <v>0</v>
      </c>
      <c r="I189" s="191" t="n">
        <f aca="false">'[2]$ зима'!ay189*1.1</f>
        <v>616</v>
      </c>
    </row>
    <row r="190" customFormat="false" ht="15" hidden="true" customHeight="false" outlineLevel="0" collapsed="false">
      <c r="A190" s="196" t="s">
        <v>114</v>
      </c>
      <c r="B190" s="149" t="s">
        <v>741</v>
      </c>
      <c r="C190" s="148" t="s">
        <v>3214</v>
      </c>
      <c r="D190" s="148"/>
      <c r="E190" s="148"/>
      <c r="F190" s="148"/>
      <c r="G190" s="193"/>
      <c r="H190" s="105" t="n">
        <f aca="false">'[2]$ зима'!j190-'[2]$ зима'!au190-'[2]$ зима'!at190-'[2]$ зима'!as190-'[2]$ зима'!ar190-'[2]$ зима'!aq190-'[2]$ зима'!ap190-'[2]$ зима'!an190-'[2]$ зима'!am190-'[2]$ зима'!al190-'[2]$ зима'!ak190-'[2]$ зима'!aj190-'[2]$ зима'!ah190-'[2]$ зима'!ag190-'[2]$ зима'!af190-'[2]$ зима'!ae190-'[2]$ зима'!ad190-'[2]$ зима'!ab190-'[2]$ зима'!aa190-'[2]$ зима'!z190-'[2]$ зима'!y190-'[2]$ зима'!x190-'[2]$ зима'!v190-'[2]$ зима'!u190-'[2]$ зима'!t190-'[2]$ зима'!s190-'[2]$ зима'!r190-'[2]$ зима'!p190-'[2]$ зима'!o190-'[2]$ зима'!n190-'[2]$ зима'!m190-'[2]$ зима'!l190+'[2]$ зима'!q190+'[2]$ зима'!w190+'[2]$ зима'!ac190+'[2]$ зима'!ai190+'[2]$ зима'!ao190+'[2]$ зима'!k190</f>
        <v>0</v>
      </c>
      <c r="I190" s="191" t="n">
        <f aca="false">'[2]$ зима'!ay190*1.1</f>
        <v>770</v>
      </c>
    </row>
    <row r="191" customFormat="false" ht="15" hidden="false" customHeight="false" outlineLevel="0" collapsed="false">
      <c r="A191" s="196" t="s">
        <v>114</v>
      </c>
      <c r="B191" s="149" t="s">
        <v>604</v>
      </c>
      <c r="C191" s="148" t="s">
        <v>3152</v>
      </c>
      <c r="D191" s="148"/>
      <c r="E191" s="192"/>
      <c r="F191" s="192"/>
      <c r="G191" s="193"/>
      <c r="H191" s="105" t="n">
        <f aca="false">'[2]$ зима'!j191-'[2]$ зима'!au191-'[2]$ зима'!at191-'[2]$ зима'!as191-'[2]$ зима'!ar191-'[2]$ зима'!aq191-'[2]$ зима'!ap191-'[2]$ зима'!an191-'[2]$ зима'!am191-'[2]$ зима'!al191-'[2]$ зима'!ak191-'[2]$ зима'!aj191-'[2]$ зима'!ah191-'[2]$ зима'!ag191-'[2]$ зима'!af191-'[2]$ зима'!ae191-'[2]$ зима'!ad191-'[2]$ зима'!ab191-'[2]$ зима'!aa191-'[2]$ зима'!z191-'[2]$ зима'!y191-'[2]$ зима'!x191-'[2]$ зима'!v191-'[2]$ зима'!u191-'[2]$ зима'!t191-'[2]$ зима'!s191-'[2]$ зима'!r191-'[2]$ зима'!p191-'[2]$ зима'!o191-'[2]$ зима'!n191-'[2]$ зима'!m191-'[2]$ зима'!l191+'[2]$ зима'!q191+'[2]$ зима'!w191+'[2]$ зима'!ac191+'[2]$ зима'!ai191+'[2]$ зима'!ao191+'[2]$ зима'!k191</f>
        <v>10</v>
      </c>
      <c r="I191" s="191" t="n">
        <f aca="false">'[2]$ зима'!ay191*1.1</f>
        <v>1139.6</v>
      </c>
      <c r="J191" s="171" t="n">
        <v>2014</v>
      </c>
    </row>
    <row r="192" customFormat="false" ht="15" hidden="true" customHeight="false" outlineLevel="0" collapsed="false">
      <c r="A192" s="196" t="s">
        <v>114</v>
      </c>
      <c r="B192" s="149" t="s">
        <v>744</v>
      </c>
      <c r="C192" s="148" t="s">
        <v>3244</v>
      </c>
      <c r="D192" s="148"/>
      <c r="E192" s="148"/>
      <c r="F192" s="148"/>
      <c r="G192" s="193"/>
      <c r="H192" s="105" t="n">
        <f aca="false">'[2]$ зима'!j192-'[2]$ зима'!au192-'[2]$ зима'!at192-'[2]$ зима'!as192-'[2]$ зима'!ar192-'[2]$ зима'!aq192-'[2]$ зима'!ap192-'[2]$ зима'!an192-'[2]$ зима'!am192-'[2]$ зима'!al192-'[2]$ зима'!ak192-'[2]$ зима'!aj192-'[2]$ зима'!ah192-'[2]$ зима'!ag192-'[2]$ зима'!af192-'[2]$ зима'!ae192-'[2]$ зима'!ad192-'[2]$ зима'!ab192-'[2]$ зима'!aa192-'[2]$ зима'!z192-'[2]$ зима'!y192-'[2]$ зима'!x192-'[2]$ зима'!v192-'[2]$ зима'!u192-'[2]$ зима'!t192-'[2]$ зима'!s192-'[2]$ зима'!r192-'[2]$ зима'!p192-'[2]$ зима'!o192-'[2]$ зима'!n192-'[2]$ зима'!m192-'[2]$ зима'!l192+'[2]$ зима'!q192+'[2]$ зима'!w192+'[2]$ зима'!ac192+'[2]$ зима'!ai192+'[2]$ зима'!ao192+'[2]$ зима'!k192</f>
        <v>0</v>
      </c>
      <c r="I192" s="191" t="n">
        <f aca="false">'[2]$ зима'!ay192*1.1</f>
        <v>462</v>
      </c>
    </row>
    <row r="193" customFormat="false" ht="15" hidden="true" customHeight="false" outlineLevel="0" collapsed="false">
      <c r="A193" s="196" t="s">
        <v>114</v>
      </c>
      <c r="B193" s="149" t="s">
        <v>2480</v>
      </c>
      <c r="C193" s="148" t="s">
        <v>3124</v>
      </c>
      <c r="D193" s="148"/>
      <c r="E193" s="148"/>
      <c r="F193" s="148"/>
      <c r="G193" s="193"/>
      <c r="H193" s="105" t="n">
        <f aca="false">'[2]$ зима'!j193-'[2]$ зима'!au193-'[2]$ зима'!at193-'[2]$ зима'!as193-'[2]$ зима'!ar193-'[2]$ зима'!aq193-'[2]$ зима'!ap193-'[2]$ зима'!an193-'[2]$ зима'!am193-'[2]$ зима'!al193-'[2]$ зима'!ak193-'[2]$ зима'!aj193-'[2]$ зима'!ah193-'[2]$ зима'!ag193-'[2]$ зима'!af193-'[2]$ зима'!ae193-'[2]$ зима'!ad193-'[2]$ зима'!ab193-'[2]$ зима'!aa193-'[2]$ зима'!z193-'[2]$ зима'!y193-'[2]$ зима'!x193-'[2]$ зима'!v193-'[2]$ зима'!u193-'[2]$ зима'!t193-'[2]$ зима'!s193-'[2]$ зима'!r193-'[2]$ зима'!p193-'[2]$ зима'!o193-'[2]$ зима'!n193-'[2]$ зима'!m193-'[2]$ зима'!l193+'[2]$ зима'!q193+'[2]$ зима'!w193+'[2]$ зима'!ac193+'[2]$ зима'!ai193+'[2]$ зима'!ao193+'[2]$ зима'!k193</f>
        <v>0</v>
      </c>
      <c r="I193" s="191" t="n">
        <f aca="false">'[2]$ зима'!ay193*1.1</f>
        <v>1293.6</v>
      </c>
    </row>
    <row r="194" customFormat="false" ht="15" hidden="false" customHeight="false" outlineLevel="0" collapsed="false">
      <c r="A194" s="196" t="s">
        <v>114</v>
      </c>
      <c r="B194" s="149" t="s">
        <v>606</v>
      </c>
      <c r="C194" s="148" t="s">
        <v>3245</v>
      </c>
      <c r="D194" s="148"/>
      <c r="E194" s="192" t="n">
        <v>90</v>
      </c>
      <c r="F194" s="192" t="s">
        <v>3216</v>
      </c>
      <c r="G194" s="193" t="s">
        <v>609</v>
      </c>
      <c r="H194" s="105" t="n">
        <f aca="false">'[2]$ зима'!j194-'[2]$ зима'!au194-'[2]$ зима'!at194-'[2]$ зима'!as194-'[2]$ зима'!ar194-'[2]$ зима'!aq194-'[2]$ зима'!ap194-'[2]$ зима'!an194-'[2]$ зима'!am194-'[2]$ зима'!al194-'[2]$ зима'!ak194-'[2]$ зима'!aj194-'[2]$ зима'!ah194-'[2]$ зима'!ag194-'[2]$ зима'!af194-'[2]$ зима'!ae194-'[2]$ зима'!ad194-'[2]$ зима'!ab194-'[2]$ зима'!aa194-'[2]$ зима'!z194-'[2]$ зима'!y194-'[2]$ зима'!x194-'[2]$ зима'!v194-'[2]$ зима'!u194-'[2]$ зима'!t194-'[2]$ зима'!s194-'[2]$ зима'!r194-'[2]$ зима'!p194-'[2]$ зима'!o194-'[2]$ зима'!n194-'[2]$ зима'!m194-'[2]$ зима'!l194+'[2]$ зима'!q194+'[2]$ зима'!w194+'[2]$ зима'!ac194+'[2]$ зима'!ai194+'[2]$ зима'!ao194+'[2]$ зима'!k194</f>
        <v>20</v>
      </c>
      <c r="I194" s="191" t="n">
        <f aca="false">'[2]$ зима'!ay194*1.1</f>
        <v>1355.2</v>
      </c>
      <c r="J194" s="171" t="n">
        <v>2018</v>
      </c>
    </row>
    <row r="195" customFormat="false" ht="15" hidden="true" customHeight="false" outlineLevel="0" collapsed="false">
      <c r="A195" s="196" t="s">
        <v>114</v>
      </c>
      <c r="B195" s="149" t="s">
        <v>606</v>
      </c>
      <c r="C195" s="148" t="s">
        <v>3246</v>
      </c>
      <c r="D195" s="148"/>
      <c r="E195" s="148" t="n">
        <v>86</v>
      </c>
      <c r="F195" s="148" t="s">
        <v>562</v>
      </c>
      <c r="G195" s="193"/>
      <c r="H195" s="105" t="n">
        <f aca="false">'[2]$ зима'!j195-'[2]$ зима'!au195-'[2]$ зима'!at195-'[2]$ зима'!as195-'[2]$ зима'!ar195-'[2]$ зима'!aq195-'[2]$ зима'!ap195-'[2]$ зима'!an195-'[2]$ зима'!am195-'[2]$ зима'!al195-'[2]$ зима'!ak195-'[2]$ зима'!aj195-'[2]$ зима'!ah195-'[2]$ зима'!ag195-'[2]$ зима'!af195-'[2]$ зима'!ae195-'[2]$ зима'!ad195-'[2]$ зима'!ab195-'[2]$ зима'!aa195-'[2]$ зима'!z195-'[2]$ зима'!y195-'[2]$ зима'!x195-'[2]$ зима'!v195-'[2]$ зима'!u195-'[2]$ зима'!t195-'[2]$ зима'!s195-'[2]$ зима'!r195-'[2]$ зима'!p195-'[2]$ зима'!o195-'[2]$ зима'!n195-'[2]$ зима'!m195-'[2]$ зима'!l195+'[2]$ зима'!q195+'[2]$ зима'!w195+'[2]$ зима'!ac195+'[2]$ зима'!ai195+'[2]$ зима'!ao195+'[2]$ зима'!k195</f>
        <v>0</v>
      </c>
      <c r="I195" s="191" t="n">
        <f aca="false">'[2]$ зима'!ay195*1.1</f>
        <v>1324.4</v>
      </c>
    </row>
    <row r="196" customFormat="false" ht="15" hidden="true" customHeight="false" outlineLevel="0" collapsed="false">
      <c r="A196" s="196" t="s">
        <v>114</v>
      </c>
      <c r="B196" s="149" t="s">
        <v>606</v>
      </c>
      <c r="C196" s="148" t="s">
        <v>3186</v>
      </c>
      <c r="D196" s="148"/>
      <c r="E196" s="148"/>
      <c r="F196" s="148"/>
      <c r="G196" s="193"/>
      <c r="H196" s="105" t="n">
        <f aca="false">'[2]$ зима'!j196-'[2]$ зима'!au196-'[2]$ зима'!at196-'[2]$ зима'!as196-'[2]$ зима'!ar196-'[2]$ зима'!aq196-'[2]$ зима'!ap196-'[2]$ зима'!an196-'[2]$ зима'!am196-'[2]$ зима'!al196-'[2]$ зима'!ak196-'[2]$ зима'!aj196-'[2]$ зима'!ah196-'[2]$ зима'!ag196-'[2]$ зима'!af196-'[2]$ зима'!ae196-'[2]$ зима'!ad196-'[2]$ зима'!ab196-'[2]$ зима'!aa196-'[2]$ зима'!z196-'[2]$ зима'!y196-'[2]$ зима'!x196-'[2]$ зима'!v196-'[2]$ зима'!u196-'[2]$ зима'!t196-'[2]$ зима'!s196-'[2]$ зима'!r196-'[2]$ зима'!p196-'[2]$ зима'!o196-'[2]$ зима'!n196-'[2]$ зима'!m196-'[2]$ зима'!l196+'[2]$ зима'!q196+'[2]$ зима'!w196+'[2]$ зима'!ac196+'[2]$ зима'!ai196+'[2]$ зима'!ao196+'[2]$ зима'!k196</f>
        <v>0</v>
      </c>
      <c r="I196" s="191" t="n">
        <f aca="false">'[2]$ зима'!ay196*1.1</f>
        <v>1170.4</v>
      </c>
    </row>
    <row r="197" customFormat="false" ht="15" hidden="false" customHeight="false" outlineLevel="0" collapsed="false">
      <c r="A197" s="196" t="s">
        <v>114</v>
      </c>
      <c r="B197" s="149" t="s">
        <v>606</v>
      </c>
      <c r="C197" s="148" t="s">
        <v>3231</v>
      </c>
      <c r="D197" s="148"/>
      <c r="E197" s="192" t="n">
        <v>90</v>
      </c>
      <c r="F197" s="192" t="s">
        <v>562</v>
      </c>
      <c r="G197" s="193" t="s">
        <v>609</v>
      </c>
      <c r="H197" s="105" t="n">
        <f aca="false">'[2]$ зима'!j197-'[2]$ зима'!au197-'[2]$ зима'!at197-'[2]$ зима'!as197-'[2]$ зима'!ar197-'[2]$ зима'!aq197-'[2]$ зима'!ap197-'[2]$ зима'!an197-'[2]$ зима'!am197-'[2]$ зима'!al197-'[2]$ зима'!ak197-'[2]$ зима'!aj197-'[2]$ зима'!ah197-'[2]$ зима'!ag197-'[2]$ зима'!af197-'[2]$ зима'!ae197-'[2]$ зима'!ad197-'[2]$ зима'!ab197-'[2]$ зима'!aa197-'[2]$ зима'!z197-'[2]$ зима'!y197-'[2]$ зима'!x197-'[2]$ зима'!v197-'[2]$ зима'!u197-'[2]$ зима'!t197-'[2]$ зима'!s197-'[2]$ зима'!r197-'[2]$ зима'!p197-'[2]$ зима'!o197-'[2]$ зима'!n197-'[2]$ зима'!m197-'[2]$ зима'!l197+'[2]$ зима'!q197+'[2]$ зима'!w197+'[2]$ зима'!ac197+'[2]$ зима'!ai197+'[2]$ зима'!ao197+'[2]$ зима'!k197</f>
        <v>24</v>
      </c>
      <c r="I197" s="191" t="n">
        <f aca="false">'[2]$ зима'!ay197*1.1</f>
        <v>1324.4</v>
      </c>
      <c r="J197" s="171" t="n">
        <v>2018</v>
      </c>
    </row>
    <row r="198" customFormat="false" ht="15" hidden="false" customHeight="false" outlineLevel="0" collapsed="false">
      <c r="A198" s="196" t="s">
        <v>114</v>
      </c>
      <c r="B198" s="149" t="s">
        <v>666</v>
      </c>
      <c r="C198" s="148" t="s">
        <v>3197</v>
      </c>
      <c r="D198" s="148"/>
      <c r="E198" s="192"/>
      <c r="F198" s="192"/>
      <c r="G198" s="193"/>
      <c r="H198" s="105" t="n">
        <f aca="false">'[2]$ зима'!j198-'[2]$ зима'!au198-'[2]$ зима'!at198-'[2]$ зима'!as198-'[2]$ зима'!ar198-'[2]$ зима'!aq198-'[2]$ зима'!ap198-'[2]$ зима'!an198-'[2]$ зима'!am198-'[2]$ зима'!al198-'[2]$ зима'!ak198-'[2]$ зима'!aj198-'[2]$ зима'!ah198-'[2]$ зима'!ag198-'[2]$ зима'!af198-'[2]$ зима'!ae198-'[2]$ зима'!ad198-'[2]$ зима'!ab198-'[2]$ зима'!aa198-'[2]$ зима'!z198-'[2]$ зима'!y198-'[2]$ зима'!x198-'[2]$ зима'!v198-'[2]$ зима'!u198-'[2]$ зима'!t198-'[2]$ зима'!s198-'[2]$ зима'!r198-'[2]$ зима'!p198-'[2]$ зима'!o198-'[2]$ зима'!n198-'[2]$ зима'!m198-'[2]$ зима'!l198+'[2]$ зима'!q198+'[2]$ зима'!w198+'[2]$ зима'!ac198+'[2]$ зима'!ai198+'[2]$ зима'!ao198+'[2]$ зима'!k198</f>
        <v>10</v>
      </c>
      <c r="I198" s="191" t="n">
        <f aca="false">'[2]$ зима'!ay198*1.1</f>
        <v>1293.6</v>
      </c>
      <c r="J198" s="171" t="n">
        <v>2017</v>
      </c>
    </row>
    <row r="199" customFormat="false" ht="15" hidden="true" customHeight="false" outlineLevel="0" collapsed="false">
      <c r="A199" s="196" t="s">
        <v>114</v>
      </c>
      <c r="B199" s="149" t="s">
        <v>572</v>
      </c>
      <c r="C199" s="148" t="s">
        <v>3198</v>
      </c>
      <c r="D199" s="148"/>
      <c r="E199" s="148"/>
      <c r="F199" s="148"/>
      <c r="G199" s="193"/>
      <c r="H199" s="105" t="n">
        <f aca="false">'[2]$ зима'!j199-'[2]$ зима'!au199-'[2]$ зима'!at199-'[2]$ зима'!as199-'[2]$ зима'!ar199-'[2]$ зима'!aq199-'[2]$ зима'!ap199-'[2]$ зима'!an199-'[2]$ зима'!am199-'[2]$ зима'!al199-'[2]$ зима'!ak199-'[2]$ зима'!aj199-'[2]$ зима'!ah199-'[2]$ зима'!ag199-'[2]$ зима'!af199-'[2]$ зима'!ae199-'[2]$ зима'!ad199-'[2]$ зима'!ab199-'[2]$ зима'!aa199-'[2]$ зима'!z199-'[2]$ зима'!y199-'[2]$ зима'!x199-'[2]$ зима'!v199-'[2]$ зима'!u199-'[2]$ зима'!t199-'[2]$ зима'!s199-'[2]$ зима'!r199-'[2]$ зима'!p199-'[2]$ зима'!o199-'[2]$ зима'!n199-'[2]$ зима'!m199-'[2]$ зима'!l199+'[2]$ зима'!q199+'[2]$ зима'!w199+'[2]$ зима'!ac199+'[2]$ зима'!ai199+'[2]$ зима'!ao199+'[2]$ зима'!k199</f>
        <v>0</v>
      </c>
      <c r="I199" s="191" t="n">
        <f aca="false">'[2]$ зима'!ay199*1.1</f>
        <v>770</v>
      </c>
    </row>
    <row r="200" customFormat="false" ht="15" hidden="true" customHeight="false" outlineLevel="0" collapsed="false">
      <c r="A200" s="196" t="s">
        <v>114</v>
      </c>
      <c r="B200" s="149" t="s">
        <v>668</v>
      </c>
      <c r="C200" s="148" t="s">
        <v>3233</v>
      </c>
      <c r="D200" s="148"/>
      <c r="E200" s="148"/>
      <c r="F200" s="148"/>
      <c r="G200" s="193"/>
      <c r="H200" s="105" t="n">
        <f aca="false">'[2]$ зима'!j200-'[2]$ зима'!au200-'[2]$ зима'!at200-'[2]$ зима'!as200-'[2]$ зима'!ar200-'[2]$ зима'!aq200-'[2]$ зима'!ap200-'[2]$ зима'!an200-'[2]$ зима'!am200-'[2]$ зима'!al200-'[2]$ зима'!ak200-'[2]$ зима'!aj200-'[2]$ зима'!ah200-'[2]$ зима'!ag200-'[2]$ зима'!af200-'[2]$ зима'!ae200-'[2]$ зима'!ad200-'[2]$ зима'!ab200-'[2]$ зима'!aa200-'[2]$ зима'!z200-'[2]$ зима'!y200-'[2]$ зима'!x200-'[2]$ зима'!v200-'[2]$ зима'!u200-'[2]$ зима'!t200-'[2]$ зима'!s200-'[2]$ зима'!r200-'[2]$ зима'!p200-'[2]$ зима'!o200-'[2]$ зима'!n200-'[2]$ зима'!m200-'[2]$ зима'!l200+'[2]$ зима'!q200+'[2]$ зима'!w200+'[2]$ зима'!ac200+'[2]$ зима'!ai200+'[2]$ зима'!ao200+'[2]$ зима'!k200</f>
        <v>0</v>
      </c>
      <c r="I200" s="191" t="n">
        <f aca="false">'[2]$ зима'!ay200*1.1</f>
        <v>924</v>
      </c>
    </row>
    <row r="201" customFormat="false" ht="15" hidden="false" customHeight="false" outlineLevel="0" collapsed="false">
      <c r="A201" s="196" t="s">
        <v>114</v>
      </c>
      <c r="B201" s="149" t="s">
        <v>668</v>
      </c>
      <c r="C201" s="194" t="s">
        <v>3182</v>
      </c>
      <c r="D201" s="148"/>
      <c r="E201" s="192"/>
      <c r="F201" s="192"/>
      <c r="G201" s="193" t="s">
        <v>609</v>
      </c>
      <c r="H201" s="105" t="n">
        <f aca="false">'[2]$ зима'!j201-'[2]$ зима'!au201-'[2]$ зима'!at201-'[2]$ зима'!as201-'[2]$ зима'!ar201-'[2]$ зима'!aq201-'[2]$ зима'!ap201-'[2]$ зима'!an201-'[2]$ зима'!am201-'[2]$ зима'!al201-'[2]$ зима'!ak201-'[2]$ зима'!aj201-'[2]$ зима'!ah201-'[2]$ зима'!ag201-'[2]$ зима'!af201-'[2]$ зима'!ae201-'[2]$ зима'!ad201-'[2]$ зима'!ab201-'[2]$ зима'!aa201-'[2]$ зима'!z201-'[2]$ зима'!y201-'[2]$ зима'!x201-'[2]$ зима'!v201-'[2]$ зима'!u201-'[2]$ зима'!t201-'[2]$ зима'!s201-'[2]$ зима'!r201-'[2]$ зима'!p201-'[2]$ зима'!o201-'[2]$ зима'!n201-'[2]$ зима'!m201-'[2]$ зима'!l201+'[2]$ зима'!q201+'[2]$ зима'!w201+'[2]$ зима'!ac201+'[2]$ зима'!ai201+'[2]$ зима'!ao201+'[2]$ зима'!k201</f>
        <v>30</v>
      </c>
      <c r="I201" s="191" t="n">
        <f aca="false">'[2]$ зима'!ay201*1.1</f>
        <v>1262.8</v>
      </c>
      <c r="J201" s="171" t="n">
        <v>2018</v>
      </c>
    </row>
    <row r="202" customFormat="false" ht="15" hidden="false" customHeight="false" outlineLevel="0" collapsed="false">
      <c r="A202" s="196" t="s">
        <v>114</v>
      </c>
      <c r="B202" s="149" t="s">
        <v>668</v>
      </c>
      <c r="C202" s="148" t="s">
        <v>3247</v>
      </c>
      <c r="D202" s="148" t="s">
        <v>3127</v>
      </c>
      <c r="E202" s="192"/>
      <c r="F202" s="192"/>
      <c r="G202" s="193"/>
      <c r="H202" s="105" t="n">
        <f aca="false">'[2]$ зима'!j202-'[2]$ зима'!au202-'[2]$ зима'!at202-'[2]$ зима'!as202-'[2]$ зима'!ar202-'[2]$ зима'!aq202-'[2]$ зима'!ap202-'[2]$ зима'!an202-'[2]$ зима'!am202-'[2]$ зима'!al202-'[2]$ зима'!ak202-'[2]$ зима'!aj202-'[2]$ зима'!ah202-'[2]$ зима'!ag202-'[2]$ зима'!af202-'[2]$ зима'!ae202-'[2]$ зима'!ad202-'[2]$ зима'!ab202-'[2]$ зима'!aa202-'[2]$ зима'!z202-'[2]$ зима'!y202-'[2]$ зима'!x202-'[2]$ зима'!v202-'[2]$ зима'!u202-'[2]$ зима'!t202-'[2]$ зима'!s202-'[2]$ зима'!r202-'[2]$ зима'!p202-'[2]$ зима'!o202-'[2]$ зима'!n202-'[2]$ зима'!m202-'[2]$ зима'!l202+'[2]$ зима'!q202+'[2]$ зима'!w202+'[2]$ зима'!ac202+'[2]$ зима'!ai202+'[2]$ зима'!ao202+'[2]$ зима'!k202</f>
        <v>4</v>
      </c>
      <c r="I202" s="191" t="n">
        <f aca="false">'[2]$ зима'!ay202*1.1</f>
        <v>1262.8</v>
      </c>
    </row>
    <row r="203" customFormat="false" ht="15" hidden="true" customHeight="false" outlineLevel="0" collapsed="false">
      <c r="A203" s="196" t="s">
        <v>114</v>
      </c>
      <c r="B203" s="149" t="s">
        <v>574</v>
      </c>
      <c r="C203" s="148" t="s">
        <v>3200</v>
      </c>
      <c r="D203" s="148"/>
      <c r="E203" s="148"/>
      <c r="F203" s="148"/>
      <c r="G203" s="193" t="s">
        <v>576</v>
      </c>
      <c r="H203" s="105" t="n">
        <f aca="false">'[2]$ зима'!j203-'[2]$ зима'!au203-'[2]$ зима'!at203-'[2]$ зима'!as203-'[2]$ зима'!ar203-'[2]$ зима'!aq203-'[2]$ зима'!ap203-'[2]$ зима'!an203-'[2]$ зима'!am203-'[2]$ зима'!al203-'[2]$ зима'!ak203-'[2]$ зима'!aj203-'[2]$ зима'!ah203-'[2]$ зима'!ag203-'[2]$ зима'!af203-'[2]$ зима'!ae203-'[2]$ зима'!ad203-'[2]$ зима'!ab203-'[2]$ зима'!aa203-'[2]$ зима'!z203-'[2]$ зима'!y203-'[2]$ зима'!x203-'[2]$ зима'!v203-'[2]$ зима'!u203-'[2]$ зима'!t203-'[2]$ зима'!s203-'[2]$ зима'!r203-'[2]$ зима'!p203-'[2]$ зима'!o203-'[2]$ зима'!n203-'[2]$ зима'!m203-'[2]$ зима'!l203+'[2]$ зима'!q203+'[2]$ зима'!w203+'[2]$ зима'!ac203+'[2]$ зима'!ai203+'[2]$ зима'!ao203+'[2]$ зима'!k203</f>
        <v>0</v>
      </c>
      <c r="I203" s="191" t="n">
        <f aca="false">'[2]$ зима'!ay203*1.1</f>
        <v>1120.68</v>
      </c>
    </row>
    <row r="204" customFormat="false" ht="15" hidden="true" customHeight="false" outlineLevel="0" collapsed="false">
      <c r="A204" s="196" t="s">
        <v>114</v>
      </c>
      <c r="B204" s="149" t="s">
        <v>574</v>
      </c>
      <c r="C204" s="148" t="s">
        <v>3248</v>
      </c>
      <c r="D204" s="148" t="s">
        <v>3127</v>
      </c>
      <c r="E204" s="148"/>
      <c r="F204" s="148"/>
      <c r="G204" s="193" t="s">
        <v>576</v>
      </c>
      <c r="H204" s="105" t="n">
        <f aca="false">'[2]$ зима'!j204-'[2]$ зима'!au204-'[2]$ зима'!at204-'[2]$ зима'!as204-'[2]$ зима'!ar204-'[2]$ зима'!aq204-'[2]$ зима'!ap204-'[2]$ зима'!an204-'[2]$ зима'!am204-'[2]$ зима'!al204-'[2]$ зима'!ak204-'[2]$ зима'!aj204-'[2]$ зима'!ah204-'[2]$ зима'!ag204-'[2]$ зима'!af204-'[2]$ зима'!ae204-'[2]$ зима'!ad204-'[2]$ зима'!ab204-'[2]$ зима'!aa204-'[2]$ зима'!z204-'[2]$ зима'!y204-'[2]$ зима'!x204-'[2]$ зима'!v204-'[2]$ зима'!u204-'[2]$ зима'!t204-'[2]$ зима'!s204-'[2]$ зима'!r204-'[2]$ зима'!p204-'[2]$ зима'!o204-'[2]$ зима'!n204-'[2]$ зима'!m204-'[2]$ зима'!l204+'[2]$ зима'!q204+'[2]$ зима'!w204+'[2]$ зима'!ac204+'[2]$ зима'!ai204+'[2]$ зима'!ao204+'[2]$ зима'!k204</f>
        <v>0</v>
      </c>
      <c r="I204" s="191" t="n">
        <f aca="false">'[2]$ зима'!ay204*1.1</f>
        <v>1151.81</v>
      </c>
    </row>
    <row r="205" customFormat="false" ht="15" hidden="false" customHeight="false" outlineLevel="0" collapsed="false">
      <c r="A205" s="196" t="s">
        <v>114</v>
      </c>
      <c r="B205" s="149" t="s">
        <v>574</v>
      </c>
      <c r="C205" s="148" t="s">
        <v>3249</v>
      </c>
      <c r="D205" s="148"/>
      <c r="E205" s="192" t="n">
        <v>86</v>
      </c>
      <c r="F205" s="192" t="s">
        <v>562</v>
      </c>
      <c r="G205" s="193" t="s">
        <v>576</v>
      </c>
      <c r="H205" s="105" t="n">
        <f aca="false">'[2]$ зима'!j205-'[2]$ зима'!au205-'[2]$ зима'!at205-'[2]$ зима'!as205-'[2]$ зима'!ar205-'[2]$ зима'!aq205-'[2]$ зима'!ap205-'[2]$ зима'!an205-'[2]$ зима'!am205-'[2]$ зима'!al205-'[2]$ зима'!ak205-'[2]$ зима'!aj205-'[2]$ зима'!ah205-'[2]$ зима'!ag205-'[2]$ зима'!af205-'[2]$ зима'!ae205-'[2]$ зима'!ad205-'[2]$ зима'!ab205-'[2]$ зима'!aa205-'[2]$ зима'!z205-'[2]$ зима'!y205-'[2]$ зима'!x205-'[2]$ зима'!v205-'[2]$ зима'!u205-'[2]$ зима'!t205-'[2]$ зима'!s205-'[2]$ зима'!r205-'[2]$ зима'!p205-'[2]$ зима'!o205-'[2]$ зима'!n205-'[2]$ зима'!m205-'[2]$ зима'!l205+'[2]$ зима'!q205+'[2]$ зима'!w205+'[2]$ зима'!ac205+'[2]$ зима'!ai205+'[2]$ зима'!ao205+'[2]$ зима'!k205</f>
        <v>12</v>
      </c>
      <c r="I205" s="191" t="n">
        <f aca="false">'[2]$ зима'!ay205*1.1</f>
        <v>1218.36</v>
      </c>
      <c r="J205" s="171" t="n">
        <v>2018</v>
      </c>
    </row>
    <row r="206" customFormat="false" ht="15" hidden="false" customHeight="false" outlineLevel="0" collapsed="false">
      <c r="A206" s="196" t="s">
        <v>114</v>
      </c>
      <c r="B206" s="149" t="s">
        <v>577</v>
      </c>
      <c r="C206" s="148" t="s">
        <v>3250</v>
      </c>
      <c r="D206" s="148"/>
      <c r="E206" s="192" t="n">
        <v>90</v>
      </c>
      <c r="F206" s="192" t="s">
        <v>3216</v>
      </c>
      <c r="G206" s="193" t="s">
        <v>563</v>
      </c>
      <c r="H206" s="105" t="n">
        <f aca="false">'[2]$ зима'!j206-'[2]$ зима'!au206-'[2]$ зима'!at206-'[2]$ зима'!as206-'[2]$ зима'!ar206-'[2]$ зима'!aq206-'[2]$ зима'!ap206-'[2]$ зима'!an206-'[2]$ зима'!am206-'[2]$ зима'!al206-'[2]$ зима'!ak206-'[2]$ зима'!aj206-'[2]$ зима'!ah206-'[2]$ зима'!ag206-'[2]$ зима'!af206-'[2]$ зима'!ae206-'[2]$ зима'!ad206-'[2]$ зима'!ab206-'[2]$ зима'!aa206-'[2]$ зима'!z206-'[2]$ зима'!y206-'[2]$ зима'!x206-'[2]$ зима'!v206-'[2]$ зима'!u206-'[2]$ зима'!t206-'[2]$ зима'!s206-'[2]$ зима'!r206-'[2]$ зима'!p206-'[2]$ зима'!o206-'[2]$ зима'!n206-'[2]$ зима'!m206-'[2]$ зима'!l206+'[2]$ зима'!q206+'[2]$ зима'!w206+'[2]$ зима'!ac206+'[2]$ зима'!ai206+'[2]$ зима'!ao206+'[2]$ зима'!k206</f>
        <v>6</v>
      </c>
      <c r="I206" s="191" t="n">
        <f aca="false">'[2]$ зима'!ay206*1.1</f>
        <v>1201.2</v>
      </c>
    </row>
    <row r="207" customFormat="false" ht="15" hidden="false" customHeight="false" outlineLevel="0" collapsed="false">
      <c r="A207" s="196" t="s">
        <v>114</v>
      </c>
      <c r="B207" s="149" t="s">
        <v>577</v>
      </c>
      <c r="C207" s="148" t="s">
        <v>3251</v>
      </c>
      <c r="D207" s="148"/>
      <c r="E207" s="192"/>
      <c r="F207" s="192"/>
      <c r="G207" s="193" t="s">
        <v>563</v>
      </c>
      <c r="H207" s="105" t="n">
        <f aca="false">'[2]$ зима'!j207-'[2]$ зима'!au207-'[2]$ зима'!at207-'[2]$ зима'!as207-'[2]$ зима'!ar207-'[2]$ зима'!aq207-'[2]$ зима'!ap207-'[2]$ зима'!an207-'[2]$ зима'!am207-'[2]$ зима'!al207-'[2]$ зима'!ak207-'[2]$ зима'!aj207-'[2]$ зима'!ah207-'[2]$ зима'!ag207-'[2]$ зима'!af207-'[2]$ зима'!ae207-'[2]$ зима'!ad207-'[2]$ зима'!ab207-'[2]$ зима'!aa207-'[2]$ зима'!z207-'[2]$ зима'!y207-'[2]$ зима'!x207-'[2]$ зима'!v207-'[2]$ зима'!u207-'[2]$ зима'!t207-'[2]$ зима'!s207-'[2]$ зима'!r207-'[2]$ зима'!p207-'[2]$ зима'!o207-'[2]$ зима'!n207-'[2]$ зима'!m207-'[2]$ зима'!l207+'[2]$ зима'!q207+'[2]$ зима'!w207+'[2]$ зима'!ac207+'[2]$ зима'!ai207+'[2]$ зима'!ao207+'[2]$ зима'!k207</f>
        <v>4</v>
      </c>
      <c r="I207" s="191" t="n">
        <f aca="false">'[2]$ зима'!ay207*1.1</f>
        <v>1170.4</v>
      </c>
    </row>
    <row r="208" customFormat="false" ht="15" hidden="true" customHeight="false" outlineLevel="0" collapsed="false">
      <c r="A208" s="196" t="s">
        <v>114</v>
      </c>
      <c r="B208" s="149" t="s">
        <v>883</v>
      </c>
      <c r="C208" s="148" t="s">
        <v>3252</v>
      </c>
      <c r="D208" s="148"/>
      <c r="E208" s="148"/>
      <c r="F208" s="148"/>
      <c r="G208" s="193"/>
      <c r="H208" s="105" t="n">
        <f aca="false">'[2]$ зима'!j208-'[2]$ зима'!au208-'[2]$ зима'!at208-'[2]$ зима'!as208-'[2]$ зима'!ar208-'[2]$ зима'!aq208-'[2]$ зима'!ap208-'[2]$ зима'!an208-'[2]$ зима'!am208-'[2]$ зима'!al208-'[2]$ зима'!ak208-'[2]$ зима'!aj208-'[2]$ зима'!ah208-'[2]$ зима'!ag208-'[2]$ зима'!af208-'[2]$ зима'!ae208-'[2]$ зима'!ad208-'[2]$ зима'!ab208-'[2]$ зима'!aa208-'[2]$ зима'!z208-'[2]$ зима'!y208-'[2]$ зима'!x208-'[2]$ зима'!v208-'[2]$ зима'!u208-'[2]$ зима'!t208-'[2]$ зима'!s208-'[2]$ зима'!r208-'[2]$ зима'!p208-'[2]$ зима'!o208-'[2]$ зима'!n208-'[2]$ зима'!m208-'[2]$ зима'!l208+'[2]$ зима'!q208+'[2]$ зима'!w208+'[2]$ зима'!ac208+'[2]$ зима'!ai208+'[2]$ зима'!ao208+'[2]$ зима'!k208</f>
        <v>0</v>
      </c>
      <c r="I208" s="191" t="n">
        <f aca="false">'[2]$ зима'!ay208*1.1</f>
        <v>616</v>
      </c>
    </row>
    <row r="209" customFormat="false" ht="15" hidden="false" customHeight="false" outlineLevel="0" collapsed="false">
      <c r="A209" s="196" t="s">
        <v>114</v>
      </c>
      <c r="B209" s="149" t="s">
        <v>883</v>
      </c>
      <c r="C209" s="148" t="s">
        <v>3147</v>
      </c>
      <c r="D209" s="148" t="s">
        <v>3147</v>
      </c>
      <c r="E209" s="192"/>
      <c r="F209" s="192"/>
      <c r="G209" s="193"/>
      <c r="H209" s="105" t="n">
        <f aca="false">'[2]$ зима'!j209-'[2]$ зима'!au209-'[2]$ зима'!at209-'[2]$ зима'!as209-'[2]$ зима'!ar209-'[2]$ зима'!aq209-'[2]$ зима'!ap209-'[2]$ зима'!an209-'[2]$ зима'!am209-'[2]$ зима'!al209-'[2]$ зима'!ak209-'[2]$ зима'!aj209-'[2]$ зима'!ah209-'[2]$ зима'!ag209-'[2]$ зима'!af209-'[2]$ зима'!ae209-'[2]$ зима'!ad209-'[2]$ зима'!ab209-'[2]$ зима'!aa209-'[2]$ зима'!z209-'[2]$ зима'!y209-'[2]$ зима'!x209-'[2]$ зима'!v209-'[2]$ зима'!u209-'[2]$ зима'!t209-'[2]$ зима'!s209-'[2]$ зима'!r209-'[2]$ зима'!p209-'[2]$ зима'!o209-'[2]$ зима'!n209-'[2]$ зима'!m209-'[2]$ зима'!l209+'[2]$ зима'!q209+'[2]$ зима'!w209+'[2]$ зима'!ac209+'[2]$ зима'!ai209+'[2]$ зима'!ao209+'[2]$ зима'!k209</f>
        <v>2</v>
      </c>
      <c r="I209" s="191" t="n">
        <f aca="false">'[2]$ зима'!ay209*1.1</f>
        <v>1293.6</v>
      </c>
    </row>
    <row r="210" customFormat="false" ht="15" hidden="false" customHeight="false" outlineLevel="0" collapsed="false">
      <c r="A210" s="196" t="s">
        <v>114</v>
      </c>
      <c r="B210" s="149" t="s">
        <v>1471</v>
      </c>
      <c r="C210" s="148" t="s">
        <v>3129</v>
      </c>
      <c r="D210" s="148"/>
      <c r="E210" s="192"/>
      <c r="F210" s="192"/>
      <c r="G210" s="193" t="s">
        <v>609</v>
      </c>
      <c r="H210" s="105" t="n">
        <f aca="false">'[2]$ зима'!j210-'[2]$ зима'!au210-'[2]$ зима'!at210-'[2]$ зима'!as210-'[2]$ зима'!ar210-'[2]$ зима'!aq210-'[2]$ зима'!ap210-'[2]$ зима'!an210-'[2]$ зима'!am210-'[2]$ зима'!al210-'[2]$ зима'!ak210-'[2]$ зима'!aj210-'[2]$ зима'!ah210-'[2]$ зима'!ag210-'[2]$ зима'!af210-'[2]$ зима'!ae210-'[2]$ зима'!ad210-'[2]$ зима'!ab210-'[2]$ зима'!aa210-'[2]$ зима'!z210-'[2]$ зима'!y210-'[2]$ зима'!x210-'[2]$ зима'!v210-'[2]$ зима'!u210-'[2]$ зима'!t210-'[2]$ зима'!s210-'[2]$ зима'!r210-'[2]$ зима'!p210-'[2]$ зима'!o210-'[2]$ зима'!n210-'[2]$ зима'!m210-'[2]$ зима'!l210+'[2]$ зима'!q210+'[2]$ зима'!w210+'[2]$ зима'!ac210+'[2]$ зима'!ai210+'[2]$ зима'!ao210+'[2]$ зима'!k210</f>
        <v>40</v>
      </c>
      <c r="I210" s="191" t="n">
        <f aca="false">'[2]$ зима'!ay210*1.1</f>
        <v>1201.2</v>
      </c>
      <c r="J210" s="171" t="s">
        <v>1264</v>
      </c>
    </row>
    <row r="211" customFormat="false" ht="15" hidden="true" customHeight="false" outlineLevel="0" collapsed="false">
      <c r="A211" s="196" t="s">
        <v>114</v>
      </c>
      <c r="B211" s="149" t="s">
        <v>583</v>
      </c>
      <c r="C211" s="148" t="s">
        <v>3130</v>
      </c>
      <c r="D211" s="148"/>
      <c r="E211" s="148"/>
      <c r="F211" s="148"/>
      <c r="G211" s="193"/>
      <c r="H211" s="105" t="n">
        <f aca="false">'[2]$ зима'!j211-'[2]$ зима'!au211-'[2]$ зима'!at211-'[2]$ зима'!as211-'[2]$ зима'!ar211-'[2]$ зима'!aq211-'[2]$ зима'!ap211-'[2]$ зима'!an211-'[2]$ зима'!am211-'[2]$ зима'!al211-'[2]$ зима'!ak211-'[2]$ зима'!aj211-'[2]$ зима'!ah211-'[2]$ зима'!ag211-'[2]$ зима'!af211-'[2]$ зима'!ae211-'[2]$ зима'!ad211-'[2]$ зима'!ab211-'[2]$ зима'!aa211-'[2]$ зима'!z211-'[2]$ зима'!y211-'[2]$ зима'!x211-'[2]$ зима'!v211-'[2]$ зима'!u211-'[2]$ зима'!t211-'[2]$ зима'!s211-'[2]$ зима'!r211-'[2]$ зима'!p211-'[2]$ зима'!o211-'[2]$ зима'!n211-'[2]$ зима'!m211-'[2]$ зима'!l211+'[2]$ зима'!q211+'[2]$ зима'!w211+'[2]$ зима'!ac211+'[2]$ зима'!ai211+'[2]$ зима'!ao211+'[2]$ зима'!k211</f>
        <v>0</v>
      </c>
      <c r="I211" s="191" t="n">
        <f aca="false">'[2]$ зима'!ay211*1.1</f>
        <v>985.6</v>
      </c>
    </row>
    <row r="212" customFormat="false" ht="15" hidden="false" customHeight="false" outlineLevel="0" collapsed="false">
      <c r="A212" s="196" t="s">
        <v>114</v>
      </c>
      <c r="B212" s="149" t="s">
        <v>583</v>
      </c>
      <c r="C212" s="148" t="s">
        <v>3131</v>
      </c>
      <c r="D212" s="148"/>
      <c r="E212" s="192"/>
      <c r="F212" s="192"/>
      <c r="G212" s="193" t="s">
        <v>631</v>
      </c>
      <c r="H212" s="105" t="n">
        <f aca="false">'[2]$ зима'!j212-'[2]$ зима'!au212-'[2]$ зима'!at212-'[2]$ зима'!as212-'[2]$ зима'!ar212-'[2]$ зима'!aq212-'[2]$ зима'!ap212-'[2]$ зима'!an212-'[2]$ зима'!am212-'[2]$ зима'!al212-'[2]$ зима'!ak212-'[2]$ зима'!aj212-'[2]$ зима'!ah212-'[2]$ зима'!ag212-'[2]$ зима'!af212-'[2]$ зима'!ae212-'[2]$ зима'!ad212-'[2]$ зима'!ab212-'[2]$ зима'!aa212-'[2]$ зима'!z212-'[2]$ зима'!y212-'[2]$ зима'!x212-'[2]$ зима'!v212-'[2]$ зима'!u212-'[2]$ зима'!t212-'[2]$ зима'!s212-'[2]$ зима'!r212-'[2]$ зима'!p212-'[2]$ зима'!o212-'[2]$ зима'!n212-'[2]$ зима'!m212-'[2]$ зима'!l212+'[2]$ зима'!q212+'[2]$ зима'!w212+'[2]$ зима'!ac212+'[2]$ зима'!ai212+'[2]$ зима'!ao212+'[2]$ зима'!k212</f>
        <v>4</v>
      </c>
      <c r="I212" s="191" t="n">
        <f aca="false">'[2]$ зима'!ay212*1.1</f>
        <v>1232</v>
      </c>
      <c r="J212" s="171" t="n">
        <v>2018</v>
      </c>
    </row>
    <row r="213" customFormat="false" ht="15" hidden="true" customHeight="false" outlineLevel="0" collapsed="false">
      <c r="A213" s="196" t="s">
        <v>114</v>
      </c>
      <c r="B213" s="149" t="s">
        <v>3203</v>
      </c>
      <c r="C213" s="148" t="s">
        <v>3204</v>
      </c>
      <c r="D213" s="148"/>
      <c r="E213" s="148"/>
      <c r="F213" s="148"/>
      <c r="G213" s="193"/>
      <c r="H213" s="105" t="n">
        <f aca="false">'[2]$ зима'!j213-'[2]$ зима'!au213-'[2]$ зима'!at213-'[2]$ зима'!as213-'[2]$ зима'!ar213-'[2]$ зима'!aq213-'[2]$ зима'!ap213-'[2]$ зима'!an213-'[2]$ зима'!am213-'[2]$ зима'!al213-'[2]$ зима'!ak213-'[2]$ зима'!aj213-'[2]$ зима'!ah213-'[2]$ зима'!ag213-'[2]$ зима'!af213-'[2]$ зима'!ae213-'[2]$ зима'!ad213-'[2]$ зима'!ab213-'[2]$ зима'!aa213-'[2]$ зима'!z213-'[2]$ зима'!y213-'[2]$ зима'!x213-'[2]$ зима'!v213-'[2]$ зима'!u213-'[2]$ зима'!t213-'[2]$ зима'!s213-'[2]$ зима'!r213-'[2]$ зима'!p213-'[2]$ зима'!o213-'[2]$ зима'!n213-'[2]$ зима'!m213-'[2]$ зима'!l213+'[2]$ зима'!q213+'[2]$ зима'!w213+'[2]$ зима'!ac213+'[2]$ зима'!ai213+'[2]$ зима'!ao213+'[2]$ зима'!k213</f>
        <v>0</v>
      </c>
      <c r="I213" s="191" t="n">
        <f aca="false">'[2]$ зима'!ay213*1.1</f>
        <v>616</v>
      </c>
    </row>
    <row r="214" customFormat="false" ht="15" hidden="true" customHeight="false" outlineLevel="0" collapsed="false">
      <c r="A214" s="196" t="s">
        <v>114</v>
      </c>
      <c r="B214" s="149" t="s">
        <v>593</v>
      </c>
      <c r="C214" s="148" t="s">
        <v>3188</v>
      </c>
      <c r="D214" s="148"/>
      <c r="E214" s="148"/>
      <c r="F214" s="148"/>
      <c r="G214" s="193"/>
      <c r="H214" s="105" t="n">
        <f aca="false">'[2]$ зима'!j214-'[2]$ зима'!au214-'[2]$ зима'!at214-'[2]$ зима'!as214-'[2]$ зима'!ar214-'[2]$ зима'!aq214-'[2]$ зима'!ap214-'[2]$ зима'!an214-'[2]$ зима'!am214-'[2]$ зима'!al214-'[2]$ зима'!ak214-'[2]$ зима'!aj214-'[2]$ зима'!ah214-'[2]$ зима'!ag214-'[2]$ зима'!af214-'[2]$ зима'!ae214-'[2]$ зима'!ad214-'[2]$ зима'!ab214-'[2]$ зима'!aa214-'[2]$ зима'!z214-'[2]$ зима'!y214-'[2]$ зима'!x214-'[2]$ зима'!v214-'[2]$ зима'!u214-'[2]$ зима'!t214-'[2]$ зима'!s214-'[2]$ зима'!r214-'[2]$ зима'!p214-'[2]$ зима'!o214-'[2]$ зима'!n214-'[2]$ зима'!m214-'[2]$ зима'!l214+'[2]$ зима'!q214+'[2]$ зима'!w214+'[2]$ зима'!ac214+'[2]$ зима'!ai214+'[2]$ зима'!ao214+'[2]$ зима'!k214</f>
        <v>0</v>
      </c>
      <c r="I214" s="191" t="n">
        <f aca="false">'[2]$ зима'!ay214*1.1</f>
        <v>1386</v>
      </c>
      <c r="J214" s="171" t="n">
        <v>2013</v>
      </c>
    </row>
    <row r="215" customFormat="false" ht="15" hidden="true" customHeight="false" outlineLevel="0" collapsed="false">
      <c r="A215" s="196" t="s">
        <v>114</v>
      </c>
      <c r="B215" s="149" t="s">
        <v>593</v>
      </c>
      <c r="C215" s="148" t="s">
        <v>3253</v>
      </c>
      <c r="D215" s="148" t="s">
        <v>3147</v>
      </c>
      <c r="E215" s="148"/>
      <c r="F215" s="148"/>
      <c r="G215" s="193"/>
      <c r="H215" s="105" t="n">
        <f aca="false">'[2]$ зима'!j215-'[2]$ зима'!au215-'[2]$ зима'!at215-'[2]$ зима'!as215-'[2]$ зима'!ar215-'[2]$ зима'!aq215-'[2]$ зима'!ap215-'[2]$ зима'!an215-'[2]$ зима'!am215-'[2]$ зима'!al215-'[2]$ зима'!ak215-'[2]$ зима'!aj215-'[2]$ зима'!ah215-'[2]$ зима'!ag215-'[2]$ зима'!af215-'[2]$ зима'!ae215-'[2]$ зима'!ad215-'[2]$ зима'!ab215-'[2]$ зима'!aa215-'[2]$ зима'!z215-'[2]$ зима'!y215-'[2]$ зима'!x215-'[2]$ зима'!v215-'[2]$ зима'!u215-'[2]$ зима'!t215-'[2]$ зима'!s215-'[2]$ зима'!r215-'[2]$ зима'!p215-'[2]$ зима'!o215-'[2]$ зима'!n215-'[2]$ зима'!m215-'[2]$ зима'!l215+'[2]$ зима'!q215+'[2]$ зима'!w215+'[2]$ зима'!ac215+'[2]$ зима'!ai215+'[2]$ зима'!ao215+'[2]$ зима'!k215</f>
        <v>0</v>
      </c>
      <c r="I215" s="191" t="n">
        <f aca="false">'[2]$ зима'!ay215*1.1</f>
        <v>2002</v>
      </c>
    </row>
    <row r="216" customFormat="false" ht="15" hidden="false" customHeight="false" outlineLevel="0" collapsed="false">
      <c r="A216" s="196" t="s">
        <v>114</v>
      </c>
      <c r="B216" s="149" t="s">
        <v>3254</v>
      </c>
      <c r="C216" s="148" t="s">
        <v>3147</v>
      </c>
      <c r="D216" s="148" t="s">
        <v>3147</v>
      </c>
      <c r="E216" s="192"/>
      <c r="F216" s="192"/>
      <c r="G216" s="193"/>
      <c r="H216" s="105" t="n">
        <f aca="false">'[2]$ зима'!j216-'[2]$ зима'!au216-'[2]$ зима'!at216-'[2]$ зима'!as216-'[2]$ зима'!ar216-'[2]$ зима'!aq216-'[2]$ зима'!ap216-'[2]$ зима'!an216-'[2]$ зима'!am216-'[2]$ зима'!al216-'[2]$ зима'!ak216-'[2]$ зима'!aj216-'[2]$ зима'!ah216-'[2]$ зима'!ag216-'[2]$ зима'!af216-'[2]$ зима'!ae216-'[2]$ зима'!ad216-'[2]$ зима'!ab216-'[2]$ зима'!aa216-'[2]$ зима'!z216-'[2]$ зима'!y216-'[2]$ зима'!x216-'[2]$ зима'!v216-'[2]$ зима'!u216-'[2]$ зима'!t216-'[2]$ зима'!s216-'[2]$ зима'!r216-'[2]$ зима'!p216-'[2]$ зима'!o216-'[2]$ зима'!n216-'[2]$ зима'!m216-'[2]$ зима'!l216+'[2]$ зима'!q216+'[2]$ зима'!w216+'[2]$ зима'!ac216+'[2]$ зима'!ai216+'[2]$ зима'!ao216+'[2]$ зима'!k216</f>
        <v>2</v>
      </c>
      <c r="I216" s="191" t="n">
        <f aca="false">'[2]$ зима'!ay216*1.1</f>
        <v>1478.4</v>
      </c>
    </row>
    <row r="217" customFormat="false" ht="15" hidden="true" customHeight="false" outlineLevel="0" collapsed="false">
      <c r="A217" s="196" t="s">
        <v>114</v>
      </c>
      <c r="B217" s="149" t="s">
        <v>3142</v>
      </c>
      <c r="C217" s="148" t="s">
        <v>3143</v>
      </c>
      <c r="D217" s="148"/>
      <c r="E217" s="148"/>
      <c r="F217" s="148"/>
      <c r="G217" s="193"/>
      <c r="H217" s="105" t="n">
        <f aca="false">'[2]$ зима'!j217-'[2]$ зима'!au217-'[2]$ зима'!at217-'[2]$ зима'!as217-'[2]$ зима'!ar217-'[2]$ зима'!aq217-'[2]$ зима'!ap217-'[2]$ зима'!an217-'[2]$ зима'!am217-'[2]$ зима'!al217-'[2]$ зима'!ak217-'[2]$ зима'!aj217-'[2]$ зима'!ah217-'[2]$ зима'!ag217-'[2]$ зима'!af217-'[2]$ зима'!ae217-'[2]$ зима'!ad217-'[2]$ зима'!ab217-'[2]$ зима'!aa217-'[2]$ зима'!z217-'[2]$ зима'!y217-'[2]$ зима'!x217-'[2]$ зима'!v217-'[2]$ зима'!u217-'[2]$ зима'!t217-'[2]$ зима'!s217-'[2]$ зима'!r217-'[2]$ зима'!p217-'[2]$ зима'!o217-'[2]$ зима'!n217-'[2]$ зима'!m217-'[2]$ зима'!l217+'[2]$ зима'!q217+'[2]$ зима'!w217+'[2]$ зима'!ac217+'[2]$ зима'!ai217+'[2]$ зима'!ao217+'[2]$ зима'!k217</f>
        <v>0</v>
      </c>
      <c r="I217" s="191" t="n">
        <f aca="false">'[2]$ зима'!ay217*1.1</f>
        <v>770</v>
      </c>
    </row>
    <row r="218" customFormat="false" ht="15" hidden="true" customHeight="false" outlineLevel="0" collapsed="false">
      <c r="A218" s="196" t="s">
        <v>114</v>
      </c>
      <c r="B218" s="149" t="s">
        <v>3142</v>
      </c>
      <c r="C218" s="148" t="s">
        <v>3255</v>
      </c>
      <c r="D218" s="148" t="s">
        <v>3127</v>
      </c>
      <c r="E218" s="148"/>
      <c r="F218" s="148"/>
      <c r="G218" s="193"/>
      <c r="H218" s="105" t="n">
        <f aca="false">'[2]$ зима'!j218-'[2]$ зима'!au218-'[2]$ зима'!at218-'[2]$ зима'!as218-'[2]$ зима'!ar218-'[2]$ зима'!aq218-'[2]$ зима'!ap218-'[2]$ зима'!an218-'[2]$ зима'!am218-'[2]$ зима'!al218-'[2]$ зима'!ak218-'[2]$ зима'!aj218-'[2]$ зима'!ah218-'[2]$ зима'!ag218-'[2]$ зима'!af218-'[2]$ зима'!ae218-'[2]$ зима'!ad218-'[2]$ зима'!ab218-'[2]$ зима'!aa218-'[2]$ зима'!z218-'[2]$ зима'!y218-'[2]$ зима'!x218-'[2]$ зима'!v218-'[2]$ зима'!u218-'[2]$ зима'!t218-'[2]$ зима'!s218-'[2]$ зима'!r218-'[2]$ зима'!p218-'[2]$ зима'!o218-'[2]$ зима'!n218-'[2]$ зима'!m218-'[2]$ зима'!l218+'[2]$ зима'!q218+'[2]$ зима'!w218+'[2]$ зима'!ac218+'[2]$ зима'!ai218+'[2]$ зима'!ao218+'[2]$ зима'!k218</f>
        <v>0</v>
      </c>
      <c r="I218" s="191" t="n">
        <f aca="false">'[2]$ зима'!ay218*1.1</f>
        <v>985.6</v>
      </c>
    </row>
    <row r="219" customFormat="false" ht="15" hidden="false" customHeight="false" outlineLevel="0" collapsed="false">
      <c r="A219" s="196" t="s">
        <v>114</v>
      </c>
      <c r="B219" s="149" t="s">
        <v>677</v>
      </c>
      <c r="C219" s="148" t="s">
        <v>3256</v>
      </c>
      <c r="D219" s="202" t="s">
        <v>3127</v>
      </c>
      <c r="E219" s="211"/>
      <c r="F219" s="211"/>
      <c r="G219" s="203"/>
      <c r="H219" s="105" t="n">
        <f aca="false">'[2]$ зима'!j219-'[2]$ зима'!au219-'[2]$ зима'!at219-'[2]$ зима'!as219-'[2]$ зима'!ar219-'[2]$ зима'!aq219-'[2]$ зима'!ap219-'[2]$ зима'!an219-'[2]$ зима'!am219-'[2]$ зима'!al219-'[2]$ зима'!ak219-'[2]$ зима'!aj219-'[2]$ зима'!ah219-'[2]$ зима'!ag219-'[2]$ зима'!af219-'[2]$ зима'!ae219-'[2]$ зима'!ad219-'[2]$ зима'!ab219-'[2]$ зима'!aa219-'[2]$ зима'!z219-'[2]$ зима'!y219-'[2]$ зима'!x219-'[2]$ зима'!v219-'[2]$ зима'!u219-'[2]$ зима'!t219-'[2]$ зима'!s219-'[2]$ зима'!r219-'[2]$ зима'!p219-'[2]$ зима'!o219-'[2]$ зима'!n219-'[2]$ зима'!m219-'[2]$ зима'!l219+'[2]$ зима'!q219+'[2]$ зима'!w219+'[2]$ зима'!ac219+'[2]$ зима'!ai219+'[2]$ зима'!ao219+'[2]$ зима'!k219</f>
        <v>8</v>
      </c>
      <c r="I219" s="191" t="n">
        <f aca="false">'[2]$ зима'!ay219*1.1</f>
        <v>954.8</v>
      </c>
    </row>
    <row r="220" customFormat="false" ht="15" hidden="false" customHeight="false" outlineLevel="0" collapsed="false">
      <c r="A220" s="196" t="s">
        <v>114</v>
      </c>
      <c r="B220" s="149" t="s">
        <v>652</v>
      </c>
      <c r="C220" s="148" t="s">
        <v>3144</v>
      </c>
      <c r="D220" s="148"/>
      <c r="E220" s="192"/>
      <c r="F220" s="192"/>
      <c r="G220" s="193"/>
      <c r="H220" s="105" t="n">
        <f aca="false">'[2]$ зима'!j220-'[2]$ зима'!au220-'[2]$ зима'!at220-'[2]$ зима'!as220-'[2]$ зима'!ar220-'[2]$ зима'!aq220-'[2]$ зима'!ap220-'[2]$ зима'!an220-'[2]$ зима'!am220-'[2]$ зима'!al220-'[2]$ зима'!ak220-'[2]$ зима'!aj220-'[2]$ зима'!ah220-'[2]$ зима'!ag220-'[2]$ зима'!af220-'[2]$ зима'!ae220-'[2]$ зима'!ad220-'[2]$ зима'!ab220-'[2]$ зима'!aa220-'[2]$ зима'!z220-'[2]$ зима'!y220-'[2]$ зима'!x220-'[2]$ зима'!v220-'[2]$ зима'!u220-'[2]$ зима'!t220-'[2]$ зима'!s220-'[2]$ зима'!r220-'[2]$ зима'!p220-'[2]$ зима'!o220-'[2]$ зима'!n220-'[2]$ зима'!m220-'[2]$ зима'!l220+'[2]$ зима'!q220+'[2]$ зима'!w220+'[2]$ зима'!ac220+'[2]$ зима'!ai220+'[2]$ зима'!ao220+'[2]$ зима'!k220</f>
        <v>5</v>
      </c>
      <c r="I220" s="191" t="n">
        <f aca="false">'[2]$ зима'!ay220*1.1</f>
        <v>1047.2</v>
      </c>
      <c r="J220" s="171" t="n">
        <v>2014</v>
      </c>
    </row>
    <row r="221" customFormat="false" ht="15" hidden="true" customHeight="false" outlineLevel="0" collapsed="false">
      <c r="A221" s="196" t="s">
        <v>114</v>
      </c>
      <c r="B221" s="149" t="s">
        <v>589</v>
      </c>
      <c r="C221" s="148" t="s">
        <v>3257</v>
      </c>
      <c r="D221" s="148"/>
      <c r="E221" s="148"/>
      <c r="F221" s="148"/>
      <c r="G221" s="193" t="s">
        <v>626</v>
      </c>
      <c r="H221" s="105" t="n">
        <f aca="false">'[2]$ зима'!j221-'[2]$ зима'!au221-'[2]$ зима'!at221-'[2]$ зима'!as221-'[2]$ зима'!ar221-'[2]$ зима'!aq221-'[2]$ зима'!ap221-'[2]$ зима'!an221-'[2]$ зима'!am221-'[2]$ зима'!al221-'[2]$ зима'!ak221-'[2]$ зима'!aj221-'[2]$ зима'!ah221-'[2]$ зима'!ag221-'[2]$ зима'!af221-'[2]$ зима'!ae221-'[2]$ зима'!ad221-'[2]$ зима'!ab221-'[2]$ зима'!aa221-'[2]$ зима'!z221-'[2]$ зима'!y221-'[2]$ зима'!x221-'[2]$ зима'!v221-'[2]$ зима'!u221-'[2]$ зима'!t221-'[2]$ зима'!s221-'[2]$ зима'!r221-'[2]$ зима'!p221-'[2]$ зима'!o221-'[2]$ зима'!n221-'[2]$ зима'!m221-'[2]$ зима'!l221+'[2]$ зима'!q221+'[2]$ зима'!w221+'[2]$ зима'!ac221+'[2]$ зима'!ai221+'[2]$ зима'!ao221+'[2]$ зима'!k221</f>
        <v>0</v>
      </c>
      <c r="I221" s="191" t="n">
        <f aca="false">'[2]$ зима'!ay221*1.1</f>
        <v>933.9</v>
      </c>
    </row>
    <row r="222" customFormat="false" ht="15" hidden="true" customHeight="false" outlineLevel="0" collapsed="false">
      <c r="A222" s="196" t="s">
        <v>114</v>
      </c>
      <c r="B222" s="149" t="s">
        <v>589</v>
      </c>
      <c r="C222" s="148" t="s">
        <v>3258</v>
      </c>
      <c r="D222" s="148"/>
      <c r="E222" s="148"/>
      <c r="F222" s="148"/>
      <c r="G222" s="193" t="s">
        <v>626</v>
      </c>
      <c r="H222" s="105" t="n">
        <f aca="false">'[2]$ зима'!j222-'[2]$ зима'!au222-'[2]$ зима'!at222-'[2]$ зима'!as222-'[2]$ зима'!ar222-'[2]$ зима'!aq222-'[2]$ зима'!ap222-'[2]$ зима'!an222-'[2]$ зима'!am222-'[2]$ зима'!al222-'[2]$ зима'!ak222-'[2]$ зима'!aj222-'[2]$ зима'!ah222-'[2]$ зима'!ag222-'[2]$ зима'!af222-'[2]$ зима'!ae222-'[2]$ зима'!ad222-'[2]$ зима'!ab222-'[2]$ зима'!aa222-'[2]$ зима'!z222-'[2]$ зима'!y222-'[2]$ зима'!x222-'[2]$ зима'!v222-'[2]$ зима'!u222-'[2]$ зима'!t222-'[2]$ зима'!s222-'[2]$ зима'!r222-'[2]$ зима'!p222-'[2]$ зима'!o222-'[2]$ зима'!n222-'[2]$ зима'!m222-'[2]$ зима'!l222+'[2]$ зима'!q222+'[2]$ зима'!w222+'[2]$ зима'!ac222+'[2]$ зима'!ai222+'[2]$ зима'!ao222+'[2]$ зима'!k222</f>
        <v>0</v>
      </c>
      <c r="I222" s="191" t="n">
        <f aca="false">'[2]$ зима'!ay222*1.1</f>
        <v>933.9</v>
      </c>
      <c r="J222" s="171" t="n">
        <v>2013</v>
      </c>
    </row>
    <row r="223" customFormat="false" ht="15" hidden="true" customHeight="false" outlineLevel="0" collapsed="false">
      <c r="A223" s="196" t="s">
        <v>114</v>
      </c>
      <c r="B223" s="149" t="s">
        <v>589</v>
      </c>
      <c r="C223" s="148" t="s">
        <v>3173</v>
      </c>
      <c r="D223" s="148"/>
      <c r="E223" s="148"/>
      <c r="F223" s="148"/>
      <c r="G223" s="193" t="s">
        <v>626</v>
      </c>
      <c r="H223" s="105" t="n">
        <f aca="false">'[2]$ зима'!j223-'[2]$ зима'!au223-'[2]$ зима'!at223-'[2]$ зима'!as223-'[2]$ зима'!ar223-'[2]$ зима'!aq223-'[2]$ зима'!ap223-'[2]$ зима'!an223-'[2]$ зима'!am223-'[2]$ зима'!al223-'[2]$ зима'!ak223-'[2]$ зима'!aj223-'[2]$ зима'!ah223-'[2]$ зима'!ag223-'[2]$ зима'!af223-'[2]$ зима'!ae223-'[2]$ зима'!ad223-'[2]$ зима'!ab223-'[2]$ зима'!aa223-'[2]$ зима'!z223-'[2]$ зима'!y223-'[2]$ зима'!x223-'[2]$ зима'!v223-'[2]$ зима'!u223-'[2]$ зима'!t223-'[2]$ зима'!s223-'[2]$ зима'!r223-'[2]$ зима'!p223-'[2]$ зима'!o223-'[2]$ зима'!n223-'[2]$ зима'!m223-'[2]$ зима'!l223+'[2]$ зима'!q223+'[2]$ зима'!w223+'[2]$ зима'!ac223+'[2]$ зима'!ai223+'[2]$ зима'!ao223+'[2]$ зима'!k223</f>
        <v>0</v>
      </c>
      <c r="I223" s="191" t="n">
        <f aca="false">'[2]$ зима'!ay223*1.1</f>
        <v>1120.68</v>
      </c>
    </row>
    <row r="224" customFormat="false" ht="15" hidden="false" customHeight="false" outlineLevel="0" collapsed="false">
      <c r="A224" s="196" t="s">
        <v>114</v>
      </c>
      <c r="B224" s="149" t="s">
        <v>589</v>
      </c>
      <c r="C224" s="148" t="s">
        <v>3208</v>
      </c>
      <c r="D224" s="148"/>
      <c r="E224" s="192"/>
      <c r="F224" s="192"/>
      <c r="G224" s="193" t="s">
        <v>626</v>
      </c>
      <c r="H224" s="105" t="n">
        <f aca="false">'[2]$ зима'!j224-'[2]$ зима'!au224-'[2]$ зима'!at224-'[2]$ зима'!as224-'[2]$ зима'!ar224-'[2]$ зима'!aq224-'[2]$ зима'!ap224-'[2]$ зима'!an224-'[2]$ зима'!am224-'[2]$ зима'!al224-'[2]$ зима'!ak224-'[2]$ зима'!aj224-'[2]$ зима'!ah224-'[2]$ зима'!ag224-'[2]$ зима'!af224-'[2]$ зима'!ae224-'[2]$ зима'!ad224-'[2]$ зима'!ab224-'[2]$ зима'!aa224-'[2]$ зима'!z224-'[2]$ зима'!y224-'[2]$ зима'!x224-'[2]$ зима'!v224-'[2]$ зима'!u224-'[2]$ зима'!t224-'[2]$ зима'!s224-'[2]$ зима'!r224-'[2]$ зима'!p224-'[2]$ зима'!o224-'[2]$ зима'!n224-'[2]$ зима'!m224-'[2]$ зима'!l224+'[2]$ зима'!q224+'[2]$ зима'!w224+'[2]$ зима'!ac224+'[2]$ зима'!ai224+'[2]$ зима'!ao224+'[2]$ зима'!k224</f>
        <v>12</v>
      </c>
      <c r="I224" s="191" t="n">
        <f aca="false">'[2]$ зима'!ay224*1.1</f>
        <v>1343.32</v>
      </c>
    </row>
    <row r="225" customFormat="false" ht="15" hidden="false" customHeight="false" outlineLevel="0" collapsed="false">
      <c r="A225" s="196" t="s">
        <v>114</v>
      </c>
      <c r="B225" s="149" t="s">
        <v>589</v>
      </c>
      <c r="C225" s="148" t="s">
        <v>3259</v>
      </c>
      <c r="D225" s="148"/>
      <c r="E225" s="192" t="n">
        <v>86</v>
      </c>
      <c r="F225" s="192" t="s">
        <v>3207</v>
      </c>
      <c r="G225" s="193" t="s">
        <v>626</v>
      </c>
      <c r="H225" s="105" t="n">
        <f aca="false">'[2]$ зима'!j225-'[2]$ зима'!au225-'[2]$ зима'!at225-'[2]$ зима'!as225-'[2]$ зима'!ar225-'[2]$ зима'!aq225-'[2]$ зима'!ap225-'[2]$ зима'!an225-'[2]$ зима'!am225-'[2]$ зима'!al225-'[2]$ зима'!ak225-'[2]$ зима'!aj225-'[2]$ зима'!ah225-'[2]$ зима'!ag225-'[2]$ зима'!af225-'[2]$ зима'!ae225-'[2]$ зима'!ad225-'[2]$ зима'!ab225-'[2]$ зима'!aa225-'[2]$ зима'!z225-'[2]$ зима'!y225-'[2]$ зима'!x225-'[2]$ зима'!v225-'[2]$ зима'!u225-'[2]$ зима'!t225-'[2]$ зима'!s225-'[2]$ зима'!r225-'[2]$ зима'!p225-'[2]$ зима'!o225-'[2]$ зима'!n225-'[2]$ зима'!m225-'[2]$ зима'!l225+'[2]$ зима'!q225+'[2]$ зима'!w225+'[2]$ зима'!ac225+'[2]$ зима'!ai225+'[2]$ зима'!ao225+'[2]$ зима'!k225</f>
        <v>20</v>
      </c>
      <c r="I225" s="191" t="n">
        <f aca="false">'[2]$ зима'!ay225*1.1</f>
        <v>1499.52</v>
      </c>
      <c r="J225" s="171" t="n">
        <v>2018</v>
      </c>
    </row>
    <row r="226" customFormat="false" ht="15" hidden="true" customHeight="false" outlineLevel="0" collapsed="false">
      <c r="A226" s="196" t="s">
        <v>114</v>
      </c>
      <c r="B226" s="149" t="s">
        <v>1028</v>
      </c>
      <c r="C226" s="148" t="s">
        <v>3176</v>
      </c>
      <c r="D226" s="148"/>
      <c r="E226" s="148"/>
      <c r="F226" s="148"/>
      <c r="G226" s="193"/>
      <c r="H226" s="105" t="n">
        <f aca="false">'[2]$ зима'!j226-'[2]$ зима'!au226-'[2]$ зима'!at226-'[2]$ зима'!as226-'[2]$ зима'!ar226-'[2]$ зима'!aq226-'[2]$ зима'!ap226-'[2]$ зима'!an226-'[2]$ зима'!am226-'[2]$ зима'!al226-'[2]$ зима'!ak226-'[2]$ зима'!aj226-'[2]$ зима'!ah226-'[2]$ зима'!ag226-'[2]$ зима'!af226-'[2]$ зима'!ae226-'[2]$ зима'!ad226-'[2]$ зима'!ab226-'[2]$ зима'!aa226-'[2]$ зима'!z226-'[2]$ зима'!y226-'[2]$ зима'!x226-'[2]$ зима'!v226-'[2]$ зима'!u226-'[2]$ зима'!t226-'[2]$ зима'!s226-'[2]$ зима'!r226-'[2]$ зима'!p226-'[2]$ зима'!o226-'[2]$ зима'!n226-'[2]$ зима'!m226-'[2]$ зима'!l226+'[2]$ зима'!q226+'[2]$ зима'!w226+'[2]$ зима'!ac226+'[2]$ зима'!ai226+'[2]$ зима'!ao226+'[2]$ зима'!k226</f>
        <v>0</v>
      </c>
      <c r="I226" s="191" t="n">
        <f aca="false">'[2]$ зима'!ay226*1.1</f>
        <v>1386</v>
      </c>
    </row>
    <row r="227" customFormat="false" ht="15" hidden="true" customHeight="false" outlineLevel="0" collapsed="false">
      <c r="A227" s="196" t="s">
        <v>114</v>
      </c>
      <c r="B227" s="149" t="s">
        <v>1028</v>
      </c>
      <c r="C227" s="148" t="s">
        <v>3177</v>
      </c>
      <c r="D227" s="148"/>
      <c r="E227" s="148"/>
      <c r="F227" s="148"/>
      <c r="G227" s="193"/>
      <c r="H227" s="105" t="n">
        <f aca="false">'[2]$ зима'!j227-'[2]$ зима'!au227-'[2]$ зима'!at227-'[2]$ зима'!as227-'[2]$ зима'!ar227-'[2]$ зима'!aq227-'[2]$ зима'!ap227-'[2]$ зима'!an227-'[2]$ зима'!am227-'[2]$ зима'!al227-'[2]$ зима'!ak227-'[2]$ зима'!aj227-'[2]$ зима'!ah227-'[2]$ зима'!ag227-'[2]$ зима'!af227-'[2]$ зима'!ae227-'[2]$ зима'!ad227-'[2]$ зима'!ab227-'[2]$ зима'!aa227-'[2]$ зима'!z227-'[2]$ зима'!y227-'[2]$ зима'!x227-'[2]$ зима'!v227-'[2]$ зима'!u227-'[2]$ зима'!t227-'[2]$ зима'!s227-'[2]$ зима'!r227-'[2]$ зима'!p227-'[2]$ зима'!o227-'[2]$ зима'!n227-'[2]$ зима'!m227-'[2]$ зима'!l227+'[2]$ зима'!q227+'[2]$ зима'!w227+'[2]$ зима'!ac227+'[2]$ зима'!ai227+'[2]$ зима'!ao227+'[2]$ зима'!k227</f>
        <v>0</v>
      </c>
      <c r="I227" s="191" t="n">
        <f aca="false">'[2]$ зима'!ay227*1.1</f>
        <v>1386</v>
      </c>
    </row>
    <row r="228" customFormat="false" ht="15" hidden="true" customHeight="false" outlineLevel="0" collapsed="false">
      <c r="A228" s="196" t="s">
        <v>129</v>
      </c>
      <c r="B228" s="149" t="s">
        <v>844</v>
      </c>
      <c r="C228" s="148" t="s">
        <v>3260</v>
      </c>
      <c r="D228" s="148"/>
      <c r="E228" s="148"/>
      <c r="F228" s="148"/>
      <c r="G228" s="193"/>
      <c r="H228" s="105" t="n">
        <f aca="false">'[2]$ зима'!j228-'[2]$ зима'!au228-'[2]$ зима'!at228-'[2]$ зима'!as228-'[2]$ зима'!ar228-'[2]$ зима'!aq228-'[2]$ зима'!ap228-'[2]$ зима'!an228-'[2]$ зима'!am228-'[2]$ зима'!al228-'[2]$ зима'!ak228-'[2]$ зима'!aj228-'[2]$ зима'!ah228-'[2]$ зима'!ag228-'[2]$ зима'!af228-'[2]$ зима'!ae228-'[2]$ зима'!ad228-'[2]$ зима'!ab228-'[2]$ зима'!aa228-'[2]$ зима'!z228-'[2]$ зима'!y228-'[2]$ зима'!x228-'[2]$ зима'!v228-'[2]$ зима'!u228-'[2]$ зима'!t228-'[2]$ зима'!s228-'[2]$ зима'!r228-'[2]$ зима'!p228-'[2]$ зима'!o228-'[2]$ зима'!n228-'[2]$ зима'!m228-'[2]$ зима'!l228+'[2]$ зима'!q228+'[2]$ зима'!w228+'[2]$ зима'!ac228+'[2]$ зима'!ai228+'[2]$ зима'!ao228+'[2]$ зима'!k228</f>
        <v>0</v>
      </c>
      <c r="I228" s="191" t="n">
        <f aca="false">'[2]$ зима'!ay228*1.1</f>
        <v>1139.6</v>
      </c>
    </row>
    <row r="229" customFormat="false" ht="15" hidden="true" customHeight="false" outlineLevel="0" collapsed="false">
      <c r="A229" s="196" t="s">
        <v>129</v>
      </c>
      <c r="B229" s="149" t="s">
        <v>844</v>
      </c>
      <c r="C229" s="148" t="s">
        <v>3261</v>
      </c>
      <c r="D229" s="148"/>
      <c r="E229" s="148"/>
      <c r="F229" s="148"/>
      <c r="G229" s="193"/>
      <c r="H229" s="105" t="n">
        <f aca="false">'[2]$ зима'!j229-'[2]$ зима'!au229-'[2]$ зима'!at229-'[2]$ зима'!as229-'[2]$ зима'!ar229-'[2]$ зима'!aq229-'[2]$ зима'!ap229-'[2]$ зима'!an229-'[2]$ зима'!am229-'[2]$ зима'!al229-'[2]$ зима'!ak229-'[2]$ зима'!aj229-'[2]$ зима'!ah229-'[2]$ зима'!ag229-'[2]$ зима'!af229-'[2]$ зима'!ae229-'[2]$ зима'!ad229-'[2]$ зима'!ab229-'[2]$ зима'!aa229-'[2]$ зима'!z229-'[2]$ зима'!y229-'[2]$ зима'!x229-'[2]$ зима'!v229-'[2]$ зима'!u229-'[2]$ зима'!t229-'[2]$ зима'!s229-'[2]$ зима'!r229-'[2]$ зима'!p229-'[2]$ зима'!o229-'[2]$ зима'!n229-'[2]$ зима'!m229-'[2]$ зима'!l229+'[2]$ зима'!q229+'[2]$ зима'!w229+'[2]$ зима'!ac229+'[2]$ зима'!ai229+'[2]$ зима'!ao229+'[2]$ зима'!k229</f>
        <v>0</v>
      </c>
      <c r="I229" s="191" t="n">
        <f aca="false">'[2]$ зима'!ay229*1.1</f>
        <v>1139.6</v>
      </c>
    </row>
    <row r="230" customFormat="false" ht="15" hidden="true" customHeight="false" outlineLevel="0" collapsed="false">
      <c r="A230" s="196" t="s">
        <v>129</v>
      </c>
      <c r="B230" s="149" t="s">
        <v>601</v>
      </c>
      <c r="C230" s="148" t="s">
        <v>3228</v>
      </c>
      <c r="D230" s="148"/>
      <c r="E230" s="148"/>
      <c r="F230" s="148"/>
      <c r="G230" s="193"/>
      <c r="H230" s="105" t="n">
        <f aca="false">'[2]$ зима'!j230-'[2]$ зима'!au230-'[2]$ зима'!at230-'[2]$ зима'!as230-'[2]$ зима'!ar230-'[2]$ зима'!aq230-'[2]$ зима'!ap230-'[2]$ зима'!an230-'[2]$ зима'!am230-'[2]$ зима'!al230-'[2]$ зима'!ak230-'[2]$ зима'!aj230-'[2]$ зима'!ah230-'[2]$ зима'!ag230-'[2]$ зима'!af230-'[2]$ зима'!ae230-'[2]$ зима'!ad230-'[2]$ зима'!ab230-'[2]$ зима'!aa230-'[2]$ зима'!z230-'[2]$ зима'!y230-'[2]$ зима'!x230-'[2]$ зима'!v230-'[2]$ зима'!u230-'[2]$ зима'!t230-'[2]$ зима'!s230-'[2]$ зима'!r230-'[2]$ зима'!p230-'[2]$ зима'!o230-'[2]$ зима'!n230-'[2]$ зима'!m230-'[2]$ зима'!l230+'[2]$ зима'!q230+'[2]$ зима'!w230+'[2]$ зима'!ac230+'[2]$ зима'!ai230+'[2]$ зима'!ao230+'[2]$ зима'!k230</f>
        <v>0</v>
      </c>
      <c r="I230" s="191" t="n">
        <f aca="false">'[2]$ зима'!ay230*1.1</f>
        <v>1509.2</v>
      </c>
    </row>
    <row r="231" customFormat="false" ht="15" hidden="true" customHeight="false" outlineLevel="0" collapsed="false">
      <c r="A231" s="196" t="s">
        <v>129</v>
      </c>
      <c r="B231" s="149" t="s">
        <v>601</v>
      </c>
      <c r="C231" s="194" t="s">
        <v>3150</v>
      </c>
      <c r="D231" s="194"/>
      <c r="E231" s="194"/>
      <c r="F231" s="194"/>
      <c r="G231" s="193"/>
      <c r="H231" s="105" t="n">
        <f aca="false">'[2]$ зима'!j231-'[2]$ зима'!au231-'[2]$ зима'!at231-'[2]$ зима'!as231-'[2]$ зима'!ar231-'[2]$ зима'!aq231-'[2]$ зима'!ap231-'[2]$ зима'!an231-'[2]$ зима'!am231-'[2]$ зима'!al231-'[2]$ зима'!ak231-'[2]$ зима'!aj231-'[2]$ зима'!ah231-'[2]$ зима'!ag231-'[2]$ зима'!af231-'[2]$ зима'!ae231-'[2]$ зима'!ad231-'[2]$ зима'!ab231-'[2]$ зима'!aa231-'[2]$ зима'!z231-'[2]$ зима'!y231-'[2]$ зима'!x231-'[2]$ зима'!v231-'[2]$ зима'!u231-'[2]$ зима'!t231-'[2]$ зима'!s231-'[2]$ зима'!r231-'[2]$ зима'!p231-'[2]$ зима'!o231-'[2]$ зима'!n231-'[2]$ зима'!m231-'[2]$ зима'!l231+'[2]$ зима'!q231+'[2]$ зима'!w231+'[2]$ зима'!ac231+'[2]$ зима'!ai231+'[2]$ зима'!ao231+'[2]$ зима'!k231</f>
        <v>0</v>
      </c>
      <c r="I231" s="191" t="n">
        <f aca="false">'[2]$ зима'!ay231*1.1</f>
        <v>1724.8</v>
      </c>
    </row>
    <row r="232" customFormat="false" ht="15" hidden="false" customHeight="false" outlineLevel="0" collapsed="false">
      <c r="A232" s="196" t="s">
        <v>129</v>
      </c>
      <c r="B232" s="149" t="s">
        <v>555</v>
      </c>
      <c r="C232" s="194" t="s">
        <v>3140</v>
      </c>
      <c r="D232" s="194"/>
      <c r="E232" s="195"/>
      <c r="F232" s="195"/>
      <c r="G232" s="193"/>
      <c r="H232" s="105" t="n">
        <f aca="false">'[2]$ зима'!j232-'[2]$ зима'!au232-'[2]$ зима'!at232-'[2]$ зима'!as232-'[2]$ зима'!ar232-'[2]$ зима'!aq232-'[2]$ зима'!ap232-'[2]$ зима'!an232-'[2]$ зима'!am232-'[2]$ зима'!al232-'[2]$ зима'!ak232-'[2]$ зима'!aj232-'[2]$ зима'!ah232-'[2]$ зима'!ag232-'[2]$ зима'!af232-'[2]$ зима'!ae232-'[2]$ зима'!ad232-'[2]$ зима'!ab232-'[2]$ зима'!aa232-'[2]$ зима'!z232-'[2]$ зима'!y232-'[2]$ зима'!x232-'[2]$ зима'!v232-'[2]$ зима'!u232-'[2]$ зима'!t232-'[2]$ зима'!s232-'[2]$ зима'!r232-'[2]$ зима'!p232-'[2]$ зима'!o232-'[2]$ зима'!n232-'[2]$ зима'!m232-'[2]$ зима'!l232+'[2]$ зима'!q232+'[2]$ зима'!w232+'[2]$ зима'!ac232+'[2]$ зима'!ai232+'[2]$ зима'!ao232+'[2]$ зима'!k232</f>
        <v>2</v>
      </c>
      <c r="I232" s="191" t="n">
        <f aca="false">'[2]$ зима'!ay232*1.1</f>
        <v>1108.8</v>
      </c>
    </row>
    <row r="233" customFormat="false" ht="15" hidden="true" customHeight="false" outlineLevel="0" collapsed="false">
      <c r="A233" s="196" t="s">
        <v>129</v>
      </c>
      <c r="B233" s="149" t="s">
        <v>3184</v>
      </c>
      <c r="C233" s="194" t="s">
        <v>3185</v>
      </c>
      <c r="D233" s="194"/>
      <c r="E233" s="194"/>
      <c r="F233" s="194"/>
      <c r="G233" s="193"/>
      <c r="H233" s="105" t="n">
        <f aca="false">'[2]$ зима'!j233-'[2]$ зима'!au233-'[2]$ зима'!at233-'[2]$ зима'!as233-'[2]$ зима'!ar233-'[2]$ зима'!aq233-'[2]$ зима'!ap233-'[2]$ зима'!an233-'[2]$ зима'!am233-'[2]$ зима'!al233-'[2]$ зима'!ak233-'[2]$ зима'!aj233-'[2]$ зима'!ah233-'[2]$ зима'!ag233-'[2]$ зима'!af233-'[2]$ зима'!ae233-'[2]$ зима'!ad233-'[2]$ зима'!ab233-'[2]$ зима'!aa233-'[2]$ зима'!z233-'[2]$ зима'!y233-'[2]$ зима'!x233-'[2]$ зима'!v233-'[2]$ зима'!u233-'[2]$ зима'!t233-'[2]$ зима'!s233-'[2]$ зима'!r233-'[2]$ зима'!p233-'[2]$ зима'!o233-'[2]$ зима'!n233-'[2]$ зима'!m233-'[2]$ зима'!l233+'[2]$ зима'!q233+'[2]$ зима'!w233+'[2]$ зима'!ac233+'[2]$ зима'!ai233+'[2]$ зима'!ao233+'[2]$ зима'!k233</f>
        <v>0</v>
      </c>
      <c r="I233" s="191" t="n">
        <f aca="false">'[2]$ зима'!ay233*1.1</f>
        <v>924</v>
      </c>
    </row>
    <row r="234" customFormat="false" ht="15" hidden="false" customHeight="false" outlineLevel="0" collapsed="false">
      <c r="A234" s="196" t="s">
        <v>129</v>
      </c>
      <c r="B234" s="149" t="s">
        <v>606</v>
      </c>
      <c r="C234" s="148" t="s">
        <v>3155</v>
      </c>
      <c r="D234" s="194"/>
      <c r="E234" s="195" t="n">
        <v>92</v>
      </c>
      <c r="F234" s="195" t="s">
        <v>3216</v>
      </c>
      <c r="G234" s="193" t="s">
        <v>609</v>
      </c>
      <c r="H234" s="105" t="n">
        <f aca="false">'[2]$ зима'!j234-'[2]$ зима'!au234-'[2]$ зима'!at234-'[2]$ зима'!as234-'[2]$ зима'!ar234-'[2]$ зима'!aq234-'[2]$ зима'!ap234-'[2]$ зима'!an234-'[2]$ зима'!am234-'[2]$ зима'!al234-'[2]$ зима'!ak234-'[2]$ зима'!aj234-'[2]$ зима'!ah234-'[2]$ зима'!ag234-'[2]$ зима'!af234-'[2]$ зима'!ae234-'[2]$ зима'!ad234-'[2]$ зима'!ab234-'[2]$ зима'!aa234-'[2]$ зима'!z234-'[2]$ зима'!y234-'[2]$ зима'!x234-'[2]$ зима'!v234-'[2]$ зима'!u234-'[2]$ зима'!t234-'[2]$ зима'!s234-'[2]$ зима'!r234-'[2]$ зима'!p234-'[2]$ зима'!o234-'[2]$ зима'!n234-'[2]$ зима'!m234-'[2]$ зима'!l234+'[2]$ зима'!q234+'[2]$ зима'!w234+'[2]$ зима'!ac234+'[2]$ зима'!ai234+'[2]$ зима'!ao234+'[2]$ зима'!k234</f>
        <v>8</v>
      </c>
      <c r="I234" s="191" t="n">
        <f aca="false">'[2]$ зима'!ay234*1.1</f>
        <v>1324.4</v>
      </c>
      <c r="J234" s="171" t="n">
        <v>2018</v>
      </c>
    </row>
    <row r="235" customFormat="false" ht="15" hidden="false" customHeight="false" outlineLevel="0" collapsed="false">
      <c r="A235" s="196" t="s">
        <v>129</v>
      </c>
      <c r="B235" s="149" t="s">
        <v>606</v>
      </c>
      <c r="C235" s="148" t="s">
        <v>3156</v>
      </c>
      <c r="D235" s="148"/>
      <c r="E235" s="192" t="n">
        <v>92</v>
      </c>
      <c r="F235" s="192" t="s">
        <v>562</v>
      </c>
      <c r="G235" s="193" t="s">
        <v>609</v>
      </c>
      <c r="H235" s="105" t="n">
        <f aca="false">'[2]$ зима'!j235-'[2]$ зима'!au235-'[2]$ зима'!at235-'[2]$ зима'!as235-'[2]$ зима'!ar235-'[2]$ зима'!aq235-'[2]$ зима'!ap235-'[2]$ зима'!an235-'[2]$ зима'!am235-'[2]$ зима'!al235-'[2]$ зима'!ak235-'[2]$ зима'!aj235-'[2]$ зима'!ah235-'[2]$ зима'!ag235-'[2]$ зима'!af235-'[2]$ зима'!ae235-'[2]$ зима'!ad235-'[2]$ зима'!ab235-'[2]$ зима'!aa235-'[2]$ зима'!z235-'[2]$ зима'!y235-'[2]$ зима'!x235-'[2]$ зима'!v235-'[2]$ зима'!u235-'[2]$ зима'!t235-'[2]$ зима'!s235-'[2]$ зима'!r235-'[2]$ зима'!p235-'[2]$ зима'!o235-'[2]$ зима'!n235-'[2]$ зима'!m235-'[2]$ зима'!l235+'[2]$ зима'!q235+'[2]$ зима'!w235+'[2]$ зима'!ac235+'[2]$ зима'!ai235+'[2]$ зима'!ao235+'[2]$ зима'!k235</f>
        <v>16</v>
      </c>
      <c r="I235" s="191" t="n">
        <f aca="false">'[2]$ зима'!ay235*1.1</f>
        <v>1293.6</v>
      </c>
      <c r="J235" s="171" t="n">
        <v>2018</v>
      </c>
    </row>
    <row r="236" customFormat="false" ht="15" hidden="true" customHeight="false" outlineLevel="0" collapsed="false">
      <c r="A236" s="196" t="s">
        <v>129</v>
      </c>
      <c r="B236" s="149" t="s">
        <v>606</v>
      </c>
      <c r="C236" s="148" t="s">
        <v>3262</v>
      </c>
      <c r="D236" s="148"/>
      <c r="E236" s="148" t="n">
        <v>88</v>
      </c>
      <c r="F236" s="148" t="s">
        <v>562</v>
      </c>
      <c r="G236" s="193"/>
      <c r="H236" s="105" t="n">
        <f aca="false">'[2]$ зима'!j236-'[2]$ зима'!au236-'[2]$ зима'!at236-'[2]$ зима'!as236-'[2]$ зима'!ar236-'[2]$ зима'!aq236-'[2]$ зима'!ap236-'[2]$ зима'!an236-'[2]$ зима'!am236-'[2]$ зима'!al236-'[2]$ зима'!ak236-'[2]$ зима'!aj236-'[2]$ зима'!ah236-'[2]$ зима'!ag236-'[2]$ зима'!af236-'[2]$ зима'!ae236-'[2]$ зима'!ad236-'[2]$ зима'!ab236-'[2]$ зима'!aa236-'[2]$ зима'!z236-'[2]$ зима'!y236-'[2]$ зима'!x236-'[2]$ зима'!v236-'[2]$ зима'!u236-'[2]$ зима'!t236-'[2]$ зима'!s236-'[2]$ зима'!r236-'[2]$ зима'!p236-'[2]$ зима'!o236-'[2]$ зима'!n236-'[2]$ зима'!m236-'[2]$ зима'!l236+'[2]$ зима'!q236+'[2]$ зима'!w236+'[2]$ зима'!ac236+'[2]$ зима'!ai236+'[2]$ зима'!ao236+'[2]$ зима'!k236</f>
        <v>0</v>
      </c>
      <c r="I236" s="191" t="n">
        <f aca="false">'[2]$ зима'!ay236*1.1</f>
        <v>1262.8</v>
      </c>
      <c r="J236" s="171" t="n">
        <v>2017</v>
      </c>
    </row>
    <row r="237" customFormat="false" ht="15" hidden="true" customHeight="false" outlineLevel="0" collapsed="false">
      <c r="A237" s="196" t="s">
        <v>129</v>
      </c>
      <c r="B237" s="149" t="s">
        <v>666</v>
      </c>
      <c r="C237" s="148" t="s">
        <v>3263</v>
      </c>
      <c r="D237" s="148"/>
      <c r="E237" s="148"/>
      <c r="F237" s="148"/>
      <c r="G237" s="193"/>
      <c r="H237" s="105" t="n">
        <f aca="false">'[2]$ зима'!j237-'[2]$ зима'!au237-'[2]$ зима'!at237-'[2]$ зима'!as237-'[2]$ зима'!ar237-'[2]$ зима'!aq237-'[2]$ зима'!ap237-'[2]$ зима'!an237-'[2]$ зима'!am237-'[2]$ зима'!al237-'[2]$ зима'!ak237-'[2]$ зима'!aj237-'[2]$ зима'!ah237-'[2]$ зима'!ag237-'[2]$ зима'!af237-'[2]$ зима'!ae237-'[2]$ зима'!ad237-'[2]$ зима'!ab237-'[2]$ зима'!aa237-'[2]$ зима'!z237-'[2]$ зима'!y237-'[2]$ зима'!x237-'[2]$ зима'!v237-'[2]$ зима'!u237-'[2]$ зима'!t237-'[2]$ зима'!s237-'[2]$ зима'!r237-'[2]$ зима'!p237-'[2]$ зима'!o237-'[2]$ зима'!n237-'[2]$ зима'!m237-'[2]$ зима'!l237+'[2]$ зима'!q237+'[2]$ зима'!w237+'[2]$ зима'!ac237+'[2]$ зима'!ai237+'[2]$ зима'!ao237+'[2]$ зима'!k237</f>
        <v>0</v>
      </c>
      <c r="I237" s="191" t="n">
        <f aca="false">'[2]$ зима'!ay237*1.1</f>
        <v>1108.8</v>
      </c>
    </row>
    <row r="238" customFormat="false" ht="15" hidden="true" customHeight="false" outlineLevel="0" collapsed="false">
      <c r="A238" s="196" t="s">
        <v>129</v>
      </c>
      <c r="B238" s="149" t="s">
        <v>668</v>
      </c>
      <c r="C238" s="148" t="s">
        <v>3264</v>
      </c>
      <c r="D238" s="148" t="s">
        <v>3127</v>
      </c>
      <c r="E238" s="148"/>
      <c r="F238" s="148"/>
      <c r="G238" s="193"/>
      <c r="H238" s="105" t="n">
        <f aca="false">'[2]$ зима'!j238-'[2]$ зима'!au238-'[2]$ зима'!at238-'[2]$ зима'!as238-'[2]$ зима'!ar238-'[2]$ зима'!aq238-'[2]$ зима'!ap238-'[2]$ зима'!an238-'[2]$ зима'!am238-'[2]$ зима'!al238-'[2]$ зима'!ak238-'[2]$ зима'!aj238-'[2]$ зима'!ah238-'[2]$ зима'!ag238-'[2]$ зима'!af238-'[2]$ зима'!ae238-'[2]$ зима'!ad238-'[2]$ зима'!ab238-'[2]$ зима'!aa238-'[2]$ зима'!z238-'[2]$ зима'!y238-'[2]$ зима'!x238-'[2]$ зима'!v238-'[2]$ зима'!u238-'[2]$ зима'!t238-'[2]$ зима'!s238-'[2]$ зима'!r238-'[2]$ зима'!p238-'[2]$ зима'!o238-'[2]$ зима'!n238-'[2]$ зима'!m238-'[2]$ зима'!l238+'[2]$ зима'!q238+'[2]$ зима'!w238+'[2]$ зима'!ac238+'[2]$ зима'!ai238+'[2]$ зима'!ao238+'[2]$ зима'!k238</f>
        <v>0</v>
      </c>
      <c r="I238" s="191" t="n">
        <f aca="false">'[2]$ зима'!ay238*1.1</f>
        <v>935</v>
      </c>
    </row>
    <row r="239" customFormat="false" ht="15" hidden="true" customHeight="false" outlineLevel="0" collapsed="false">
      <c r="A239" s="196" t="s">
        <v>129</v>
      </c>
      <c r="B239" s="149" t="s">
        <v>668</v>
      </c>
      <c r="C239" s="194" t="s">
        <v>3182</v>
      </c>
      <c r="D239" s="202"/>
      <c r="E239" s="202"/>
      <c r="F239" s="202"/>
      <c r="G239" s="203"/>
      <c r="H239" s="105" t="n">
        <f aca="false">'[2]$ зима'!j239-'[2]$ зима'!au239-'[2]$ зима'!at239-'[2]$ зима'!as239-'[2]$ зима'!ar239-'[2]$ зима'!aq239-'[2]$ зима'!ap239-'[2]$ зима'!an239-'[2]$ зима'!am239-'[2]$ зима'!al239-'[2]$ зима'!ak239-'[2]$ зима'!aj239-'[2]$ зима'!ah239-'[2]$ зима'!ag239-'[2]$ зима'!af239-'[2]$ зима'!ae239-'[2]$ зима'!ad239-'[2]$ зима'!ab239-'[2]$ зима'!aa239-'[2]$ зима'!z239-'[2]$ зима'!y239-'[2]$ зима'!x239-'[2]$ зима'!v239-'[2]$ зима'!u239-'[2]$ зима'!t239-'[2]$ зима'!s239-'[2]$ зима'!r239-'[2]$ зима'!p239-'[2]$ зима'!o239-'[2]$ зима'!n239-'[2]$ зима'!m239-'[2]$ зима'!l239+'[2]$ зима'!q239+'[2]$ зима'!w239+'[2]$ зима'!ac239+'[2]$ зима'!ai239+'[2]$ зима'!ao239+'[2]$ зима'!k239</f>
        <v>0</v>
      </c>
      <c r="I239" s="191" t="n">
        <f aca="false">'[2]$ зима'!ay239*1.1</f>
        <v>1201.2</v>
      </c>
      <c r="J239" s="171" t="n">
        <v>2017</v>
      </c>
    </row>
    <row r="240" customFormat="false" ht="15" hidden="true" customHeight="false" outlineLevel="0" collapsed="false">
      <c r="A240" s="196" t="s">
        <v>129</v>
      </c>
      <c r="B240" s="149" t="s">
        <v>574</v>
      </c>
      <c r="C240" s="148" t="s">
        <v>3128</v>
      </c>
      <c r="D240" s="148"/>
      <c r="E240" s="148"/>
      <c r="F240" s="148"/>
      <c r="G240" s="193" t="s">
        <v>576</v>
      </c>
      <c r="H240" s="105" t="n">
        <f aca="false">'[2]$ зима'!j240-'[2]$ зима'!au240-'[2]$ зима'!at240-'[2]$ зима'!as240-'[2]$ зима'!ar240-'[2]$ зима'!aq240-'[2]$ зима'!ap240-'[2]$ зима'!an240-'[2]$ зима'!am240-'[2]$ зима'!al240-'[2]$ зима'!ak240-'[2]$ зима'!aj240-'[2]$ зима'!ah240-'[2]$ зима'!ag240-'[2]$ зима'!af240-'[2]$ зима'!ae240-'[2]$ зима'!ad240-'[2]$ зима'!ab240-'[2]$ зима'!aa240-'[2]$ зима'!z240-'[2]$ зима'!y240-'[2]$ зима'!x240-'[2]$ зима'!v240-'[2]$ зима'!u240-'[2]$ зима'!t240-'[2]$ зима'!s240-'[2]$ зима'!r240-'[2]$ зима'!p240-'[2]$ зима'!o240-'[2]$ зима'!n240-'[2]$ зима'!m240-'[2]$ зима'!l240+'[2]$ зима'!q240+'[2]$ зима'!w240+'[2]$ зима'!ac240+'[2]$ зима'!ai240+'[2]$ зима'!ao240+'[2]$ зима'!k240</f>
        <v>0</v>
      </c>
      <c r="I240" s="191" t="n">
        <f aca="false">'[2]$ зима'!ay240*1.1</f>
        <v>1182.94</v>
      </c>
    </row>
    <row r="241" customFormat="false" ht="15" hidden="true" customHeight="false" outlineLevel="0" collapsed="false">
      <c r="A241" s="196" t="s">
        <v>129</v>
      </c>
      <c r="B241" s="149" t="s">
        <v>574</v>
      </c>
      <c r="C241" s="148" t="s">
        <v>3265</v>
      </c>
      <c r="D241" s="148" t="s">
        <v>3127</v>
      </c>
      <c r="E241" s="148"/>
      <c r="F241" s="148"/>
      <c r="G241" s="193" t="s">
        <v>576</v>
      </c>
      <c r="H241" s="105" t="n">
        <f aca="false">'[2]$ зима'!j241-'[2]$ зима'!au241-'[2]$ зима'!at241-'[2]$ зима'!as241-'[2]$ зима'!ar241-'[2]$ зима'!aq241-'[2]$ зима'!ap241-'[2]$ зима'!an241-'[2]$ зима'!am241-'[2]$ зима'!al241-'[2]$ зима'!ak241-'[2]$ зима'!aj241-'[2]$ зима'!ah241-'[2]$ зима'!ag241-'[2]$ зима'!af241-'[2]$ зима'!ae241-'[2]$ зима'!ad241-'[2]$ зима'!ab241-'[2]$ зима'!aa241-'[2]$ зима'!z241-'[2]$ зима'!y241-'[2]$ зима'!x241-'[2]$ зима'!v241-'[2]$ зима'!u241-'[2]$ зима'!t241-'[2]$ зима'!s241-'[2]$ зима'!r241-'[2]$ зима'!p241-'[2]$ зима'!o241-'[2]$ зима'!n241-'[2]$ зима'!m241-'[2]$ зима'!l241+'[2]$ зима'!q241+'[2]$ зима'!w241+'[2]$ зима'!ac241+'[2]$ зима'!ai241+'[2]$ зима'!ao241+'[2]$ зима'!k241</f>
        <v>0</v>
      </c>
      <c r="I241" s="191" t="n">
        <f aca="false">'[2]$ зима'!ay241*1.1</f>
        <v>1245.2</v>
      </c>
    </row>
    <row r="242" customFormat="false" ht="15" hidden="false" customHeight="false" outlineLevel="0" collapsed="false">
      <c r="A242" s="196" t="s">
        <v>129</v>
      </c>
      <c r="B242" s="149" t="s">
        <v>577</v>
      </c>
      <c r="C242" s="148" t="s">
        <v>3250</v>
      </c>
      <c r="D242" s="148"/>
      <c r="E242" s="192" t="n">
        <v>92</v>
      </c>
      <c r="F242" s="192" t="s">
        <v>562</v>
      </c>
      <c r="G242" s="193" t="s">
        <v>563</v>
      </c>
      <c r="H242" s="105" t="n">
        <f aca="false">'[2]$ зима'!j242-'[2]$ зима'!au242-'[2]$ зима'!at242-'[2]$ зима'!as242-'[2]$ зима'!ar242-'[2]$ зима'!aq242-'[2]$ зима'!ap242-'[2]$ зима'!an242-'[2]$ зима'!am242-'[2]$ зима'!al242-'[2]$ зима'!ak242-'[2]$ зима'!aj242-'[2]$ зима'!ah242-'[2]$ зима'!ag242-'[2]$ зима'!af242-'[2]$ зима'!ae242-'[2]$ зима'!ad242-'[2]$ зима'!ab242-'[2]$ зима'!aa242-'[2]$ зима'!z242-'[2]$ зима'!y242-'[2]$ зима'!x242-'[2]$ зима'!v242-'[2]$ зима'!u242-'[2]$ зима'!t242-'[2]$ зима'!s242-'[2]$ зима'!r242-'[2]$ зима'!p242-'[2]$ зима'!o242-'[2]$ зима'!n242-'[2]$ зима'!m242-'[2]$ зима'!l242+'[2]$ зима'!q242+'[2]$ зима'!w242+'[2]$ зима'!ac242+'[2]$ зима'!ai242+'[2]$ зима'!ao242+'[2]$ зима'!k242</f>
        <v>4</v>
      </c>
      <c r="I242" s="191" t="n">
        <f aca="false">'[2]$ зима'!ay242*1.1</f>
        <v>1078</v>
      </c>
    </row>
    <row r="243" customFormat="false" ht="15" hidden="false" customHeight="false" outlineLevel="0" collapsed="false">
      <c r="A243" s="196" t="s">
        <v>129</v>
      </c>
      <c r="B243" s="149" t="s">
        <v>1471</v>
      </c>
      <c r="C243" s="148" t="s">
        <v>3219</v>
      </c>
      <c r="D243" s="202"/>
      <c r="E243" s="211" t="n">
        <v>88</v>
      </c>
      <c r="F243" s="211" t="s">
        <v>3220</v>
      </c>
      <c r="G243" s="203" t="s">
        <v>609</v>
      </c>
      <c r="H243" s="105" t="n">
        <f aca="false">'[2]$ зима'!j243-'[2]$ зима'!au243-'[2]$ зима'!at243-'[2]$ зима'!as243-'[2]$ зима'!ar243-'[2]$ зима'!aq243-'[2]$ зима'!ap243-'[2]$ зима'!an243-'[2]$ зима'!am243-'[2]$ зима'!al243-'[2]$ зима'!ak243-'[2]$ зима'!aj243-'[2]$ зима'!ah243-'[2]$ зима'!ag243-'[2]$ зима'!af243-'[2]$ зима'!ae243-'[2]$ зима'!ad243-'[2]$ зима'!ab243-'[2]$ зима'!aa243-'[2]$ зима'!z243-'[2]$ зима'!y243-'[2]$ зима'!x243-'[2]$ зима'!v243-'[2]$ зима'!u243-'[2]$ зима'!t243-'[2]$ зима'!s243-'[2]$ зима'!r243-'[2]$ зима'!p243-'[2]$ зима'!o243-'[2]$ зима'!n243-'[2]$ зима'!m243-'[2]$ зима'!l243+'[2]$ зима'!q243+'[2]$ зима'!w243+'[2]$ зима'!ac243+'[2]$ зима'!ai243+'[2]$ зима'!ao243+'[2]$ зима'!k243</f>
        <v>4</v>
      </c>
      <c r="I243" s="191" t="n">
        <f aca="false">'[2]$ зима'!ay243*1.1</f>
        <v>1232</v>
      </c>
      <c r="J243" s="171" t="n">
        <v>2018</v>
      </c>
    </row>
    <row r="244" customFormat="false" ht="15" hidden="true" customHeight="false" outlineLevel="0" collapsed="false">
      <c r="A244" s="196" t="s">
        <v>129</v>
      </c>
      <c r="B244" s="149" t="s">
        <v>583</v>
      </c>
      <c r="C244" s="148" t="s">
        <v>3130</v>
      </c>
      <c r="D244" s="148"/>
      <c r="E244" s="148"/>
      <c r="F244" s="148"/>
      <c r="G244" s="193"/>
      <c r="H244" s="105" t="n">
        <f aca="false">'[2]$ зима'!j244-'[2]$ зима'!au244-'[2]$ зима'!at244-'[2]$ зима'!as244-'[2]$ зима'!ar244-'[2]$ зима'!aq244-'[2]$ зима'!ap244-'[2]$ зима'!an244-'[2]$ зима'!am244-'[2]$ зима'!al244-'[2]$ зима'!ak244-'[2]$ зима'!aj244-'[2]$ зима'!ah244-'[2]$ зима'!ag244-'[2]$ зима'!af244-'[2]$ зима'!ae244-'[2]$ зима'!ad244-'[2]$ зима'!ab244-'[2]$ зима'!aa244-'[2]$ зима'!z244-'[2]$ зима'!y244-'[2]$ зима'!x244-'[2]$ зима'!v244-'[2]$ зима'!u244-'[2]$ зима'!t244-'[2]$ зима'!s244-'[2]$ зима'!r244-'[2]$ зима'!p244-'[2]$ зима'!o244-'[2]$ зима'!n244-'[2]$ зима'!m244-'[2]$ зима'!l244+'[2]$ зима'!q244+'[2]$ зима'!w244+'[2]$ зима'!ac244+'[2]$ зима'!ai244+'[2]$ зима'!ao244+'[2]$ зима'!k244</f>
        <v>0</v>
      </c>
      <c r="I244" s="191" t="n">
        <f aca="false">'[2]$ зима'!ay244*1.1</f>
        <v>1078</v>
      </c>
    </row>
    <row r="245" customFormat="false" ht="15" hidden="true" customHeight="false" outlineLevel="0" collapsed="false">
      <c r="A245" s="196" t="s">
        <v>129</v>
      </c>
      <c r="B245" s="149" t="s">
        <v>583</v>
      </c>
      <c r="C245" s="148" t="s">
        <v>3131</v>
      </c>
      <c r="D245" s="148"/>
      <c r="E245" s="148"/>
      <c r="F245" s="148"/>
      <c r="G245" s="193"/>
      <c r="H245" s="105" t="n">
        <f aca="false">'[2]$ зима'!j245-'[2]$ зима'!au245-'[2]$ зима'!at245-'[2]$ зима'!as245-'[2]$ зима'!ar245-'[2]$ зима'!aq245-'[2]$ зима'!ap245-'[2]$ зима'!an245-'[2]$ зима'!am245-'[2]$ зима'!al245-'[2]$ зима'!ak245-'[2]$ зима'!aj245-'[2]$ зима'!ah245-'[2]$ зима'!ag245-'[2]$ зима'!af245-'[2]$ зима'!ae245-'[2]$ зима'!ad245-'[2]$ зима'!ab245-'[2]$ зима'!aa245-'[2]$ зима'!z245-'[2]$ зима'!y245-'[2]$ зима'!x245-'[2]$ зима'!v245-'[2]$ зима'!u245-'[2]$ зима'!t245-'[2]$ зима'!s245-'[2]$ зима'!r245-'[2]$ зима'!p245-'[2]$ зима'!o245-'[2]$ зима'!n245-'[2]$ зима'!m245-'[2]$ зима'!l245+'[2]$ зима'!q245+'[2]$ зима'!w245+'[2]$ зима'!ac245+'[2]$ зима'!ai245+'[2]$ зима'!ao245+'[2]$ зима'!k245</f>
        <v>0</v>
      </c>
      <c r="I245" s="191" t="n">
        <f aca="false">'[2]$ зима'!ay245*1.1</f>
        <v>1170.4</v>
      </c>
    </row>
    <row r="246" customFormat="false" ht="15" hidden="true" customHeight="false" outlineLevel="0" collapsed="false">
      <c r="A246" s="196" t="s">
        <v>129</v>
      </c>
      <c r="B246" s="149" t="s">
        <v>3203</v>
      </c>
      <c r="C246" s="148" t="s">
        <v>3204</v>
      </c>
      <c r="D246" s="202"/>
      <c r="E246" s="202"/>
      <c r="F246" s="202"/>
      <c r="G246" s="203"/>
      <c r="H246" s="105" t="n">
        <f aca="false">'[2]$ зима'!j246-'[2]$ зима'!au246-'[2]$ зима'!at246-'[2]$ зима'!as246-'[2]$ зима'!ar246-'[2]$ зима'!aq246-'[2]$ зима'!ap246-'[2]$ зима'!an246-'[2]$ зима'!am246-'[2]$ зима'!al246-'[2]$ зима'!ak246-'[2]$ зима'!aj246-'[2]$ зима'!ah246-'[2]$ зима'!ag246-'[2]$ зима'!af246-'[2]$ зима'!ae246-'[2]$ зима'!ad246-'[2]$ зима'!ab246-'[2]$ зима'!aa246-'[2]$ зима'!z246-'[2]$ зима'!y246-'[2]$ зима'!x246-'[2]$ зима'!v246-'[2]$ зима'!u246-'[2]$ зима'!t246-'[2]$ зима'!s246-'[2]$ зима'!r246-'[2]$ зима'!p246-'[2]$ зима'!o246-'[2]$ зима'!n246-'[2]$ зима'!m246-'[2]$ зима'!l246+'[2]$ зима'!q246+'[2]$ зима'!w246+'[2]$ зима'!ac246+'[2]$ зима'!ai246+'[2]$ зима'!ao246+'[2]$ зима'!k246</f>
        <v>0</v>
      </c>
      <c r="I246" s="191" t="n">
        <f aca="false">'[2]$ зима'!ay246*1.1</f>
        <v>770</v>
      </c>
    </row>
    <row r="247" customFormat="false" ht="15" hidden="true" customHeight="false" outlineLevel="0" collapsed="false">
      <c r="A247" s="196" t="s">
        <v>129</v>
      </c>
      <c r="B247" s="149" t="s">
        <v>593</v>
      </c>
      <c r="C247" s="148" t="s">
        <v>3237</v>
      </c>
      <c r="D247" s="148"/>
      <c r="E247" s="148"/>
      <c r="F247" s="148"/>
      <c r="G247" s="193"/>
      <c r="H247" s="105" t="n">
        <f aca="false">'[2]$ зима'!j247-'[2]$ зима'!au247-'[2]$ зима'!at247-'[2]$ зима'!as247-'[2]$ зима'!ar247-'[2]$ зима'!aq247-'[2]$ зима'!ap247-'[2]$ зима'!an247-'[2]$ зима'!am247-'[2]$ зима'!al247-'[2]$ зима'!ak247-'[2]$ зима'!aj247-'[2]$ зима'!ah247-'[2]$ зима'!ag247-'[2]$ зима'!af247-'[2]$ зима'!ae247-'[2]$ зима'!ad247-'[2]$ зима'!ab247-'[2]$ зима'!aa247-'[2]$ зима'!z247-'[2]$ зима'!y247-'[2]$ зима'!x247-'[2]$ зима'!v247-'[2]$ зима'!u247-'[2]$ зима'!t247-'[2]$ зима'!s247-'[2]$ зима'!r247-'[2]$ зима'!p247-'[2]$ зима'!o247-'[2]$ зима'!n247-'[2]$ зима'!m247-'[2]$ зима'!l247+'[2]$ зима'!q247+'[2]$ зима'!w247+'[2]$ зима'!ac247+'[2]$ зима'!ai247+'[2]$ зима'!ao247+'[2]$ зима'!k247</f>
        <v>0</v>
      </c>
      <c r="I247" s="191" t="n">
        <f aca="false">'[2]$ зима'!ay247*1.1</f>
        <v>1232</v>
      </c>
    </row>
    <row r="248" customFormat="false" ht="15" hidden="true" customHeight="false" outlineLevel="0" collapsed="false">
      <c r="A248" s="196" t="s">
        <v>129</v>
      </c>
      <c r="B248" s="149" t="s">
        <v>593</v>
      </c>
      <c r="C248" s="148" t="s">
        <v>3188</v>
      </c>
      <c r="D248" s="202"/>
      <c r="E248" s="202"/>
      <c r="F248" s="202"/>
      <c r="G248" s="203"/>
      <c r="H248" s="105" t="n">
        <f aca="false">'[2]$ зима'!j248-'[2]$ зима'!au248-'[2]$ зима'!at248-'[2]$ зима'!as248-'[2]$ зима'!ar248-'[2]$ зима'!aq248-'[2]$ зима'!ap248-'[2]$ зима'!an248-'[2]$ зима'!am248-'[2]$ зима'!al248-'[2]$ зима'!ak248-'[2]$ зима'!aj248-'[2]$ зима'!ah248-'[2]$ зима'!ag248-'[2]$ зима'!af248-'[2]$ зима'!ae248-'[2]$ зима'!ad248-'[2]$ зима'!ab248-'[2]$ зима'!aa248-'[2]$ зима'!z248-'[2]$ зима'!y248-'[2]$ зима'!x248-'[2]$ зима'!v248-'[2]$ зима'!u248-'[2]$ зима'!t248-'[2]$ зима'!s248-'[2]$ зима'!r248-'[2]$ зима'!p248-'[2]$ зима'!o248-'[2]$ зима'!n248-'[2]$ зима'!m248-'[2]$ зима'!l248+'[2]$ зима'!q248+'[2]$ зима'!w248+'[2]$ зима'!ac248+'[2]$ зима'!ai248+'[2]$ зима'!ao248+'[2]$ зима'!k248</f>
        <v>0</v>
      </c>
      <c r="I248" s="191" t="n">
        <f aca="false">'[2]$ зима'!ay248*1.1</f>
        <v>1386</v>
      </c>
      <c r="J248" s="171" t="s">
        <v>3266</v>
      </c>
    </row>
    <row r="249" customFormat="false" ht="15" hidden="true" customHeight="false" outlineLevel="0" collapsed="false">
      <c r="A249" s="196" t="s">
        <v>129</v>
      </c>
      <c r="B249" s="149" t="s">
        <v>1149</v>
      </c>
      <c r="C249" s="148" t="s">
        <v>3240</v>
      </c>
      <c r="D249" s="148"/>
      <c r="E249" s="148"/>
      <c r="F249" s="148"/>
      <c r="G249" s="193"/>
      <c r="H249" s="105" t="n">
        <f aca="false">'[2]$ зима'!j249-'[2]$ зима'!au249-'[2]$ зима'!at249-'[2]$ зима'!as249-'[2]$ зима'!ar249-'[2]$ зима'!aq249-'[2]$ зима'!ap249-'[2]$ зима'!an249-'[2]$ зима'!am249-'[2]$ зима'!al249-'[2]$ зима'!ak249-'[2]$ зима'!aj249-'[2]$ зима'!ah249-'[2]$ зима'!ag249-'[2]$ зима'!af249-'[2]$ зима'!ae249-'[2]$ зима'!ad249-'[2]$ зима'!ab249-'[2]$ зима'!aa249-'[2]$ зима'!z249-'[2]$ зима'!y249-'[2]$ зима'!x249-'[2]$ зима'!v249-'[2]$ зима'!u249-'[2]$ зима'!t249-'[2]$ зима'!s249-'[2]$ зима'!r249-'[2]$ зима'!p249-'[2]$ зима'!o249-'[2]$ зима'!n249-'[2]$ зима'!m249-'[2]$ зима'!l249+'[2]$ зима'!q249+'[2]$ зима'!w249+'[2]$ зима'!ac249+'[2]$ зима'!ai249+'[2]$ зима'!ao249+'[2]$ зима'!k249</f>
        <v>0</v>
      </c>
      <c r="I249" s="191" t="n">
        <f aca="false">'[2]$ зима'!ay249*1.1</f>
        <v>924</v>
      </c>
    </row>
    <row r="250" customFormat="false" ht="15" hidden="true" customHeight="false" outlineLevel="0" collapsed="false">
      <c r="A250" s="196" t="s">
        <v>129</v>
      </c>
      <c r="B250" s="149" t="s">
        <v>617</v>
      </c>
      <c r="C250" s="148" t="s">
        <v>3171</v>
      </c>
      <c r="D250" s="148"/>
      <c r="E250" s="148"/>
      <c r="F250" s="148"/>
      <c r="G250" s="193"/>
      <c r="H250" s="105" t="n">
        <f aca="false">'[2]$ зима'!j250-'[2]$ зима'!au250-'[2]$ зима'!at250-'[2]$ зима'!as250-'[2]$ зима'!ar250-'[2]$ зима'!aq250-'[2]$ зима'!ap250-'[2]$ зима'!an250-'[2]$ зима'!am250-'[2]$ зима'!al250-'[2]$ зима'!ak250-'[2]$ зима'!aj250-'[2]$ зима'!ah250-'[2]$ зима'!ag250-'[2]$ зима'!af250-'[2]$ зима'!ae250-'[2]$ зима'!ad250-'[2]$ зима'!ab250-'[2]$ зима'!aa250-'[2]$ зима'!z250-'[2]$ зима'!y250-'[2]$ зима'!x250-'[2]$ зима'!v250-'[2]$ зима'!u250-'[2]$ зима'!t250-'[2]$ зима'!s250-'[2]$ зима'!r250-'[2]$ зима'!p250-'[2]$ зима'!o250-'[2]$ зима'!n250-'[2]$ зима'!m250-'[2]$ зима'!l250+'[2]$ зима'!q250+'[2]$ зима'!w250+'[2]$ зима'!ac250+'[2]$ зима'!ai250+'[2]$ зима'!ao250+'[2]$ зима'!k250</f>
        <v>0</v>
      </c>
      <c r="I250" s="191" t="n">
        <f aca="false">'[2]$ зима'!ay250*1.1</f>
        <v>924</v>
      </c>
    </row>
    <row r="251" customFormat="false" ht="15" hidden="true" customHeight="false" outlineLevel="0" collapsed="false">
      <c r="A251" s="65" t="s">
        <v>129</v>
      </c>
      <c r="B251" s="24" t="s">
        <v>1161</v>
      </c>
      <c r="C251" s="148" t="s">
        <v>3205</v>
      </c>
      <c r="D251" s="148"/>
      <c r="E251" s="148"/>
      <c r="F251" s="148"/>
      <c r="G251" s="193"/>
      <c r="H251" s="105" t="n">
        <f aca="false">'[2]$ зима'!j251-'[2]$ зима'!au251-'[2]$ зима'!at251-'[2]$ зима'!as251-'[2]$ зима'!ar251-'[2]$ зима'!aq251-'[2]$ зима'!ap251-'[2]$ зима'!an251-'[2]$ зима'!am251-'[2]$ зима'!al251-'[2]$ зима'!ak251-'[2]$ зима'!aj251-'[2]$ зима'!ah251-'[2]$ зима'!ag251-'[2]$ зима'!af251-'[2]$ зима'!ae251-'[2]$ зима'!ad251-'[2]$ зима'!ab251-'[2]$ зима'!aa251-'[2]$ зима'!z251-'[2]$ зима'!y251-'[2]$ зима'!x251-'[2]$ зима'!v251-'[2]$ зима'!u251-'[2]$ зима'!t251-'[2]$ зима'!s251-'[2]$ зима'!r251-'[2]$ зима'!p251-'[2]$ зима'!o251-'[2]$ зима'!n251-'[2]$ зима'!m251-'[2]$ зима'!l251+'[2]$ зима'!q251+'[2]$ зима'!w251+'[2]$ зима'!ac251+'[2]$ зима'!ai251+'[2]$ зима'!ao251+'[2]$ зима'!k251</f>
        <v>0</v>
      </c>
      <c r="I251" s="191" t="n">
        <f aca="false">'[2]$ зима'!ay251*1.1</f>
        <v>924</v>
      </c>
    </row>
    <row r="252" customFormat="false" ht="15" hidden="false" customHeight="false" outlineLevel="0" collapsed="false">
      <c r="A252" s="65" t="s">
        <v>129</v>
      </c>
      <c r="B252" s="24" t="s">
        <v>1161</v>
      </c>
      <c r="C252" s="33" t="s">
        <v>3267</v>
      </c>
      <c r="D252" s="33" t="s">
        <v>3147</v>
      </c>
      <c r="E252" s="212"/>
      <c r="F252" s="212"/>
      <c r="G252" s="193"/>
      <c r="H252" s="105" t="n">
        <f aca="false">'[2]$ зима'!j252-'[2]$ зима'!au252-'[2]$ зима'!at252-'[2]$ зима'!as252-'[2]$ зима'!ar252-'[2]$ зима'!aq252-'[2]$ зима'!ap252-'[2]$ зима'!an252-'[2]$ зима'!am252-'[2]$ зима'!al252-'[2]$ зима'!ak252-'[2]$ зима'!aj252-'[2]$ зима'!ah252-'[2]$ зима'!ag252-'[2]$ зима'!af252-'[2]$ зима'!ae252-'[2]$ зима'!ad252-'[2]$ зима'!ab252-'[2]$ зима'!aa252-'[2]$ зима'!z252-'[2]$ зима'!y252-'[2]$ зима'!x252-'[2]$ зима'!v252-'[2]$ зима'!u252-'[2]$ зима'!t252-'[2]$ зима'!s252-'[2]$ зима'!r252-'[2]$ зима'!p252-'[2]$ зима'!o252-'[2]$ зима'!n252-'[2]$ зима'!m252-'[2]$ зима'!l252+'[2]$ зима'!q252+'[2]$ зима'!w252+'[2]$ зима'!ac252+'[2]$ зима'!ai252+'[2]$ зима'!ao252+'[2]$ зима'!k252</f>
        <v>6</v>
      </c>
      <c r="I252" s="191" t="n">
        <f aca="false">'[2]$ зима'!ay252*1.1</f>
        <v>1386</v>
      </c>
    </row>
    <row r="253" customFormat="false" ht="15" hidden="true" customHeight="false" outlineLevel="0" collapsed="false">
      <c r="A253" s="65" t="s">
        <v>129</v>
      </c>
      <c r="B253" s="24" t="s">
        <v>589</v>
      </c>
      <c r="C253" s="33" t="s">
        <v>3268</v>
      </c>
      <c r="D253" s="33"/>
      <c r="E253" s="33"/>
      <c r="F253" s="33"/>
      <c r="G253" s="193" t="s">
        <v>626</v>
      </c>
      <c r="H253" s="105" t="n">
        <f aca="false">'[2]$ зима'!j253-'[2]$ зима'!au253-'[2]$ зима'!at253-'[2]$ зима'!as253-'[2]$ зима'!ar253-'[2]$ зима'!aq253-'[2]$ зима'!ap253-'[2]$ зима'!an253-'[2]$ зима'!am253-'[2]$ зима'!al253-'[2]$ зима'!ak253-'[2]$ зима'!aj253-'[2]$ зима'!ah253-'[2]$ зима'!ag253-'[2]$ зима'!af253-'[2]$ зима'!ae253-'[2]$ зима'!ad253-'[2]$ зима'!ab253-'[2]$ зима'!aa253-'[2]$ зима'!z253-'[2]$ зима'!y253-'[2]$ зима'!x253-'[2]$ зима'!v253-'[2]$ зима'!u253-'[2]$ зима'!t253-'[2]$ зима'!s253-'[2]$ зима'!r253-'[2]$ зима'!p253-'[2]$ зима'!o253-'[2]$ зима'!n253-'[2]$ зима'!m253-'[2]$ зима'!l253+'[2]$ зима'!q253+'[2]$ зима'!w253+'[2]$ зима'!ac253+'[2]$ зима'!ai253+'[2]$ зима'!ao253+'[2]$ зима'!k253</f>
        <v>0</v>
      </c>
      <c r="I253" s="191" t="n">
        <f aca="false">'[2]$ зима'!ay253*1.1</f>
        <v>1245.2</v>
      </c>
    </row>
    <row r="254" customFormat="false" ht="15" hidden="true" customHeight="false" outlineLevel="0" collapsed="false">
      <c r="A254" s="65" t="s">
        <v>129</v>
      </c>
      <c r="B254" s="24" t="s">
        <v>589</v>
      </c>
      <c r="C254" s="33" t="s">
        <v>3269</v>
      </c>
      <c r="D254" s="33"/>
      <c r="E254" s="33"/>
      <c r="F254" s="33"/>
      <c r="G254" s="193" t="s">
        <v>626</v>
      </c>
      <c r="H254" s="105" t="n">
        <f aca="false">'[2]$ зима'!j254-'[2]$ зима'!au254-'[2]$ зима'!at254-'[2]$ зима'!as254-'[2]$ зима'!ar254-'[2]$ зима'!aq254-'[2]$ зима'!ap254-'[2]$ зима'!an254-'[2]$ зима'!am254-'[2]$ зима'!al254-'[2]$ зима'!ak254-'[2]$ зима'!aj254-'[2]$ зима'!ah254-'[2]$ зима'!ag254-'[2]$ зима'!af254-'[2]$ зима'!ae254-'[2]$ зима'!ad254-'[2]$ зима'!ab254-'[2]$ зима'!aa254-'[2]$ зима'!z254-'[2]$ зима'!y254-'[2]$ зима'!x254-'[2]$ зима'!v254-'[2]$ зима'!u254-'[2]$ зима'!t254-'[2]$ зима'!s254-'[2]$ зима'!r254-'[2]$ зима'!p254-'[2]$ зима'!o254-'[2]$ зима'!n254-'[2]$ зима'!m254-'[2]$ зима'!l254+'[2]$ зима'!q254+'[2]$ зима'!w254+'[2]$ зима'!ac254+'[2]$ зима'!ai254+'[2]$ зима'!ao254+'[2]$ зима'!k254</f>
        <v>0</v>
      </c>
      <c r="I254" s="191" t="n">
        <f aca="false">'[2]$ зима'!ay254*1.1</f>
        <v>1431.98</v>
      </c>
    </row>
    <row r="255" customFormat="false" ht="15" hidden="true" customHeight="false" outlineLevel="0" collapsed="false">
      <c r="A255" s="65" t="s">
        <v>129</v>
      </c>
      <c r="B255" s="24" t="s">
        <v>589</v>
      </c>
      <c r="C255" s="33" t="s">
        <v>3173</v>
      </c>
      <c r="D255" s="33"/>
      <c r="E255" s="33"/>
      <c r="F255" s="33"/>
      <c r="G255" s="193" t="s">
        <v>626</v>
      </c>
      <c r="H255" s="105" t="n">
        <f aca="false">'[2]$ зима'!j255-'[2]$ зима'!au255-'[2]$ зима'!at255-'[2]$ зима'!as255-'[2]$ зима'!ar255-'[2]$ зима'!aq255-'[2]$ зима'!ap255-'[2]$ зима'!an255-'[2]$ зима'!am255-'[2]$ зима'!al255-'[2]$ зима'!ak255-'[2]$ зима'!aj255-'[2]$ зима'!ah255-'[2]$ зима'!ag255-'[2]$ зима'!af255-'[2]$ зима'!ae255-'[2]$ зима'!ad255-'[2]$ зима'!ab255-'[2]$ зима'!aa255-'[2]$ зима'!z255-'[2]$ зима'!y255-'[2]$ зима'!x255-'[2]$ зима'!v255-'[2]$ зима'!u255-'[2]$ зима'!t255-'[2]$ зима'!s255-'[2]$ зима'!r255-'[2]$ зима'!p255-'[2]$ зима'!o255-'[2]$ зима'!n255-'[2]$ зима'!m255-'[2]$ зима'!l255+'[2]$ зима'!q255+'[2]$ зима'!w255+'[2]$ зима'!ac255+'[2]$ зима'!ai255+'[2]$ зима'!ao255+'[2]$ зима'!k255</f>
        <v>0</v>
      </c>
      <c r="I255" s="191" t="n">
        <f aca="false">'[2]$ зима'!ay255*1.1</f>
        <v>1245.2</v>
      </c>
    </row>
    <row r="256" customFormat="false" ht="15" hidden="false" customHeight="false" outlineLevel="0" collapsed="false">
      <c r="A256" s="196" t="s">
        <v>789</v>
      </c>
      <c r="B256" s="149" t="s">
        <v>3270</v>
      </c>
      <c r="C256" s="149" t="s">
        <v>3270</v>
      </c>
      <c r="D256" s="213"/>
      <c r="E256" s="211"/>
      <c r="F256" s="211"/>
      <c r="G256" s="203"/>
      <c r="H256" s="105" t="n">
        <f aca="false">'[2]$ зима'!j256-'[2]$ зима'!au256-'[2]$ зима'!at256-'[2]$ зима'!as256-'[2]$ зима'!ar256-'[2]$ зима'!aq256-'[2]$ зима'!ap256-'[2]$ зима'!an256-'[2]$ зима'!am256-'[2]$ зима'!al256-'[2]$ зима'!ak256-'[2]$ зима'!aj256-'[2]$ зима'!ah256-'[2]$ зима'!ag256-'[2]$ зима'!af256-'[2]$ зима'!ae256-'[2]$ зима'!ad256-'[2]$ зима'!ab256-'[2]$ зима'!aa256-'[2]$ зима'!z256-'[2]$ зима'!y256-'[2]$ зима'!x256-'[2]$ зима'!v256-'[2]$ зима'!u256-'[2]$ зима'!t256-'[2]$ зима'!s256-'[2]$ зима'!r256-'[2]$ зима'!p256-'[2]$ зима'!o256-'[2]$ зима'!n256-'[2]$ зима'!m256-'[2]$ зима'!l256+'[2]$ зима'!q256+'[2]$ зима'!w256+'[2]$ зима'!ac256+'[2]$ зима'!ai256+'[2]$ зима'!ao256+'[2]$ зима'!k256</f>
        <v>4</v>
      </c>
      <c r="I256" s="191" t="n">
        <f aca="false">'[2]$ зима'!ay256*1.1</f>
        <v>770</v>
      </c>
    </row>
    <row r="257" customFormat="false" ht="15" hidden="false" customHeight="false" outlineLevel="0" collapsed="false">
      <c r="A257" s="196" t="s">
        <v>789</v>
      </c>
      <c r="B257" s="149" t="s">
        <v>668</v>
      </c>
      <c r="C257" s="148" t="s">
        <v>3232</v>
      </c>
      <c r="D257" s="148"/>
      <c r="E257" s="192"/>
      <c r="F257" s="192"/>
      <c r="G257" s="193"/>
      <c r="H257" s="105" t="n">
        <f aca="false">'[2]$ зима'!j257-'[2]$ зима'!au257-'[2]$ зима'!at257-'[2]$ зима'!as257-'[2]$ зима'!ar257-'[2]$ зима'!aq257-'[2]$ зима'!ap257-'[2]$ зима'!an257-'[2]$ зима'!am257-'[2]$ зима'!al257-'[2]$ зима'!ak257-'[2]$ зима'!aj257-'[2]$ зима'!ah257-'[2]$ зима'!ag257-'[2]$ зима'!af257-'[2]$ зима'!ae257-'[2]$ зима'!ad257-'[2]$ зима'!ab257-'[2]$ зима'!aa257-'[2]$ зима'!z257-'[2]$ зима'!y257-'[2]$ зима'!x257-'[2]$ зима'!v257-'[2]$ зима'!u257-'[2]$ зима'!t257-'[2]$ зима'!s257-'[2]$ зима'!r257-'[2]$ зима'!p257-'[2]$ зима'!o257-'[2]$ зима'!n257-'[2]$ зима'!m257-'[2]$ зима'!l257+'[2]$ зима'!q257+'[2]$ зима'!w257+'[2]$ зима'!ac257+'[2]$ зима'!ai257+'[2]$ зима'!ao257+'[2]$ зима'!k257</f>
        <v>1</v>
      </c>
      <c r="I257" s="191" t="n">
        <f aca="false">'[2]$ зима'!ay257*1.1</f>
        <v>462</v>
      </c>
    </row>
    <row r="258" customFormat="false" ht="15" hidden="false" customHeight="false" outlineLevel="0" collapsed="false">
      <c r="A258" s="196" t="s">
        <v>789</v>
      </c>
      <c r="B258" s="149" t="s">
        <v>1149</v>
      </c>
      <c r="C258" s="148" t="s">
        <v>3271</v>
      </c>
      <c r="D258" s="148"/>
      <c r="E258" s="192"/>
      <c r="F258" s="192"/>
      <c r="G258" s="193"/>
      <c r="H258" s="105" t="n">
        <f aca="false">'[2]$ зима'!j258-'[2]$ зима'!au258-'[2]$ зима'!at258-'[2]$ зима'!as258-'[2]$ зима'!ar258-'[2]$ зима'!aq258-'[2]$ зима'!ap258-'[2]$ зима'!an258-'[2]$ зима'!am258-'[2]$ зима'!al258-'[2]$ зима'!ak258-'[2]$ зима'!aj258-'[2]$ зима'!ah258-'[2]$ зима'!ag258-'[2]$ зима'!af258-'[2]$ зима'!ae258-'[2]$ зима'!ad258-'[2]$ зима'!ab258-'[2]$ зима'!aa258-'[2]$ зима'!z258-'[2]$ зима'!y258-'[2]$ зима'!x258-'[2]$ зима'!v258-'[2]$ зима'!u258-'[2]$ зима'!t258-'[2]$ зима'!s258-'[2]$ зима'!r258-'[2]$ зима'!p258-'[2]$ зима'!o258-'[2]$ зима'!n258-'[2]$ зима'!m258-'[2]$ зима'!l258+'[2]$ зима'!q258+'[2]$ зима'!w258+'[2]$ зима'!ac258+'[2]$ зима'!ai258+'[2]$ зима'!ao258+'[2]$ зима'!k258</f>
        <v>1</v>
      </c>
      <c r="I258" s="191" t="n">
        <f aca="false">'[2]$ зима'!ay258*1.1</f>
        <v>462</v>
      </c>
    </row>
    <row r="259" customFormat="false" ht="15" hidden="false" customHeight="false" outlineLevel="0" collapsed="false">
      <c r="A259" s="196" t="s">
        <v>789</v>
      </c>
      <c r="B259" s="149" t="s">
        <v>589</v>
      </c>
      <c r="C259" s="148" t="s">
        <v>3259</v>
      </c>
      <c r="D259" s="148"/>
      <c r="E259" s="192" t="n">
        <v>86</v>
      </c>
      <c r="F259" s="192" t="s">
        <v>3207</v>
      </c>
      <c r="G259" s="193" t="s">
        <v>626</v>
      </c>
      <c r="H259" s="105" t="n">
        <f aca="false">'[2]$ зима'!j259-'[2]$ зима'!au259-'[2]$ зима'!at259-'[2]$ зима'!as259-'[2]$ зима'!ar259-'[2]$ зима'!aq259-'[2]$ зима'!ap259-'[2]$ зима'!an259-'[2]$ зима'!am259-'[2]$ зима'!al259-'[2]$ зима'!ak259-'[2]$ зима'!aj259-'[2]$ зима'!ah259-'[2]$ зима'!ag259-'[2]$ зима'!af259-'[2]$ зима'!ae259-'[2]$ зима'!ad259-'[2]$ зима'!ab259-'[2]$ зима'!aa259-'[2]$ зима'!z259-'[2]$ зима'!y259-'[2]$ зима'!x259-'[2]$ зима'!v259-'[2]$ зима'!u259-'[2]$ зима'!t259-'[2]$ зима'!s259-'[2]$ зима'!r259-'[2]$ зима'!p259-'[2]$ зима'!o259-'[2]$ зима'!n259-'[2]$ зима'!m259-'[2]$ зима'!l259+'[2]$ зима'!q259+'[2]$ зима'!w259+'[2]$ зима'!ac259+'[2]$ зима'!ai259+'[2]$ зима'!ao259+'[2]$ зима'!k259</f>
        <v>8</v>
      </c>
      <c r="I259" s="191" t="n">
        <f aca="false">'[2]$ зима'!ay259*1.1</f>
        <v>1280.84</v>
      </c>
      <c r="J259" s="171" t="n">
        <v>2015</v>
      </c>
    </row>
    <row r="260" customFormat="false" ht="15" hidden="true" customHeight="false" outlineLevel="0" collapsed="false">
      <c r="A260" s="196" t="s">
        <v>791</v>
      </c>
      <c r="B260" s="149" t="s">
        <v>604</v>
      </c>
      <c r="C260" s="148" t="s">
        <v>3272</v>
      </c>
      <c r="D260" s="148"/>
      <c r="E260" s="148"/>
      <c r="F260" s="148"/>
      <c r="G260" s="193"/>
      <c r="H260" s="105" t="n">
        <f aca="false">'[2]$ зима'!j260-'[2]$ зима'!au260-'[2]$ зима'!at260-'[2]$ зима'!as260-'[2]$ зима'!ar260-'[2]$ зима'!aq260-'[2]$ зима'!ap260-'[2]$ зима'!an260-'[2]$ зима'!am260-'[2]$ зима'!al260-'[2]$ зима'!ak260-'[2]$ зима'!aj260-'[2]$ зима'!ah260-'[2]$ зима'!ag260-'[2]$ зима'!af260-'[2]$ зима'!ae260-'[2]$ зима'!ad260-'[2]$ зима'!ab260-'[2]$ зима'!aa260-'[2]$ зима'!z260-'[2]$ зима'!y260-'[2]$ зима'!x260-'[2]$ зима'!v260-'[2]$ зима'!u260-'[2]$ зима'!t260-'[2]$ зима'!s260-'[2]$ зима'!r260-'[2]$ зима'!p260-'[2]$ зима'!o260-'[2]$ зима'!n260-'[2]$ зима'!m260-'[2]$ зима'!l260+'[2]$ зима'!q260+'[2]$ зима'!w260+'[2]$ зима'!ac260+'[2]$ зима'!ai260+'[2]$ зима'!ao260+'[2]$ зима'!k260</f>
        <v>0</v>
      </c>
      <c r="I260" s="191" t="n">
        <f aca="false">'[2]$ зима'!ay260*1.1</f>
        <v>1601.6</v>
      </c>
    </row>
    <row r="261" customFormat="false" ht="15" hidden="true" customHeight="false" outlineLevel="0" collapsed="false">
      <c r="A261" s="196" t="s">
        <v>791</v>
      </c>
      <c r="B261" s="149" t="s">
        <v>666</v>
      </c>
      <c r="C261" s="148" t="s">
        <v>3263</v>
      </c>
      <c r="D261" s="148"/>
      <c r="E261" s="148"/>
      <c r="F261" s="148"/>
      <c r="G261" s="193"/>
      <c r="H261" s="105" t="n">
        <f aca="false">'[2]$ зима'!j261-'[2]$ зима'!au261-'[2]$ зима'!at261-'[2]$ зима'!as261-'[2]$ зима'!ar261-'[2]$ зима'!aq261-'[2]$ зима'!ap261-'[2]$ зима'!an261-'[2]$ зима'!am261-'[2]$ зима'!al261-'[2]$ зима'!ak261-'[2]$ зима'!aj261-'[2]$ зима'!ah261-'[2]$ зима'!ag261-'[2]$ зима'!af261-'[2]$ зима'!ae261-'[2]$ зима'!ad261-'[2]$ зима'!ab261-'[2]$ зима'!aa261-'[2]$ зима'!z261-'[2]$ зима'!y261-'[2]$ зима'!x261-'[2]$ зима'!v261-'[2]$ зима'!u261-'[2]$ зима'!t261-'[2]$ зима'!s261-'[2]$ зима'!r261-'[2]$ зима'!p261-'[2]$ зима'!o261-'[2]$ зима'!n261-'[2]$ зима'!m261-'[2]$ зима'!l261+'[2]$ зима'!q261+'[2]$ зима'!w261+'[2]$ зима'!ac261+'[2]$ зима'!ai261+'[2]$ зима'!ao261+'[2]$ зима'!k261</f>
        <v>0</v>
      </c>
      <c r="I261" s="191" t="n">
        <f aca="false">'[2]$ зима'!ay261*1.1</f>
        <v>770</v>
      </c>
    </row>
    <row r="262" customFormat="false" ht="15" hidden="false" customHeight="false" outlineLevel="0" collapsed="false">
      <c r="A262" s="196" t="s">
        <v>791</v>
      </c>
      <c r="B262" s="149" t="s">
        <v>668</v>
      </c>
      <c r="C262" s="148" t="s">
        <v>3232</v>
      </c>
      <c r="D262" s="148"/>
      <c r="E262" s="192"/>
      <c r="F262" s="192"/>
      <c r="G262" s="193"/>
      <c r="H262" s="105" t="n">
        <f aca="false">'[2]$ зима'!j262-'[2]$ зима'!au262-'[2]$ зима'!at262-'[2]$ зима'!as262-'[2]$ зима'!ar262-'[2]$ зима'!aq262-'[2]$ зима'!ap262-'[2]$ зима'!an262-'[2]$ зима'!am262-'[2]$ зима'!al262-'[2]$ зима'!ak262-'[2]$ зима'!aj262-'[2]$ зима'!ah262-'[2]$ зима'!ag262-'[2]$ зима'!af262-'[2]$ зима'!ae262-'[2]$ зима'!ad262-'[2]$ зима'!ab262-'[2]$ зима'!aa262-'[2]$ зима'!z262-'[2]$ зима'!y262-'[2]$ зима'!x262-'[2]$ зима'!v262-'[2]$ зима'!u262-'[2]$ зима'!t262-'[2]$ зима'!s262-'[2]$ зима'!r262-'[2]$ зима'!p262-'[2]$ зима'!o262-'[2]$ зима'!n262-'[2]$ зима'!m262-'[2]$ зима'!l262+'[2]$ зима'!q262+'[2]$ зима'!w262+'[2]$ зима'!ac262+'[2]$ зима'!ai262+'[2]$ зима'!ao262+'[2]$ зима'!k262</f>
        <v>1</v>
      </c>
      <c r="I262" s="191" t="n">
        <f aca="false">'[2]$ зима'!ay262*1.1</f>
        <v>462</v>
      </c>
    </row>
    <row r="263" customFormat="false" ht="15" hidden="false" customHeight="false" outlineLevel="0" collapsed="false">
      <c r="A263" s="196" t="s">
        <v>791</v>
      </c>
      <c r="B263" s="149" t="s">
        <v>583</v>
      </c>
      <c r="C263" s="148" t="s">
        <v>3130</v>
      </c>
      <c r="D263" s="148"/>
      <c r="E263" s="192"/>
      <c r="F263" s="192"/>
      <c r="G263" s="193"/>
      <c r="H263" s="105" t="n">
        <f aca="false">'[2]$ зима'!j263-'[2]$ зима'!au263-'[2]$ зима'!at263-'[2]$ зима'!as263-'[2]$ зима'!ar263-'[2]$ зима'!aq263-'[2]$ зима'!ap263-'[2]$ зима'!an263-'[2]$ зима'!am263-'[2]$ зима'!al263-'[2]$ зима'!ak263-'[2]$ зима'!aj263-'[2]$ зима'!ah263-'[2]$ зима'!ag263-'[2]$ зима'!af263-'[2]$ зима'!ae263-'[2]$ зима'!ad263-'[2]$ зима'!ab263-'[2]$ зима'!aa263-'[2]$ зима'!z263-'[2]$ зима'!y263-'[2]$ зима'!x263-'[2]$ зима'!v263-'[2]$ зима'!u263-'[2]$ зима'!t263-'[2]$ зима'!s263-'[2]$ зима'!r263-'[2]$ зима'!p263-'[2]$ зима'!o263-'[2]$ зима'!n263-'[2]$ зима'!m263-'[2]$ зима'!l263+'[2]$ зима'!q263+'[2]$ зима'!w263+'[2]$ зима'!ac263+'[2]$ зима'!ai263+'[2]$ зима'!ao263+'[2]$ зима'!k263</f>
        <v>1</v>
      </c>
      <c r="I263" s="191" t="n">
        <f aca="false">'[2]$ зима'!ay263*1.1</f>
        <v>708.4</v>
      </c>
    </row>
    <row r="264" customFormat="false" ht="15" hidden="true" customHeight="false" outlineLevel="0" collapsed="false">
      <c r="A264" s="196" t="s">
        <v>791</v>
      </c>
      <c r="B264" s="149" t="s">
        <v>589</v>
      </c>
      <c r="C264" s="148" t="s">
        <v>3257</v>
      </c>
      <c r="D264" s="148"/>
      <c r="E264" s="148"/>
      <c r="F264" s="148"/>
      <c r="G264" s="193" t="s">
        <v>626</v>
      </c>
      <c r="H264" s="105" t="n">
        <f aca="false">'[2]$ зима'!j264-'[2]$ зима'!au264-'[2]$ зима'!at264-'[2]$ зима'!as264-'[2]$ зима'!ar264-'[2]$ зима'!aq264-'[2]$ зима'!ap264-'[2]$ зима'!an264-'[2]$ зима'!am264-'[2]$ зима'!al264-'[2]$ зима'!ak264-'[2]$ зима'!aj264-'[2]$ зима'!ah264-'[2]$ зима'!ag264-'[2]$ зима'!af264-'[2]$ зима'!ae264-'[2]$ зима'!ad264-'[2]$ зима'!ab264-'[2]$ зима'!aa264-'[2]$ зима'!z264-'[2]$ зима'!y264-'[2]$ зима'!x264-'[2]$ зима'!v264-'[2]$ зима'!u264-'[2]$ зима'!t264-'[2]$ зима'!s264-'[2]$ зима'!r264-'[2]$ зима'!p264-'[2]$ зима'!o264-'[2]$ зима'!n264-'[2]$ зима'!m264-'[2]$ зима'!l264+'[2]$ зима'!q264+'[2]$ зима'!w264+'[2]$ зима'!ac264+'[2]$ зима'!ai264+'[2]$ зима'!ao264+'[2]$ зима'!k264</f>
        <v>0</v>
      </c>
      <c r="I264" s="191" t="n">
        <f aca="false">'[2]$ зима'!ay264*1.1</f>
        <v>1556.5</v>
      </c>
    </row>
    <row r="265" customFormat="false" ht="15" hidden="true" customHeight="false" outlineLevel="0" collapsed="false">
      <c r="A265" s="196" t="s">
        <v>138</v>
      </c>
      <c r="B265" s="149" t="s">
        <v>604</v>
      </c>
      <c r="C265" s="148" t="s">
        <v>3272</v>
      </c>
      <c r="D265" s="148"/>
      <c r="E265" s="148"/>
      <c r="F265" s="148"/>
      <c r="G265" s="193"/>
      <c r="H265" s="105" t="n">
        <f aca="false">'[2]$ зима'!j265-'[2]$ зима'!au265-'[2]$ зима'!at265-'[2]$ зима'!as265-'[2]$ зима'!ar265-'[2]$ зима'!aq265-'[2]$ зима'!ap265-'[2]$ зима'!an265-'[2]$ зима'!am265-'[2]$ зима'!al265-'[2]$ зима'!ak265-'[2]$ зима'!aj265-'[2]$ зима'!ah265-'[2]$ зима'!ag265-'[2]$ зима'!af265-'[2]$ зима'!ae265-'[2]$ зима'!ad265-'[2]$ зима'!ab265-'[2]$ зима'!aa265-'[2]$ зима'!z265-'[2]$ зима'!y265-'[2]$ зима'!x265-'[2]$ зима'!v265-'[2]$ зима'!u265-'[2]$ зима'!t265-'[2]$ зима'!s265-'[2]$ зима'!r265-'[2]$ зима'!p265-'[2]$ зима'!o265-'[2]$ зима'!n265-'[2]$ зима'!m265-'[2]$ зима'!l265+'[2]$ зима'!q265+'[2]$ зима'!w265+'[2]$ зима'!ac265+'[2]$ зима'!ai265+'[2]$ зима'!ao265+'[2]$ зима'!k265</f>
        <v>0</v>
      </c>
      <c r="I265" s="191" t="n">
        <f aca="false">'[2]$ зима'!ay265*1.1</f>
        <v>1293.6</v>
      </c>
    </row>
    <row r="266" customFormat="false" ht="15" hidden="false" customHeight="false" outlineLevel="0" collapsed="false">
      <c r="A266" s="196" t="s">
        <v>138</v>
      </c>
      <c r="B266" s="149" t="s">
        <v>606</v>
      </c>
      <c r="C266" s="148" t="s">
        <v>3155</v>
      </c>
      <c r="D266" s="148"/>
      <c r="E266" s="192" t="n">
        <v>91</v>
      </c>
      <c r="F266" s="192" t="s">
        <v>562</v>
      </c>
      <c r="G266" s="193" t="s">
        <v>609</v>
      </c>
      <c r="H266" s="105" t="n">
        <f aca="false">'[2]$ зима'!j266-'[2]$ зима'!au266-'[2]$ зима'!at266-'[2]$ зима'!as266-'[2]$ зима'!ar266-'[2]$ зима'!aq266-'[2]$ зима'!ap266-'[2]$ зима'!an266-'[2]$ зима'!am266-'[2]$ зима'!al266-'[2]$ зима'!ak266-'[2]$ зима'!aj266-'[2]$ зима'!ah266-'[2]$ зима'!ag266-'[2]$ зима'!af266-'[2]$ зима'!ae266-'[2]$ зима'!ad266-'[2]$ зима'!ab266-'[2]$ зима'!aa266-'[2]$ зима'!z266-'[2]$ зима'!y266-'[2]$ зима'!x266-'[2]$ зима'!v266-'[2]$ зима'!u266-'[2]$ зима'!t266-'[2]$ зима'!s266-'[2]$ зима'!r266-'[2]$ зима'!p266-'[2]$ зима'!o266-'[2]$ зима'!n266-'[2]$ зима'!m266-'[2]$ зима'!l266+'[2]$ зима'!q266+'[2]$ зима'!w266+'[2]$ зима'!ac266+'[2]$ зима'!ai266+'[2]$ зима'!ao266+'[2]$ зима'!k266</f>
        <v>8</v>
      </c>
      <c r="I266" s="191" t="n">
        <f aca="false">'[2]$ зима'!ay266*1.1</f>
        <v>1386</v>
      </c>
      <c r="J266" s="171" t="n">
        <v>2018</v>
      </c>
    </row>
    <row r="267" customFormat="false" ht="15" hidden="true" customHeight="false" outlineLevel="0" collapsed="false">
      <c r="A267" s="196" t="s">
        <v>138</v>
      </c>
      <c r="B267" s="149" t="s">
        <v>606</v>
      </c>
      <c r="C267" s="148" t="s">
        <v>3273</v>
      </c>
      <c r="D267" s="148"/>
      <c r="E267" s="148" t="n">
        <v>91</v>
      </c>
      <c r="F267" s="148" t="s">
        <v>562</v>
      </c>
      <c r="G267" s="193"/>
      <c r="H267" s="105" t="n">
        <f aca="false">'[2]$ зима'!j267-'[2]$ зима'!au267-'[2]$ зима'!at267-'[2]$ зима'!as267-'[2]$ зима'!ar267-'[2]$ зима'!aq267-'[2]$ зима'!ap267-'[2]$ зима'!an267-'[2]$ зима'!am267-'[2]$ зима'!al267-'[2]$ зима'!ak267-'[2]$ зима'!aj267-'[2]$ зима'!ah267-'[2]$ зима'!ag267-'[2]$ зима'!af267-'[2]$ зима'!ae267-'[2]$ зима'!ad267-'[2]$ зима'!ab267-'[2]$ зима'!aa267-'[2]$ зима'!z267-'[2]$ зима'!y267-'[2]$ зима'!x267-'[2]$ зима'!v267-'[2]$ зима'!u267-'[2]$ зима'!t267-'[2]$ зима'!s267-'[2]$ зима'!r267-'[2]$ зима'!p267-'[2]$ зима'!o267-'[2]$ зима'!n267-'[2]$ зима'!m267-'[2]$ зима'!l267+'[2]$ зима'!q267+'[2]$ зима'!w267+'[2]$ зима'!ac267+'[2]$ зима'!ai267+'[2]$ зима'!ao267+'[2]$ зима'!k267</f>
        <v>0</v>
      </c>
      <c r="I267" s="191" t="n">
        <f aca="false">'[2]$ зима'!ay267*1.1</f>
        <v>1324.4</v>
      </c>
    </row>
    <row r="268" customFormat="false" ht="15" hidden="false" customHeight="false" outlineLevel="0" collapsed="false">
      <c r="A268" s="196" t="s">
        <v>138</v>
      </c>
      <c r="B268" s="149" t="s">
        <v>606</v>
      </c>
      <c r="C268" s="148" t="s">
        <v>3156</v>
      </c>
      <c r="D268" s="148"/>
      <c r="E268" s="192" t="n">
        <v>91</v>
      </c>
      <c r="F268" s="192" t="s">
        <v>562</v>
      </c>
      <c r="G268" s="193" t="s">
        <v>609</v>
      </c>
      <c r="H268" s="105" t="n">
        <f aca="false">'[2]$ зима'!j268-'[2]$ зима'!au268-'[2]$ зима'!at268-'[2]$ зима'!as268-'[2]$ зима'!ar268-'[2]$ зима'!aq268-'[2]$ зима'!ap268-'[2]$ зима'!an268-'[2]$ зима'!am268-'[2]$ зима'!al268-'[2]$ зима'!ak268-'[2]$ зима'!aj268-'[2]$ зима'!ah268-'[2]$ зима'!ag268-'[2]$ зима'!af268-'[2]$ зима'!ae268-'[2]$ зима'!ad268-'[2]$ зима'!ab268-'[2]$ зима'!aa268-'[2]$ зима'!z268-'[2]$ зима'!y268-'[2]$ зима'!x268-'[2]$ зима'!v268-'[2]$ зима'!u268-'[2]$ зима'!t268-'[2]$ зима'!s268-'[2]$ зима'!r268-'[2]$ зима'!p268-'[2]$ зима'!o268-'[2]$ зима'!n268-'[2]$ зима'!m268-'[2]$ зима'!l268+'[2]$ зима'!q268+'[2]$ зима'!w268+'[2]$ зима'!ac268+'[2]$ зима'!ai268+'[2]$ зима'!ao268+'[2]$ зима'!k268</f>
        <v>4</v>
      </c>
      <c r="I268" s="191" t="n">
        <f aca="false">'[2]$ зима'!ay268*1.1</f>
        <v>1386</v>
      </c>
      <c r="J268" s="171" t="n">
        <v>2018</v>
      </c>
    </row>
    <row r="269" customFormat="false" ht="15" hidden="true" customHeight="false" outlineLevel="0" collapsed="false">
      <c r="A269" s="196" t="s">
        <v>138</v>
      </c>
      <c r="B269" s="149" t="s">
        <v>3142</v>
      </c>
      <c r="C269" s="148" t="s">
        <v>3274</v>
      </c>
      <c r="D269" s="148" t="s">
        <v>3127</v>
      </c>
      <c r="E269" s="148"/>
      <c r="F269" s="148"/>
      <c r="G269" s="193"/>
      <c r="H269" s="105" t="n">
        <f aca="false">'[2]$ зима'!j269-'[2]$ зима'!au269-'[2]$ зима'!at269-'[2]$ зима'!as269-'[2]$ зима'!ar269-'[2]$ зима'!aq269-'[2]$ зима'!ap269-'[2]$ зима'!an269-'[2]$ зима'!am269-'[2]$ зима'!al269-'[2]$ зима'!ak269-'[2]$ зима'!aj269-'[2]$ зима'!ah269-'[2]$ зима'!ag269-'[2]$ зима'!af269-'[2]$ зима'!ae269-'[2]$ зима'!ad269-'[2]$ зима'!ab269-'[2]$ зима'!aa269-'[2]$ зима'!z269-'[2]$ зима'!y269-'[2]$ зима'!x269-'[2]$ зима'!v269-'[2]$ зима'!u269-'[2]$ зима'!t269-'[2]$ зима'!s269-'[2]$ зима'!r269-'[2]$ зима'!p269-'[2]$ зима'!o269-'[2]$ зима'!n269-'[2]$ зима'!m269-'[2]$ зима'!l269+'[2]$ зима'!q269+'[2]$ зима'!w269+'[2]$ зима'!ac269+'[2]$ зима'!ai269+'[2]$ зима'!ao269+'[2]$ зима'!k269</f>
        <v>0</v>
      </c>
      <c r="I269" s="191" t="n">
        <f aca="false">'[2]$ зима'!ay269*1.1</f>
        <v>1324.4</v>
      </c>
    </row>
    <row r="270" customFormat="false" ht="15" hidden="true" customHeight="false" outlineLevel="0" collapsed="false">
      <c r="A270" s="196" t="s">
        <v>138</v>
      </c>
      <c r="B270" s="149" t="s">
        <v>589</v>
      </c>
      <c r="C270" s="148" t="s">
        <v>3275</v>
      </c>
      <c r="D270" s="148"/>
      <c r="E270" s="148"/>
      <c r="F270" s="148"/>
      <c r="G270" s="193" t="s">
        <v>626</v>
      </c>
      <c r="H270" s="105" t="n">
        <f aca="false">'[2]$ зима'!j270-'[2]$ зима'!au270-'[2]$ зима'!at270-'[2]$ зима'!as270-'[2]$ зима'!ar270-'[2]$ зима'!aq270-'[2]$ зима'!ap270-'[2]$ зима'!an270-'[2]$ зима'!am270-'[2]$ зима'!al270-'[2]$ зима'!ak270-'[2]$ зима'!aj270-'[2]$ зима'!ah270-'[2]$ зима'!ag270-'[2]$ зима'!af270-'[2]$ зима'!ae270-'[2]$ зима'!ad270-'[2]$ зима'!ab270-'[2]$ зима'!aa270-'[2]$ зима'!z270-'[2]$ зима'!y270-'[2]$ зима'!x270-'[2]$ зима'!v270-'[2]$ зима'!u270-'[2]$ зима'!t270-'[2]$ зима'!s270-'[2]$ зима'!r270-'[2]$ зима'!p270-'[2]$ зима'!o270-'[2]$ зима'!n270-'[2]$ зима'!m270-'[2]$ зима'!l270+'[2]$ зима'!q270+'[2]$ зима'!w270+'[2]$ зима'!ac270+'[2]$ зима'!ai270+'[2]$ зима'!ao270+'[2]$ зима'!k270</f>
        <v>0</v>
      </c>
      <c r="I270" s="191" t="n">
        <f aca="false">'[2]$ зима'!ay270*1.1</f>
        <v>1400.85</v>
      </c>
    </row>
    <row r="271" customFormat="false" ht="15" hidden="true" customHeight="false" outlineLevel="0" collapsed="false">
      <c r="A271" s="196" t="s">
        <v>139</v>
      </c>
      <c r="B271" s="149" t="s">
        <v>741</v>
      </c>
      <c r="C271" s="148" t="s">
        <v>3276</v>
      </c>
      <c r="D271" s="148"/>
      <c r="E271" s="148"/>
      <c r="F271" s="148"/>
      <c r="G271" s="193"/>
      <c r="H271" s="105" t="n">
        <f aca="false">'[2]$ зима'!j271-'[2]$ зима'!au271-'[2]$ зима'!at271-'[2]$ зима'!as271-'[2]$ зима'!ar271-'[2]$ зима'!aq271-'[2]$ зима'!ap271-'[2]$ зима'!an271-'[2]$ зима'!am271-'[2]$ зима'!al271-'[2]$ зима'!ak271-'[2]$ зима'!aj271-'[2]$ зима'!ah271-'[2]$ зима'!ag271-'[2]$ зима'!af271-'[2]$ зима'!ae271-'[2]$ зима'!ad271-'[2]$ зима'!ab271-'[2]$ зима'!aa271-'[2]$ зима'!z271-'[2]$ зима'!y271-'[2]$ зима'!x271-'[2]$ зима'!v271-'[2]$ зима'!u271-'[2]$ зима'!t271-'[2]$ зима'!s271-'[2]$ зима'!r271-'[2]$ зима'!p271-'[2]$ зима'!o271-'[2]$ зима'!n271-'[2]$ зима'!m271-'[2]$ зима'!l271+'[2]$ зима'!q271+'[2]$ зима'!w271+'[2]$ зима'!ac271+'[2]$ зима'!ai271+'[2]$ зима'!ao271+'[2]$ зима'!k271</f>
        <v>0</v>
      </c>
      <c r="I271" s="191" t="n">
        <f aca="false">'[2]$ зима'!ay271*1.1</f>
        <v>2525.6</v>
      </c>
    </row>
    <row r="272" customFormat="false" ht="15.75" hidden="false" customHeight="false" outlineLevel="0" collapsed="false">
      <c r="A272" s="206" t="s">
        <v>145</v>
      </c>
      <c r="B272" s="207"/>
      <c r="C272" s="207"/>
      <c r="D272" s="207"/>
      <c r="E272" s="208"/>
      <c r="F272" s="208"/>
      <c r="G272" s="209"/>
      <c r="H272" s="105"/>
      <c r="I272" s="187" t="n">
        <f aca="false">'[2]$ зима'!ay272*1.1</f>
        <v>0</v>
      </c>
    </row>
    <row r="273" customFormat="false" ht="15" hidden="true" customHeight="false" outlineLevel="0" collapsed="false">
      <c r="A273" s="188" t="s">
        <v>3277</v>
      </c>
      <c r="B273" s="149" t="s">
        <v>583</v>
      </c>
      <c r="C273" s="148" t="s">
        <v>3130</v>
      </c>
      <c r="D273" s="148"/>
      <c r="E273" s="148"/>
      <c r="F273" s="148"/>
      <c r="G273" s="193"/>
      <c r="H273" s="105" t="n">
        <f aca="false">'[2]$ зима'!j273-'[2]$ зима'!au273-'[2]$ зима'!at273-'[2]$ зима'!as273-'[2]$ зима'!ar273-'[2]$ зима'!aq273-'[2]$ зима'!ap273-'[2]$ зима'!an273-'[2]$ зима'!am273-'[2]$ зима'!al273-'[2]$ зима'!ak273-'[2]$ зима'!aj273-'[2]$ зима'!ah273-'[2]$ зима'!ag273-'[2]$ зима'!af273-'[2]$ зима'!ae273-'[2]$ зима'!ad273-'[2]$ зима'!ab273-'[2]$ зима'!aa273-'[2]$ зима'!z273-'[2]$ зима'!y273-'[2]$ зима'!x273-'[2]$ зима'!v273-'[2]$ зима'!u273-'[2]$ зима'!t273-'[2]$ зима'!s273-'[2]$ зима'!r273-'[2]$ зима'!p273-'[2]$ зима'!o273-'[2]$ зима'!n273-'[2]$ зима'!m273-'[2]$ зима'!l273+'[2]$ зима'!q273+'[2]$ зима'!w273+'[2]$ зима'!ac273+'[2]$ зима'!ai273+'[2]$ зима'!ao273+'[2]$ зима'!k273</f>
        <v>0</v>
      </c>
      <c r="I273" s="191" t="n">
        <f aca="false">'[2]$ зима'!ay273*1.1</f>
        <v>0</v>
      </c>
    </row>
    <row r="274" customFormat="false" ht="15" hidden="false" customHeight="false" outlineLevel="0" collapsed="false">
      <c r="A274" s="197" t="s">
        <v>3278</v>
      </c>
      <c r="B274" s="149" t="s">
        <v>606</v>
      </c>
      <c r="C274" s="148" t="s">
        <v>3156</v>
      </c>
      <c r="D274" s="148"/>
      <c r="E274" s="192" t="n">
        <v>88</v>
      </c>
      <c r="F274" s="192" t="s">
        <v>3216</v>
      </c>
      <c r="G274" s="193" t="s">
        <v>609</v>
      </c>
      <c r="H274" s="105" t="n">
        <f aca="false">'[2]$ зима'!j274-'[2]$ зима'!au274-'[2]$ зима'!at274-'[2]$ зима'!as274-'[2]$ зима'!ar274-'[2]$ зима'!aq274-'[2]$ зима'!ap274-'[2]$ зима'!an274-'[2]$ зима'!am274-'[2]$ зима'!al274-'[2]$ зима'!ak274-'[2]$ зима'!aj274-'[2]$ зима'!ah274-'[2]$ зима'!ag274-'[2]$ зима'!af274-'[2]$ зима'!ae274-'[2]$ зима'!ad274-'[2]$ зима'!ab274-'[2]$ зима'!aa274-'[2]$ зима'!z274-'[2]$ зима'!y274-'[2]$ зима'!x274-'[2]$ зима'!v274-'[2]$ зима'!u274-'[2]$ зима'!t274-'[2]$ зима'!s274-'[2]$ зима'!r274-'[2]$ зима'!p274-'[2]$ зима'!o274-'[2]$ зима'!n274-'[2]$ зима'!m274-'[2]$ зима'!l274+'[2]$ зима'!q274+'[2]$ зима'!w274+'[2]$ зима'!ac274+'[2]$ зима'!ai274+'[2]$ зима'!ao274+'[2]$ зима'!k274</f>
        <v>4</v>
      </c>
      <c r="I274" s="191" t="n">
        <f aca="false">'[2]$ зима'!ay274*1.1</f>
        <v>1293.6</v>
      </c>
      <c r="J274" s="171" t="n">
        <v>2018</v>
      </c>
    </row>
    <row r="275" customFormat="false" ht="15" hidden="false" customHeight="false" outlineLevel="0" collapsed="false">
      <c r="A275" s="197" t="s">
        <v>3278</v>
      </c>
      <c r="B275" s="149" t="s">
        <v>583</v>
      </c>
      <c r="C275" s="148" t="s">
        <v>3131</v>
      </c>
      <c r="D275" s="148"/>
      <c r="E275" s="192"/>
      <c r="F275" s="192"/>
      <c r="G275" s="193"/>
      <c r="H275" s="105" t="n">
        <f aca="false">'[2]$ зима'!j275-'[2]$ зима'!au275-'[2]$ зима'!at275-'[2]$ зима'!as275-'[2]$ зима'!ar275-'[2]$ зима'!aq275-'[2]$ зима'!ap275-'[2]$ зима'!an275-'[2]$ зима'!am275-'[2]$ зима'!al275-'[2]$ зима'!ak275-'[2]$ зима'!aj275-'[2]$ зима'!ah275-'[2]$ зима'!ag275-'[2]$ зима'!af275-'[2]$ зима'!ae275-'[2]$ зима'!ad275-'[2]$ зима'!ab275-'[2]$ зима'!aa275-'[2]$ зима'!z275-'[2]$ зима'!y275-'[2]$ зима'!x275-'[2]$ зима'!v275-'[2]$ зима'!u275-'[2]$ зима'!t275-'[2]$ зима'!s275-'[2]$ зима'!r275-'[2]$ зима'!p275-'[2]$ зима'!o275-'[2]$ зима'!n275-'[2]$ зима'!m275-'[2]$ зима'!l275+'[2]$ зима'!q275+'[2]$ зима'!w275+'[2]$ зима'!ac275+'[2]$ зима'!ai275+'[2]$ зима'!ao275+'[2]$ зима'!k275</f>
        <v>4</v>
      </c>
      <c r="I275" s="191" t="n">
        <f aca="false">'[2]$ зима'!ay275*1.1</f>
        <v>1078</v>
      </c>
      <c r="J275" s="171" t="n">
        <v>2015</v>
      </c>
    </row>
    <row r="276" customFormat="false" ht="15" hidden="true" customHeight="false" outlineLevel="0" collapsed="false">
      <c r="A276" s="197" t="s">
        <v>3278</v>
      </c>
      <c r="B276" s="149" t="s">
        <v>668</v>
      </c>
      <c r="C276" s="148" t="s">
        <v>3279</v>
      </c>
      <c r="D276" s="148"/>
      <c r="E276" s="148" t="n">
        <v>91</v>
      </c>
      <c r="F276" s="148" t="s">
        <v>562</v>
      </c>
      <c r="G276" s="193"/>
      <c r="H276" s="105" t="n">
        <f aca="false">'[2]$ зима'!j276-'[2]$ зима'!au276-'[2]$ зима'!at276-'[2]$ зима'!as276-'[2]$ зима'!ar276-'[2]$ зима'!aq276-'[2]$ зима'!ap276-'[2]$ зима'!an276-'[2]$ зима'!am276-'[2]$ зима'!al276-'[2]$ зима'!ak276-'[2]$ зима'!aj276-'[2]$ зима'!ah276-'[2]$ зима'!ag276-'[2]$ зима'!af276-'[2]$ зима'!ae276-'[2]$ зима'!ad276-'[2]$ зима'!ab276-'[2]$ зима'!aa276-'[2]$ зима'!z276-'[2]$ зима'!y276-'[2]$ зима'!x276-'[2]$ зима'!v276-'[2]$ зима'!u276-'[2]$ зима'!t276-'[2]$ зима'!s276-'[2]$ зима'!r276-'[2]$ зима'!p276-'[2]$ зима'!o276-'[2]$ зима'!n276-'[2]$ зима'!m276-'[2]$ зима'!l276+'[2]$ зима'!q276+'[2]$ зима'!w276+'[2]$ зима'!ac276+'[2]$ зима'!ai276+'[2]$ зима'!ao276+'[2]$ зима'!k276</f>
        <v>0</v>
      </c>
      <c r="I276" s="191" t="n">
        <f aca="false">'[2]$ зима'!ay276*1.1</f>
        <v>1232</v>
      </c>
    </row>
    <row r="277" customFormat="false" ht="15" hidden="true" customHeight="false" outlineLevel="0" collapsed="false">
      <c r="A277" s="197" t="s">
        <v>146</v>
      </c>
      <c r="B277" s="198" t="s">
        <v>844</v>
      </c>
      <c r="C277" s="148" t="s">
        <v>3280</v>
      </c>
      <c r="D277" s="148"/>
      <c r="E277" s="148"/>
      <c r="F277" s="148"/>
      <c r="G277" s="193"/>
      <c r="H277" s="105" t="n">
        <f aca="false">'[2]$ зима'!j277-'[2]$ зима'!au277-'[2]$ зима'!at277-'[2]$ зима'!as277-'[2]$ зима'!ar277-'[2]$ зима'!aq277-'[2]$ зима'!ap277-'[2]$ зима'!an277-'[2]$ зима'!am277-'[2]$ зима'!al277-'[2]$ зима'!ak277-'[2]$ зима'!aj277-'[2]$ зима'!ah277-'[2]$ зима'!ag277-'[2]$ зима'!af277-'[2]$ зима'!ae277-'[2]$ зима'!ad277-'[2]$ зима'!ab277-'[2]$ зима'!aa277-'[2]$ зима'!z277-'[2]$ зима'!y277-'[2]$ зима'!x277-'[2]$ зима'!v277-'[2]$ зима'!u277-'[2]$ зима'!t277-'[2]$ зима'!s277-'[2]$ зима'!r277-'[2]$ зима'!p277-'[2]$ зима'!o277-'[2]$ зима'!n277-'[2]$ зима'!m277-'[2]$ зима'!l277+'[2]$ зима'!q277+'[2]$ зима'!w277+'[2]$ зима'!ac277+'[2]$ зима'!ai277+'[2]$ зима'!ao277+'[2]$ зима'!k277</f>
        <v>0</v>
      </c>
      <c r="I277" s="191" t="n">
        <f aca="false">'[2]$ зима'!ay277*1.1</f>
        <v>1447.6</v>
      </c>
    </row>
    <row r="278" customFormat="false" ht="15" hidden="false" customHeight="false" outlineLevel="0" collapsed="false">
      <c r="A278" s="197" t="s">
        <v>146</v>
      </c>
      <c r="B278" s="198" t="s">
        <v>606</v>
      </c>
      <c r="C278" s="148" t="s">
        <v>3231</v>
      </c>
      <c r="D278" s="148"/>
      <c r="E278" s="192" t="n">
        <v>86</v>
      </c>
      <c r="F278" s="192" t="s">
        <v>562</v>
      </c>
      <c r="G278" s="193"/>
      <c r="H278" s="105" t="n">
        <f aca="false">'[2]$ зима'!j278-'[2]$ зима'!au278-'[2]$ зима'!at278-'[2]$ зима'!as278-'[2]$ зима'!ar278-'[2]$ зима'!aq278-'[2]$ зима'!ap278-'[2]$ зима'!an278-'[2]$ зима'!am278-'[2]$ зима'!al278-'[2]$ зима'!ak278-'[2]$ зима'!aj278-'[2]$ зима'!ah278-'[2]$ зима'!ag278-'[2]$ зима'!af278-'[2]$ зима'!ae278-'[2]$ зима'!ad278-'[2]$ зима'!ab278-'[2]$ зима'!aa278-'[2]$ зима'!z278-'[2]$ зима'!y278-'[2]$ зима'!x278-'[2]$ зима'!v278-'[2]$ зима'!u278-'[2]$ зима'!t278-'[2]$ зима'!s278-'[2]$ зима'!r278-'[2]$ зима'!p278-'[2]$ зима'!o278-'[2]$ зима'!n278-'[2]$ зима'!m278-'[2]$ зима'!l278+'[2]$ зима'!q278+'[2]$ зима'!w278+'[2]$ зима'!ac278+'[2]$ зима'!ai278+'[2]$ зима'!ao278+'[2]$ зима'!k278</f>
        <v>4</v>
      </c>
      <c r="I278" s="191" t="n">
        <f aca="false">'[2]$ зима'!ay278*1.1</f>
        <v>1694</v>
      </c>
      <c r="J278" s="171" t="n">
        <v>2017</v>
      </c>
    </row>
    <row r="279" customFormat="false" ht="15" hidden="true" customHeight="false" outlineLevel="0" collapsed="false">
      <c r="A279" s="188" t="s">
        <v>146</v>
      </c>
      <c r="B279" s="149" t="s">
        <v>668</v>
      </c>
      <c r="C279" s="148" t="s">
        <v>3233</v>
      </c>
      <c r="D279" s="148"/>
      <c r="E279" s="148"/>
      <c r="F279" s="148"/>
      <c r="G279" s="193"/>
      <c r="H279" s="105" t="n">
        <f aca="false">'[2]$ зима'!j279-'[2]$ зима'!au279-'[2]$ зима'!at279-'[2]$ зима'!as279-'[2]$ зима'!ar279-'[2]$ зима'!aq279-'[2]$ зима'!ap279-'[2]$ зима'!an279-'[2]$ зима'!am279-'[2]$ зима'!al279-'[2]$ зима'!ak279-'[2]$ зима'!aj279-'[2]$ зима'!ah279-'[2]$ зима'!ag279-'[2]$ зима'!af279-'[2]$ зима'!ae279-'[2]$ зима'!ad279-'[2]$ зима'!ab279-'[2]$ зима'!aa279-'[2]$ зима'!z279-'[2]$ зима'!y279-'[2]$ зима'!x279-'[2]$ зима'!v279-'[2]$ зима'!u279-'[2]$ зима'!t279-'[2]$ зима'!s279-'[2]$ зима'!r279-'[2]$ зима'!p279-'[2]$ зима'!o279-'[2]$ зима'!n279-'[2]$ зима'!m279-'[2]$ зима'!l279+'[2]$ зима'!q279+'[2]$ зима'!w279+'[2]$ зима'!ac279+'[2]$ зима'!ai279+'[2]$ зима'!ao279+'[2]$ зима'!k279</f>
        <v>0</v>
      </c>
      <c r="I279" s="191" t="n">
        <f aca="false">'[2]$ зима'!ay279*1.1</f>
        <v>1386</v>
      </c>
      <c r="J279" s="171" t="n">
        <v>2013</v>
      </c>
    </row>
    <row r="280" customFormat="false" ht="15" hidden="false" customHeight="false" outlineLevel="0" collapsed="false">
      <c r="A280" s="188" t="s">
        <v>146</v>
      </c>
      <c r="B280" s="149" t="s">
        <v>668</v>
      </c>
      <c r="C280" s="148" t="s">
        <v>3281</v>
      </c>
      <c r="D280" s="148"/>
      <c r="E280" s="192"/>
      <c r="F280" s="192"/>
      <c r="G280" s="193" t="s">
        <v>520</v>
      </c>
      <c r="H280" s="105" t="n">
        <f aca="false">'[2]$ зима'!j280-'[2]$ зима'!au280-'[2]$ зима'!at280-'[2]$ зима'!as280-'[2]$ зима'!ar280-'[2]$ зима'!aq280-'[2]$ зима'!ap280-'[2]$ зима'!an280-'[2]$ зима'!am280-'[2]$ зима'!al280-'[2]$ зима'!ak280-'[2]$ зима'!aj280-'[2]$ зима'!ah280-'[2]$ зима'!ag280-'[2]$ зима'!af280-'[2]$ зима'!ae280-'[2]$ зима'!ad280-'[2]$ зима'!ab280-'[2]$ зима'!aa280-'[2]$ зима'!z280-'[2]$ зима'!y280-'[2]$ зима'!x280-'[2]$ зима'!v280-'[2]$ зима'!u280-'[2]$ зима'!t280-'[2]$ зима'!s280-'[2]$ зима'!r280-'[2]$ зима'!p280-'[2]$ зима'!o280-'[2]$ зима'!n280-'[2]$ зима'!m280-'[2]$ зима'!l280+'[2]$ зима'!q280+'[2]$ зима'!w280+'[2]$ зима'!ac280+'[2]$ зима'!ai280+'[2]$ зима'!ao280+'[2]$ зима'!k280</f>
        <v>6</v>
      </c>
      <c r="I280" s="191" t="n">
        <f aca="false">'[2]$ зима'!ay280*1.1</f>
        <v>1416.8</v>
      </c>
      <c r="J280" s="171" t="n">
        <v>2016</v>
      </c>
    </row>
    <row r="281" customFormat="false" ht="15" hidden="false" customHeight="false" outlineLevel="0" collapsed="false">
      <c r="A281" s="197" t="s">
        <v>146</v>
      </c>
      <c r="B281" s="149" t="s">
        <v>574</v>
      </c>
      <c r="C281" s="148" t="s">
        <v>3128</v>
      </c>
      <c r="D281" s="148"/>
      <c r="E281" s="192"/>
      <c r="F281" s="192"/>
      <c r="G281" s="193" t="s">
        <v>576</v>
      </c>
      <c r="H281" s="105" t="n">
        <f aca="false">'[2]$ зима'!j281-'[2]$ зима'!au281-'[2]$ зима'!at281-'[2]$ зима'!as281-'[2]$ зима'!ar281-'[2]$ зима'!aq281-'[2]$ зима'!ap281-'[2]$ зима'!an281-'[2]$ зима'!am281-'[2]$ зима'!al281-'[2]$ зима'!ak281-'[2]$ зима'!aj281-'[2]$ зима'!ah281-'[2]$ зима'!ag281-'[2]$ зима'!af281-'[2]$ зима'!ae281-'[2]$ зима'!ad281-'[2]$ зима'!ab281-'[2]$ зима'!aa281-'[2]$ зима'!z281-'[2]$ зима'!y281-'[2]$ зима'!x281-'[2]$ зима'!v281-'[2]$ зима'!u281-'[2]$ зима'!t281-'[2]$ зима'!s281-'[2]$ зима'!r281-'[2]$ зима'!p281-'[2]$ зима'!o281-'[2]$ зима'!n281-'[2]$ зима'!m281-'[2]$ зима'!l281+'[2]$ зима'!q281+'[2]$ зима'!w281+'[2]$ зима'!ac281+'[2]$ зима'!ai281+'[2]$ зима'!ao281+'[2]$ зима'!k281</f>
        <v>2</v>
      </c>
      <c r="I281" s="191" t="n">
        <f aca="false">'[2]$ зима'!ay281*1.1</f>
        <v>1343.32</v>
      </c>
      <c r="J281" s="171" t="n">
        <v>2013</v>
      </c>
    </row>
    <row r="282" customFormat="false" ht="15" hidden="false" customHeight="false" outlineLevel="0" collapsed="false">
      <c r="A282" s="210" t="s">
        <v>146</v>
      </c>
      <c r="B282" s="149" t="s">
        <v>1471</v>
      </c>
      <c r="C282" s="148" t="s">
        <v>3202</v>
      </c>
      <c r="D282" s="148"/>
      <c r="E282" s="192"/>
      <c r="F282" s="192"/>
      <c r="G282" s="193"/>
      <c r="H282" s="105" t="n">
        <f aca="false">'[2]$ зима'!j282-'[2]$ зима'!au282-'[2]$ зима'!at282-'[2]$ зима'!as282-'[2]$ зима'!ar282-'[2]$ зима'!aq282-'[2]$ зима'!ap282-'[2]$ зима'!an282-'[2]$ зима'!am282-'[2]$ зима'!al282-'[2]$ зима'!ak282-'[2]$ зима'!aj282-'[2]$ зима'!ah282-'[2]$ зима'!ag282-'[2]$ зима'!af282-'[2]$ зима'!ae282-'[2]$ зима'!ad282-'[2]$ зима'!ab282-'[2]$ зима'!aa282-'[2]$ зима'!z282-'[2]$ зима'!y282-'[2]$ зима'!x282-'[2]$ зима'!v282-'[2]$ зима'!u282-'[2]$ зима'!t282-'[2]$ зима'!s282-'[2]$ зима'!r282-'[2]$ зима'!p282-'[2]$ зима'!o282-'[2]$ зима'!n282-'[2]$ зима'!m282-'[2]$ зима'!l282+'[2]$ зима'!q282+'[2]$ зима'!w282+'[2]$ зима'!ac282+'[2]$ зима'!ai282+'[2]$ зима'!ao282+'[2]$ зима'!k282</f>
        <v>6</v>
      </c>
      <c r="I282" s="191" t="n">
        <f aca="false">'[2]$ зима'!ay282*1.1</f>
        <v>1386</v>
      </c>
      <c r="J282" s="171" t="n">
        <v>2012</v>
      </c>
    </row>
    <row r="283" customFormat="false" ht="15" hidden="true" customHeight="false" outlineLevel="0" collapsed="false">
      <c r="A283" s="210" t="s">
        <v>146</v>
      </c>
      <c r="B283" s="149" t="s">
        <v>583</v>
      </c>
      <c r="C283" s="148" t="s">
        <v>3282</v>
      </c>
      <c r="D283" s="148"/>
      <c r="E283" s="148"/>
      <c r="F283" s="148"/>
      <c r="G283" s="193"/>
      <c r="H283" s="105" t="n">
        <f aca="false">'[2]$ зима'!j283-'[2]$ зима'!au283-'[2]$ зима'!at283-'[2]$ зима'!as283-'[2]$ зима'!ar283-'[2]$ зима'!aq283-'[2]$ зима'!ap283-'[2]$ зима'!an283-'[2]$ зима'!am283-'[2]$ зима'!al283-'[2]$ зима'!ak283-'[2]$ зима'!aj283-'[2]$ зима'!ah283-'[2]$ зима'!ag283-'[2]$ зима'!af283-'[2]$ зима'!ae283-'[2]$ зима'!ad283-'[2]$ зима'!ab283-'[2]$ зима'!aa283-'[2]$ зима'!z283-'[2]$ зима'!y283-'[2]$ зима'!x283-'[2]$ зима'!v283-'[2]$ зима'!u283-'[2]$ зима'!t283-'[2]$ зима'!s283-'[2]$ зима'!r283-'[2]$ зима'!p283-'[2]$ зима'!o283-'[2]$ зима'!n283-'[2]$ зима'!m283-'[2]$ зима'!l283+'[2]$ зима'!q283+'[2]$ зима'!w283+'[2]$ зима'!ac283+'[2]$ зима'!ai283+'[2]$ зима'!ao283+'[2]$ зима'!k283</f>
        <v>0</v>
      </c>
      <c r="I283" s="191" t="n">
        <f aca="false">'[2]$ зима'!ay283*1.1</f>
        <v>1632.4</v>
      </c>
    </row>
    <row r="284" customFormat="false" ht="15" hidden="false" customHeight="false" outlineLevel="0" collapsed="false">
      <c r="A284" s="197" t="s">
        <v>147</v>
      </c>
      <c r="B284" s="198" t="s">
        <v>991</v>
      </c>
      <c r="C284" s="148" t="s">
        <v>3283</v>
      </c>
      <c r="D284" s="148" t="s">
        <v>3127</v>
      </c>
      <c r="E284" s="195"/>
      <c r="F284" s="195"/>
      <c r="G284" s="200"/>
      <c r="H284" s="105" t="n">
        <f aca="false">'[2]$ зима'!j284-'[2]$ зима'!au284-'[2]$ зима'!at284-'[2]$ зима'!as284-'[2]$ зима'!ar284-'[2]$ зима'!aq284-'[2]$ зима'!ap284-'[2]$ зима'!an284-'[2]$ зима'!am284-'[2]$ зима'!al284-'[2]$ зима'!ak284-'[2]$ зима'!aj284-'[2]$ зима'!ah284-'[2]$ зима'!ag284-'[2]$ зима'!af284-'[2]$ зима'!ae284-'[2]$ зима'!ad284-'[2]$ зима'!ab284-'[2]$ зима'!aa284-'[2]$ зима'!z284-'[2]$ зима'!y284-'[2]$ зима'!x284-'[2]$ зима'!v284-'[2]$ зима'!u284-'[2]$ зима'!t284-'[2]$ зима'!s284-'[2]$ зима'!r284-'[2]$ зима'!p284-'[2]$ зима'!o284-'[2]$ зима'!n284-'[2]$ зима'!m284-'[2]$ зима'!l284+'[2]$ зима'!q284+'[2]$ зима'!w284+'[2]$ зима'!ac284+'[2]$ зима'!ai284+'[2]$ зима'!ao284+'[2]$ зима'!k284</f>
        <v>2</v>
      </c>
      <c r="I284" s="191" t="n">
        <f aca="false">'[2]$ зима'!ay284*1.1</f>
        <v>1078</v>
      </c>
      <c r="J284" s="201" t="n">
        <v>2014</v>
      </c>
    </row>
    <row r="285" customFormat="false" ht="15" hidden="true" customHeight="false" outlineLevel="0" collapsed="false">
      <c r="A285" s="196" t="s">
        <v>147</v>
      </c>
      <c r="B285" s="198" t="s">
        <v>568</v>
      </c>
      <c r="C285" s="148" t="s">
        <v>3121</v>
      </c>
      <c r="D285" s="148"/>
      <c r="E285" s="148"/>
      <c r="F285" s="148"/>
      <c r="G285" s="200"/>
      <c r="H285" s="105" t="n">
        <f aca="false">'[2]$ зима'!j285-'[2]$ зима'!au285-'[2]$ зима'!at285-'[2]$ зима'!as285-'[2]$ зима'!ar285-'[2]$ зима'!aq285-'[2]$ зима'!ap285-'[2]$ зима'!an285-'[2]$ зима'!am285-'[2]$ зима'!al285-'[2]$ зима'!ak285-'[2]$ зима'!aj285-'[2]$ зима'!ah285-'[2]$ зима'!ag285-'[2]$ зима'!af285-'[2]$ зима'!ae285-'[2]$ зима'!ad285-'[2]$ зима'!ab285-'[2]$ зима'!aa285-'[2]$ зима'!z285-'[2]$ зима'!y285-'[2]$ зима'!x285-'[2]$ зима'!v285-'[2]$ зима'!u285-'[2]$ зима'!t285-'[2]$ зима'!s285-'[2]$ зима'!r285-'[2]$ зима'!p285-'[2]$ зима'!o285-'[2]$ зима'!n285-'[2]$ зима'!m285-'[2]$ зима'!l285+'[2]$ зима'!q285+'[2]$ зима'!w285+'[2]$ зима'!ac285+'[2]$ зима'!ai285+'[2]$ зима'!ao285+'[2]$ зима'!k285</f>
        <v>0</v>
      </c>
      <c r="I285" s="191" t="n">
        <f aca="false">'[2]$ зима'!ay285*1.1</f>
        <v>1201.2</v>
      </c>
      <c r="J285" s="201"/>
    </row>
    <row r="286" customFormat="false" ht="15" hidden="false" customHeight="false" outlineLevel="0" collapsed="false">
      <c r="A286" s="196" t="s">
        <v>147</v>
      </c>
      <c r="B286" s="198" t="s">
        <v>601</v>
      </c>
      <c r="C286" s="148" t="s">
        <v>3151</v>
      </c>
      <c r="D286" s="214"/>
      <c r="E286" s="215"/>
      <c r="F286" s="215"/>
      <c r="G286" s="216"/>
      <c r="H286" s="105" t="n">
        <f aca="false">'[2]$ зима'!j286-'[2]$ зима'!au286-'[2]$ зима'!at286-'[2]$ зима'!as286-'[2]$ зима'!ar286-'[2]$ зима'!aq286-'[2]$ зима'!ap286-'[2]$ зима'!an286-'[2]$ зима'!am286-'[2]$ зима'!al286-'[2]$ зима'!ak286-'[2]$ зима'!aj286-'[2]$ зима'!ah286-'[2]$ зима'!ag286-'[2]$ зима'!af286-'[2]$ зима'!ae286-'[2]$ зима'!ad286-'[2]$ зима'!ab286-'[2]$ зима'!aa286-'[2]$ зима'!z286-'[2]$ зима'!y286-'[2]$ зима'!x286-'[2]$ зима'!v286-'[2]$ зима'!u286-'[2]$ зима'!t286-'[2]$ зима'!s286-'[2]$ зима'!r286-'[2]$ зима'!p286-'[2]$ зима'!o286-'[2]$ зима'!n286-'[2]$ зима'!m286-'[2]$ зима'!l286+'[2]$ зима'!q286+'[2]$ зима'!w286+'[2]$ зима'!ac286+'[2]$ зима'!ai286+'[2]$ зима'!ao286+'[2]$ зима'!k286</f>
        <v>2</v>
      </c>
      <c r="I286" s="191" t="n">
        <f aca="false">'[2]$ зима'!ay286*1.1</f>
        <v>1262.8</v>
      </c>
      <c r="J286" s="201" t="n">
        <v>2016</v>
      </c>
    </row>
    <row r="287" customFormat="false" ht="15" hidden="false" customHeight="false" outlineLevel="0" collapsed="false">
      <c r="A287" s="196" t="s">
        <v>147</v>
      </c>
      <c r="B287" s="198" t="s">
        <v>601</v>
      </c>
      <c r="C287" s="148" t="s">
        <v>3150</v>
      </c>
      <c r="D287" s="214"/>
      <c r="E287" s="215"/>
      <c r="F287" s="215"/>
      <c r="G287" s="216"/>
      <c r="H287" s="105" t="n">
        <f aca="false">'[2]$ зима'!j287-'[2]$ зима'!au287-'[2]$ зима'!at287-'[2]$ зима'!as287-'[2]$ зима'!ar287-'[2]$ зима'!aq287-'[2]$ зима'!ap287-'[2]$ зима'!an287-'[2]$ зима'!am287-'[2]$ зима'!al287-'[2]$ зима'!ak287-'[2]$ зима'!aj287-'[2]$ зима'!ah287-'[2]$ зима'!ag287-'[2]$ зима'!af287-'[2]$ зима'!ae287-'[2]$ зима'!ad287-'[2]$ зима'!ab287-'[2]$ зима'!aa287-'[2]$ зима'!z287-'[2]$ зима'!y287-'[2]$ зима'!x287-'[2]$ зима'!v287-'[2]$ зима'!u287-'[2]$ зима'!t287-'[2]$ зима'!s287-'[2]$ зима'!r287-'[2]$ зима'!p287-'[2]$ зима'!o287-'[2]$ зима'!n287-'[2]$ зима'!m287-'[2]$ зима'!l287+'[2]$ зима'!q287+'[2]$ зима'!w287+'[2]$ зима'!ac287+'[2]$ зима'!ai287+'[2]$ зима'!ao287+'[2]$ зима'!k287</f>
        <v>2</v>
      </c>
      <c r="I287" s="191" t="n">
        <f aca="false">'[2]$ зима'!ay287*1.1</f>
        <v>1786.4</v>
      </c>
      <c r="J287" s="201" t="n">
        <v>2016</v>
      </c>
    </row>
    <row r="288" customFormat="false" ht="15" hidden="true" customHeight="false" outlineLevel="0" collapsed="false">
      <c r="A288" s="196" t="s">
        <v>147</v>
      </c>
      <c r="B288" s="198" t="s">
        <v>3184</v>
      </c>
      <c r="C288" s="148" t="s">
        <v>3185</v>
      </c>
      <c r="D288" s="214"/>
      <c r="E288" s="214"/>
      <c r="F288" s="214"/>
      <c r="G288" s="216"/>
      <c r="H288" s="105" t="n">
        <f aca="false">'[2]$ зима'!j288-'[2]$ зима'!au288-'[2]$ зима'!at288-'[2]$ зима'!as288-'[2]$ зима'!ar288-'[2]$ зима'!aq288-'[2]$ зима'!ap288-'[2]$ зима'!an288-'[2]$ зима'!am288-'[2]$ зима'!al288-'[2]$ зима'!ak288-'[2]$ зима'!aj288-'[2]$ зима'!ah288-'[2]$ зима'!ag288-'[2]$ зима'!af288-'[2]$ зима'!ae288-'[2]$ зима'!ad288-'[2]$ зима'!ab288-'[2]$ зима'!aa288-'[2]$ зима'!z288-'[2]$ зима'!y288-'[2]$ зима'!x288-'[2]$ зима'!v288-'[2]$ зима'!u288-'[2]$ зима'!t288-'[2]$ зима'!s288-'[2]$ зима'!r288-'[2]$ зима'!p288-'[2]$ зима'!o288-'[2]$ зима'!n288-'[2]$ зима'!m288-'[2]$ зима'!l288+'[2]$ зима'!q288+'[2]$ зима'!w288+'[2]$ зима'!ac288+'[2]$ зима'!ai288+'[2]$ зима'!ao288+'[2]$ зима'!k288</f>
        <v>0</v>
      </c>
      <c r="I288" s="191" t="n">
        <f aca="false">'[2]$ зима'!ay288*1.1</f>
        <v>831.6</v>
      </c>
      <c r="J288" s="201"/>
    </row>
    <row r="289" customFormat="false" ht="15" hidden="false" customHeight="false" outlineLevel="0" collapsed="false">
      <c r="A289" s="196" t="s">
        <v>147</v>
      </c>
      <c r="B289" s="149" t="s">
        <v>604</v>
      </c>
      <c r="C289" s="148" t="s">
        <v>3152</v>
      </c>
      <c r="D289" s="214"/>
      <c r="E289" s="215"/>
      <c r="F289" s="215"/>
      <c r="G289" s="190" t="s">
        <v>576</v>
      </c>
      <c r="H289" s="105" t="n">
        <f aca="false">'[2]$ зима'!j289-'[2]$ зима'!au289-'[2]$ зима'!at289-'[2]$ зима'!as289-'[2]$ зима'!ar289-'[2]$ зима'!aq289-'[2]$ зима'!ap289-'[2]$ зима'!an289-'[2]$ зима'!am289-'[2]$ зима'!al289-'[2]$ зима'!ak289-'[2]$ зима'!aj289-'[2]$ зима'!ah289-'[2]$ зима'!ag289-'[2]$ зима'!af289-'[2]$ зима'!ae289-'[2]$ зима'!ad289-'[2]$ зима'!ab289-'[2]$ зима'!aa289-'[2]$ зима'!z289-'[2]$ зима'!y289-'[2]$ зима'!x289-'[2]$ зима'!v289-'[2]$ зима'!u289-'[2]$ зима'!t289-'[2]$ зима'!s289-'[2]$ зима'!r289-'[2]$ зима'!p289-'[2]$ зима'!o289-'[2]$ зима'!n289-'[2]$ зима'!m289-'[2]$ зима'!l289+'[2]$ зима'!q289+'[2]$ зима'!w289+'[2]$ зима'!ac289+'[2]$ зима'!ai289+'[2]$ зима'!ao289+'[2]$ зима'!k289</f>
        <v>4</v>
      </c>
      <c r="I289" s="191" t="n">
        <f aca="false">'[2]$ зима'!ay289*1.1</f>
        <v>1293.6</v>
      </c>
      <c r="J289" s="171" t="n">
        <v>2014</v>
      </c>
    </row>
    <row r="290" customFormat="false" ht="15" hidden="true" customHeight="false" outlineLevel="0" collapsed="false">
      <c r="A290" s="196" t="s">
        <v>147</v>
      </c>
      <c r="B290" s="149" t="s">
        <v>606</v>
      </c>
      <c r="C290" s="148" t="s">
        <v>3284</v>
      </c>
      <c r="D290" s="214"/>
      <c r="E290" s="214"/>
      <c r="F290" s="214"/>
      <c r="G290" s="190"/>
      <c r="H290" s="105" t="n">
        <f aca="false">'[2]$ зима'!j290-'[2]$ зима'!au290-'[2]$ зима'!at290-'[2]$ зима'!as290-'[2]$ зима'!ar290-'[2]$ зима'!aq290-'[2]$ зима'!ap290-'[2]$ зима'!an290-'[2]$ зима'!am290-'[2]$ зима'!al290-'[2]$ зима'!ak290-'[2]$ зима'!aj290-'[2]$ зима'!ah290-'[2]$ зима'!ag290-'[2]$ зима'!af290-'[2]$ зима'!ae290-'[2]$ зима'!ad290-'[2]$ зима'!ab290-'[2]$ зима'!aa290-'[2]$ зима'!z290-'[2]$ зима'!y290-'[2]$ зима'!x290-'[2]$ зима'!v290-'[2]$ зима'!u290-'[2]$ зима'!t290-'[2]$ зима'!s290-'[2]$ зима'!r290-'[2]$ зима'!p290-'[2]$ зима'!o290-'[2]$ зима'!n290-'[2]$ зима'!m290-'[2]$ зима'!l290+'[2]$ зима'!q290+'[2]$ зима'!w290+'[2]$ зима'!ac290+'[2]$ зима'!ai290+'[2]$ зима'!ao290+'[2]$ зима'!k290</f>
        <v>0</v>
      </c>
      <c r="I290" s="191" t="n">
        <f aca="false">'[2]$ зима'!ay290*1.1</f>
        <v>1386</v>
      </c>
      <c r="J290" s="171" t="n">
        <v>2017</v>
      </c>
    </row>
    <row r="291" customFormat="false" ht="15" hidden="false" customHeight="false" outlineLevel="0" collapsed="false">
      <c r="A291" s="196" t="s">
        <v>147</v>
      </c>
      <c r="B291" s="149" t="s">
        <v>606</v>
      </c>
      <c r="C291" s="148" t="s">
        <v>3231</v>
      </c>
      <c r="D291" s="214"/>
      <c r="E291" s="215" t="n">
        <v>88</v>
      </c>
      <c r="F291" s="215" t="s">
        <v>3216</v>
      </c>
      <c r="G291" s="190" t="s">
        <v>609</v>
      </c>
      <c r="H291" s="105" t="n">
        <f aca="false">'[2]$ зима'!j291-'[2]$ зима'!au291-'[2]$ зима'!at291-'[2]$ зима'!as291-'[2]$ зима'!ar291-'[2]$ зима'!aq291-'[2]$ зима'!ap291-'[2]$ зима'!an291-'[2]$ зима'!am291-'[2]$ зима'!al291-'[2]$ зима'!ak291-'[2]$ зима'!aj291-'[2]$ зима'!ah291-'[2]$ зима'!ag291-'[2]$ зима'!af291-'[2]$ зима'!ae291-'[2]$ зима'!ad291-'[2]$ зима'!ab291-'[2]$ зима'!aa291-'[2]$ зима'!z291-'[2]$ зима'!y291-'[2]$ зима'!x291-'[2]$ зима'!v291-'[2]$ зима'!u291-'[2]$ зима'!t291-'[2]$ зима'!s291-'[2]$ зима'!r291-'[2]$ зима'!p291-'[2]$ зима'!o291-'[2]$ зима'!n291-'[2]$ зима'!m291-'[2]$ зима'!l291+'[2]$ зима'!q291+'[2]$ зима'!w291+'[2]$ зима'!ac291+'[2]$ зима'!ai291+'[2]$ зима'!ao291+'[2]$ зима'!k291</f>
        <v>16</v>
      </c>
      <c r="I291" s="191" t="n">
        <f aca="false">'[2]$ зима'!ay291*1.1</f>
        <v>1355.2</v>
      </c>
      <c r="J291" s="171" t="n">
        <v>2018</v>
      </c>
    </row>
    <row r="292" customFormat="false" ht="15" hidden="false" customHeight="false" outlineLevel="0" collapsed="false">
      <c r="A292" s="196" t="s">
        <v>147</v>
      </c>
      <c r="B292" s="149" t="s">
        <v>572</v>
      </c>
      <c r="C292" s="148" t="s">
        <v>3285</v>
      </c>
      <c r="D292" s="148" t="s">
        <v>3127</v>
      </c>
      <c r="E292" s="215" t="n">
        <v>88</v>
      </c>
      <c r="F292" s="215" t="s">
        <v>3216</v>
      </c>
      <c r="G292" s="190"/>
      <c r="H292" s="105" t="n">
        <f aca="false">'[2]$ зима'!j292-'[2]$ зима'!au292-'[2]$ зима'!at292-'[2]$ зима'!as292-'[2]$ зима'!ar292-'[2]$ зима'!aq292-'[2]$ зима'!ap292-'[2]$ зима'!an292-'[2]$ зима'!am292-'[2]$ зима'!al292-'[2]$ зима'!ak292-'[2]$ зима'!aj292-'[2]$ зима'!ah292-'[2]$ зима'!ag292-'[2]$ зима'!af292-'[2]$ зима'!ae292-'[2]$ зима'!ad292-'[2]$ зима'!ab292-'[2]$ зима'!aa292-'[2]$ зима'!z292-'[2]$ зима'!y292-'[2]$ зима'!x292-'[2]$ зима'!v292-'[2]$ зима'!u292-'[2]$ зима'!t292-'[2]$ зима'!s292-'[2]$ зима'!r292-'[2]$ зима'!p292-'[2]$ зима'!o292-'[2]$ зима'!n292-'[2]$ зима'!m292-'[2]$ зима'!l292+'[2]$ зима'!q292+'[2]$ зима'!w292+'[2]$ зима'!ac292+'[2]$ зима'!ai292+'[2]$ зима'!ao292+'[2]$ зима'!k292</f>
        <v>8</v>
      </c>
      <c r="I292" s="191" t="n">
        <f aca="false">'[2]$ зима'!ay292*1.1</f>
        <v>1078</v>
      </c>
    </row>
    <row r="293" customFormat="false" ht="15" hidden="false" customHeight="false" outlineLevel="0" collapsed="false">
      <c r="A293" s="196" t="s">
        <v>147</v>
      </c>
      <c r="B293" s="149" t="s">
        <v>574</v>
      </c>
      <c r="C293" s="148" t="s">
        <v>3200</v>
      </c>
      <c r="D293" s="148"/>
      <c r="E293" s="192"/>
      <c r="F293" s="192"/>
      <c r="G293" s="193" t="s">
        <v>576</v>
      </c>
      <c r="H293" s="105" t="n">
        <f aca="false">'[2]$ зима'!j293-'[2]$ зима'!au293-'[2]$ зима'!at293-'[2]$ зима'!as293-'[2]$ зима'!ar293-'[2]$ зима'!aq293-'[2]$ зима'!ap293-'[2]$ зима'!an293-'[2]$ зима'!am293-'[2]$ зима'!al293-'[2]$ зима'!ak293-'[2]$ зима'!aj293-'[2]$ зима'!ah293-'[2]$ зима'!ag293-'[2]$ зима'!af293-'[2]$ зима'!ae293-'[2]$ зима'!ad293-'[2]$ зима'!ab293-'[2]$ зима'!aa293-'[2]$ зима'!z293-'[2]$ зима'!y293-'[2]$ зима'!x293-'[2]$ зима'!v293-'[2]$ зима'!u293-'[2]$ зима'!t293-'[2]$ зима'!s293-'[2]$ зима'!r293-'[2]$ зима'!p293-'[2]$ зима'!o293-'[2]$ зима'!n293-'[2]$ зима'!m293-'[2]$ зима'!l293+'[2]$ зима'!q293+'[2]$ зима'!w293+'[2]$ зима'!ac293+'[2]$ зима'!ai293+'[2]$ зима'!ao293+'[2]$ зима'!k293</f>
        <v>4</v>
      </c>
      <c r="I293" s="191" t="n">
        <f aca="false">'[2]$ зима'!ay293*1.1</f>
        <v>1374.56</v>
      </c>
      <c r="J293" s="171" t="n">
        <v>2015</v>
      </c>
    </row>
    <row r="294" customFormat="false" ht="15" hidden="true" customHeight="false" outlineLevel="0" collapsed="false">
      <c r="A294" s="196" t="s">
        <v>147</v>
      </c>
      <c r="B294" s="149" t="s">
        <v>668</v>
      </c>
      <c r="C294" s="194" t="s">
        <v>3182</v>
      </c>
      <c r="D294" s="214"/>
      <c r="E294" s="214"/>
      <c r="F294" s="214"/>
      <c r="G294" s="190"/>
      <c r="H294" s="105" t="n">
        <f aca="false">'[2]$ зима'!j294-'[2]$ зима'!au294-'[2]$ зима'!at294-'[2]$ зима'!as294-'[2]$ зима'!ar294-'[2]$ зима'!aq294-'[2]$ зима'!ap294-'[2]$ зима'!an294-'[2]$ зима'!am294-'[2]$ зима'!al294-'[2]$ зима'!ak294-'[2]$ зима'!aj294-'[2]$ зима'!ah294-'[2]$ зима'!ag294-'[2]$ зима'!af294-'[2]$ зима'!ae294-'[2]$ зима'!ad294-'[2]$ зима'!ab294-'[2]$ зима'!aa294-'[2]$ зима'!z294-'[2]$ зима'!y294-'[2]$ зима'!x294-'[2]$ зима'!v294-'[2]$ зима'!u294-'[2]$ зима'!t294-'[2]$ зима'!s294-'[2]$ зима'!r294-'[2]$ зима'!p294-'[2]$ зима'!o294-'[2]$ зима'!n294-'[2]$ зима'!m294-'[2]$ зима'!l294+'[2]$ зима'!q294+'[2]$ зима'!w294+'[2]$ зима'!ac294+'[2]$ зима'!ai294+'[2]$ зима'!ao294+'[2]$ зима'!k294</f>
        <v>0</v>
      </c>
      <c r="I294" s="191" t="n">
        <f aca="false">'[2]$ зима'!ay294*1.1</f>
        <v>1386</v>
      </c>
      <c r="J294" s="171" t="n">
        <v>2017</v>
      </c>
    </row>
    <row r="295" customFormat="false" ht="15" hidden="false" customHeight="false" outlineLevel="0" collapsed="false">
      <c r="A295" s="196" t="s">
        <v>147</v>
      </c>
      <c r="B295" s="149" t="s">
        <v>577</v>
      </c>
      <c r="C295" s="148" t="s">
        <v>3234</v>
      </c>
      <c r="D295" s="148"/>
      <c r="E295" s="192"/>
      <c r="F295" s="192" t="s">
        <v>3286</v>
      </c>
      <c r="G295" s="193" t="s">
        <v>563</v>
      </c>
      <c r="H295" s="105" t="n">
        <f aca="false">'[2]$ зима'!j295-'[2]$ зима'!au295-'[2]$ зима'!at295-'[2]$ зима'!as295-'[2]$ зима'!ar295-'[2]$ зима'!aq295-'[2]$ зима'!ap295-'[2]$ зима'!an295-'[2]$ зима'!am295-'[2]$ зима'!al295-'[2]$ зима'!ak295-'[2]$ зима'!aj295-'[2]$ зима'!ah295-'[2]$ зима'!ag295-'[2]$ зима'!af295-'[2]$ зима'!ae295-'[2]$ зима'!ad295-'[2]$ зима'!ab295-'[2]$ зима'!aa295-'[2]$ зима'!z295-'[2]$ зима'!y295-'[2]$ зима'!x295-'[2]$ зима'!v295-'[2]$ зима'!u295-'[2]$ зима'!t295-'[2]$ зима'!s295-'[2]$ зима'!r295-'[2]$ зима'!p295-'[2]$ зима'!o295-'[2]$ зима'!n295-'[2]$ зима'!m295-'[2]$ зима'!l295+'[2]$ зима'!q295+'[2]$ зима'!w295+'[2]$ зима'!ac295+'[2]$ зима'!ai295+'[2]$ зима'!ao295+'[2]$ зима'!k295</f>
        <v>4</v>
      </c>
      <c r="I295" s="191" t="n">
        <f aca="false">'[2]$ зима'!ay295*1.1</f>
        <v>1170.4</v>
      </c>
    </row>
    <row r="296" customFormat="false" ht="15" hidden="false" customHeight="false" outlineLevel="0" collapsed="false">
      <c r="A296" s="196" t="s">
        <v>147</v>
      </c>
      <c r="B296" s="149" t="s">
        <v>579</v>
      </c>
      <c r="C296" s="148" t="s">
        <v>3287</v>
      </c>
      <c r="D296" s="214"/>
      <c r="E296" s="214" t="n">
        <v>88</v>
      </c>
      <c r="F296" s="215" t="s">
        <v>634</v>
      </c>
      <c r="G296" s="190"/>
      <c r="H296" s="105" t="n">
        <f aca="false">'[2]$ зима'!j296-'[2]$ зима'!au296-'[2]$ зима'!at296-'[2]$ зима'!as296-'[2]$ зима'!ar296-'[2]$ зима'!aq296-'[2]$ зима'!ap296-'[2]$ зима'!an296-'[2]$ зима'!am296-'[2]$ зима'!al296-'[2]$ зима'!ak296-'[2]$ зима'!aj296-'[2]$ зима'!ah296-'[2]$ зима'!ag296-'[2]$ зима'!af296-'[2]$ зима'!ae296-'[2]$ зима'!ad296-'[2]$ зима'!ab296-'[2]$ зима'!aa296-'[2]$ зима'!z296-'[2]$ зима'!y296-'[2]$ зима'!x296-'[2]$ зима'!v296-'[2]$ зима'!u296-'[2]$ зима'!t296-'[2]$ зима'!s296-'[2]$ зима'!r296-'[2]$ зима'!p296-'[2]$ зима'!o296-'[2]$ зима'!n296-'[2]$ зима'!m296-'[2]$ зима'!l296+'[2]$ зима'!q296+'[2]$ зима'!w296+'[2]$ зима'!ac296+'[2]$ зима'!ai296+'[2]$ зима'!ao296+'[2]$ зима'!k296</f>
        <v>4</v>
      </c>
      <c r="I296" s="191" t="n">
        <f aca="false">'[2]$ зима'!ay296*1.1</f>
        <v>1017.5</v>
      </c>
      <c r="J296" s="171" t="n">
        <v>2017</v>
      </c>
    </row>
    <row r="297" customFormat="false" ht="15" hidden="false" customHeight="false" outlineLevel="0" collapsed="false">
      <c r="A297" s="196" t="s">
        <v>147</v>
      </c>
      <c r="B297" s="149" t="s">
        <v>593</v>
      </c>
      <c r="C297" s="148" t="s">
        <v>3288</v>
      </c>
      <c r="D297" s="214" t="s">
        <v>3147</v>
      </c>
      <c r="E297" s="215"/>
      <c r="F297" s="215"/>
      <c r="G297" s="190"/>
      <c r="H297" s="105" t="n">
        <f aca="false">'[2]$ зима'!j297-'[2]$ зима'!au297-'[2]$ зима'!at297-'[2]$ зима'!as297-'[2]$ зима'!ar297-'[2]$ зима'!aq297-'[2]$ зима'!ap297-'[2]$ зима'!an297-'[2]$ зима'!am297-'[2]$ зима'!al297-'[2]$ зима'!ak297-'[2]$ зима'!aj297-'[2]$ зима'!ah297-'[2]$ зима'!ag297-'[2]$ зима'!af297-'[2]$ зима'!ae297-'[2]$ зима'!ad297-'[2]$ зима'!ab297-'[2]$ зима'!aa297-'[2]$ зима'!z297-'[2]$ зима'!y297-'[2]$ зима'!x297-'[2]$ зима'!v297-'[2]$ зима'!u297-'[2]$ зима'!t297-'[2]$ зима'!s297-'[2]$ зима'!r297-'[2]$ зима'!p297-'[2]$ зима'!o297-'[2]$ зима'!n297-'[2]$ зима'!m297-'[2]$ зима'!l297+'[2]$ зима'!q297+'[2]$ зима'!w297+'[2]$ зима'!ac297+'[2]$ зима'!ai297+'[2]$ зима'!ao297+'[2]$ зима'!k297</f>
        <v>4</v>
      </c>
      <c r="I297" s="191" t="n">
        <f aca="false">'[2]$ зима'!ay297*1.1</f>
        <v>1601.6</v>
      </c>
      <c r="J297" s="171" t="n">
        <v>2013</v>
      </c>
    </row>
    <row r="298" customFormat="false" ht="15" hidden="false" customHeight="false" outlineLevel="0" collapsed="false">
      <c r="A298" s="196" t="s">
        <v>147</v>
      </c>
      <c r="B298" s="149" t="s">
        <v>593</v>
      </c>
      <c r="C298" s="148" t="s">
        <v>3237</v>
      </c>
      <c r="D298" s="214"/>
      <c r="E298" s="215"/>
      <c r="F298" s="215"/>
      <c r="G298" s="190" t="s">
        <v>935</v>
      </c>
      <c r="H298" s="105" t="n">
        <f aca="false">'[2]$ зима'!j298-'[2]$ зима'!au298-'[2]$ зима'!at298-'[2]$ зима'!as298-'[2]$ зима'!ar298-'[2]$ зима'!aq298-'[2]$ зима'!ap298-'[2]$ зима'!an298-'[2]$ зима'!am298-'[2]$ зима'!al298-'[2]$ зима'!ak298-'[2]$ зима'!aj298-'[2]$ зима'!ah298-'[2]$ зима'!ag298-'[2]$ зима'!af298-'[2]$ зима'!ae298-'[2]$ зима'!ad298-'[2]$ зима'!ab298-'[2]$ зима'!aa298-'[2]$ зима'!z298-'[2]$ зима'!y298-'[2]$ зима'!x298-'[2]$ зима'!v298-'[2]$ зима'!u298-'[2]$ зима'!t298-'[2]$ зима'!s298-'[2]$ зима'!r298-'[2]$ зима'!p298-'[2]$ зима'!o298-'[2]$ зима'!n298-'[2]$ зима'!m298-'[2]$ зима'!l298+'[2]$ зима'!q298+'[2]$ зима'!w298+'[2]$ зима'!ac298+'[2]$ зима'!ai298+'[2]$ зима'!ao298+'[2]$ зима'!k298</f>
        <v>2</v>
      </c>
      <c r="I298" s="191" t="n">
        <f aca="false">'[2]$ зима'!ay298*1.1</f>
        <v>1324.4</v>
      </c>
      <c r="J298" s="171" t="n">
        <v>2010</v>
      </c>
    </row>
    <row r="299" customFormat="false" ht="15" hidden="true" customHeight="false" outlineLevel="0" collapsed="false">
      <c r="A299" s="196" t="s">
        <v>147</v>
      </c>
      <c r="B299" s="149" t="s">
        <v>593</v>
      </c>
      <c r="C299" s="148" t="s">
        <v>3289</v>
      </c>
      <c r="D299" s="214"/>
      <c r="E299" s="214"/>
      <c r="F299" s="214"/>
      <c r="G299" s="190" t="s">
        <v>3290</v>
      </c>
      <c r="H299" s="105" t="n">
        <f aca="false">'[2]$ зима'!j299-'[2]$ зима'!au299-'[2]$ зима'!at299-'[2]$ зима'!as299-'[2]$ зима'!ar299-'[2]$ зима'!aq299-'[2]$ зима'!ap299-'[2]$ зима'!an299-'[2]$ зима'!am299-'[2]$ зима'!al299-'[2]$ зима'!ak299-'[2]$ зима'!aj299-'[2]$ зима'!ah299-'[2]$ зима'!ag299-'[2]$ зима'!af299-'[2]$ зима'!ae299-'[2]$ зима'!ad299-'[2]$ зима'!ab299-'[2]$ зима'!aa299-'[2]$ зима'!z299-'[2]$ зима'!y299-'[2]$ зима'!x299-'[2]$ зима'!v299-'[2]$ зима'!u299-'[2]$ зима'!t299-'[2]$ зима'!s299-'[2]$ зима'!r299-'[2]$ зима'!p299-'[2]$ зима'!o299-'[2]$ зима'!n299-'[2]$ зима'!m299-'[2]$ зима'!l299+'[2]$ зима'!q299+'[2]$ зима'!w299+'[2]$ зима'!ac299+'[2]$ зима'!ai299+'[2]$ зима'!ao299+'[2]$ зима'!k299</f>
        <v>0</v>
      </c>
      <c r="I299" s="191" t="n">
        <f aca="false">'[2]$ зима'!ay299*1.1</f>
        <v>1540</v>
      </c>
    </row>
    <row r="300" customFormat="false" ht="15" hidden="true" customHeight="false" outlineLevel="0" collapsed="false">
      <c r="A300" s="196" t="s">
        <v>147</v>
      </c>
      <c r="B300" s="149" t="s">
        <v>1051</v>
      </c>
      <c r="C300" s="148" t="s">
        <v>3291</v>
      </c>
      <c r="D300" s="214"/>
      <c r="E300" s="214"/>
      <c r="F300" s="214"/>
      <c r="G300" s="190"/>
      <c r="H300" s="105" t="n">
        <f aca="false">'[2]$ зима'!j300-'[2]$ зима'!au300-'[2]$ зима'!at300-'[2]$ зима'!as300-'[2]$ зима'!ar300-'[2]$ зима'!aq300-'[2]$ зима'!ap300-'[2]$ зима'!an300-'[2]$ зима'!am300-'[2]$ зима'!al300-'[2]$ зима'!ak300-'[2]$ зима'!aj300-'[2]$ зима'!ah300-'[2]$ зима'!ag300-'[2]$ зима'!af300-'[2]$ зима'!ae300-'[2]$ зима'!ad300-'[2]$ зима'!ab300-'[2]$ зима'!aa300-'[2]$ зима'!z300-'[2]$ зима'!y300-'[2]$ зима'!x300-'[2]$ зима'!v300-'[2]$ зима'!u300-'[2]$ зима'!t300-'[2]$ зима'!s300-'[2]$ зима'!r300-'[2]$ зима'!p300-'[2]$ зима'!o300-'[2]$ зима'!n300-'[2]$ зима'!m300-'[2]$ зима'!l300+'[2]$ зима'!q300+'[2]$ зима'!w300+'[2]$ зима'!ac300+'[2]$ зима'!ai300+'[2]$ зима'!ao300+'[2]$ зима'!k300</f>
        <v>0</v>
      </c>
      <c r="I300" s="191" t="n">
        <f aca="false">'[2]$ зима'!ay300*1.1</f>
        <v>924</v>
      </c>
      <c r="J300" s="171" t="n">
        <v>2013</v>
      </c>
    </row>
    <row r="301" customFormat="false" ht="15" hidden="false" customHeight="false" outlineLevel="0" collapsed="false">
      <c r="A301" s="196" t="s">
        <v>147</v>
      </c>
      <c r="B301" s="149" t="s">
        <v>3142</v>
      </c>
      <c r="C301" s="148" t="s">
        <v>3169</v>
      </c>
      <c r="D301" s="148" t="s">
        <v>3127</v>
      </c>
      <c r="E301" s="215"/>
      <c r="F301" s="215"/>
      <c r="G301" s="190"/>
      <c r="H301" s="105" t="n">
        <f aca="false">'[2]$ зима'!j301-'[2]$ зима'!au301-'[2]$ зима'!at301-'[2]$ зима'!as301-'[2]$ зима'!ar301-'[2]$ зима'!aq301-'[2]$ зима'!ap301-'[2]$ зима'!an301-'[2]$ зима'!am301-'[2]$ зима'!al301-'[2]$ зима'!ak301-'[2]$ зима'!aj301-'[2]$ зима'!ah301-'[2]$ зима'!ag301-'[2]$ зима'!af301-'[2]$ зима'!ae301-'[2]$ зима'!ad301-'[2]$ зима'!ab301-'[2]$ зима'!aa301-'[2]$ зима'!z301-'[2]$ зима'!y301-'[2]$ зима'!x301-'[2]$ зима'!v301-'[2]$ зима'!u301-'[2]$ зима'!t301-'[2]$ зима'!s301-'[2]$ зима'!r301-'[2]$ зима'!p301-'[2]$ зима'!o301-'[2]$ зима'!n301-'[2]$ зима'!m301-'[2]$ зима'!l301+'[2]$ зима'!q301+'[2]$ зима'!w301+'[2]$ зима'!ac301+'[2]$ зима'!ai301+'[2]$ зима'!ao301+'[2]$ зима'!k301</f>
        <v>6</v>
      </c>
      <c r="I301" s="191" t="n">
        <f aca="false">'[2]$ зима'!ay301*1.1</f>
        <v>1232</v>
      </c>
      <c r="J301" s="171" t="n">
        <v>2014</v>
      </c>
    </row>
    <row r="302" customFormat="false" ht="15" hidden="true" customHeight="false" outlineLevel="0" collapsed="false">
      <c r="A302" s="196" t="s">
        <v>147</v>
      </c>
      <c r="B302" s="149" t="s">
        <v>617</v>
      </c>
      <c r="C302" s="148" t="s">
        <v>3292</v>
      </c>
      <c r="D302" s="214"/>
      <c r="E302" s="214"/>
      <c r="F302" s="214"/>
      <c r="G302" s="190"/>
      <c r="H302" s="105" t="n">
        <f aca="false">'[2]$ зима'!j302-'[2]$ зима'!au302-'[2]$ зима'!at302-'[2]$ зима'!as302-'[2]$ зима'!ar302-'[2]$ зима'!aq302-'[2]$ зима'!ap302-'[2]$ зима'!an302-'[2]$ зима'!am302-'[2]$ зима'!al302-'[2]$ зима'!ak302-'[2]$ зима'!aj302-'[2]$ зима'!ah302-'[2]$ зима'!ag302-'[2]$ зима'!af302-'[2]$ зима'!ae302-'[2]$ зима'!ad302-'[2]$ зима'!ab302-'[2]$ зима'!aa302-'[2]$ зима'!z302-'[2]$ зима'!y302-'[2]$ зима'!x302-'[2]$ зима'!v302-'[2]$ зима'!u302-'[2]$ зима'!t302-'[2]$ зима'!s302-'[2]$ зима'!r302-'[2]$ зима'!p302-'[2]$ зима'!o302-'[2]$ зима'!n302-'[2]$ зима'!m302-'[2]$ зима'!l302+'[2]$ зима'!q302+'[2]$ зима'!w302+'[2]$ зима'!ac302+'[2]$ зима'!ai302+'[2]$ зима'!ao302+'[2]$ зима'!k302</f>
        <v>0</v>
      </c>
      <c r="I302" s="191" t="n">
        <f aca="false">'[2]$ зима'!ay302*1.1</f>
        <v>924</v>
      </c>
      <c r="J302" s="171" t="n">
        <v>2013</v>
      </c>
    </row>
    <row r="303" customFormat="false" ht="15" hidden="false" customHeight="false" outlineLevel="0" collapsed="false">
      <c r="A303" s="196" t="s">
        <v>147</v>
      </c>
      <c r="B303" s="149" t="s">
        <v>621</v>
      </c>
      <c r="C303" s="148" t="s">
        <v>3293</v>
      </c>
      <c r="D303" s="148"/>
      <c r="E303" s="192" t="n">
        <v>84</v>
      </c>
      <c r="F303" s="192" t="s">
        <v>634</v>
      </c>
      <c r="G303" s="193" t="s">
        <v>520</v>
      </c>
      <c r="H303" s="105" t="n">
        <f aca="false">'[2]$ зима'!j303-'[2]$ зима'!au303-'[2]$ зима'!at303-'[2]$ зима'!as303-'[2]$ зима'!ar303-'[2]$ зима'!aq303-'[2]$ зима'!ap303-'[2]$ зима'!an303-'[2]$ зима'!am303-'[2]$ зима'!al303-'[2]$ зима'!ak303-'[2]$ зима'!aj303-'[2]$ зима'!ah303-'[2]$ зима'!ag303-'[2]$ зима'!af303-'[2]$ зима'!ae303-'[2]$ зима'!ad303-'[2]$ зима'!ab303-'[2]$ зима'!aa303-'[2]$ зима'!z303-'[2]$ зима'!y303-'[2]$ зима'!x303-'[2]$ зима'!v303-'[2]$ зима'!u303-'[2]$ зима'!t303-'[2]$ зима'!s303-'[2]$ зима'!r303-'[2]$ зима'!p303-'[2]$ зима'!o303-'[2]$ зима'!n303-'[2]$ зима'!m303-'[2]$ зима'!l303+'[2]$ зима'!q303+'[2]$ зима'!w303+'[2]$ зима'!ac303+'[2]$ зима'!ai303+'[2]$ зима'!ao303+'[2]$ зима'!k303</f>
        <v>12</v>
      </c>
      <c r="I303" s="191" t="n">
        <f aca="false">'[2]$ зима'!ay303*1.1</f>
        <v>1155</v>
      </c>
      <c r="J303" s="171" t="n">
        <v>2018</v>
      </c>
    </row>
    <row r="304" customFormat="false" ht="15" hidden="true" customHeight="false" outlineLevel="0" collapsed="false">
      <c r="A304" s="196" t="s">
        <v>147</v>
      </c>
      <c r="B304" s="149" t="s">
        <v>589</v>
      </c>
      <c r="C304" s="148" t="s">
        <v>3174</v>
      </c>
      <c r="D304" s="148"/>
      <c r="E304" s="148"/>
      <c r="F304" s="148"/>
      <c r="G304" s="193" t="s">
        <v>626</v>
      </c>
      <c r="H304" s="105" t="n">
        <f aca="false">'[2]$ зима'!j304-'[2]$ зима'!au304-'[2]$ зима'!at304-'[2]$ зима'!as304-'[2]$ зима'!ar304-'[2]$ зима'!aq304-'[2]$ зима'!ap304-'[2]$ зима'!an304-'[2]$ зима'!am304-'[2]$ зима'!al304-'[2]$ зима'!ak304-'[2]$ зима'!aj304-'[2]$ зима'!ah304-'[2]$ зима'!ag304-'[2]$ зима'!af304-'[2]$ зима'!ae304-'[2]$ зима'!ad304-'[2]$ зима'!ab304-'[2]$ зима'!aa304-'[2]$ зима'!z304-'[2]$ зима'!y304-'[2]$ зима'!x304-'[2]$ зима'!v304-'[2]$ зима'!u304-'[2]$ зима'!t304-'[2]$ зима'!s304-'[2]$ зима'!r304-'[2]$ зима'!p304-'[2]$ зима'!o304-'[2]$ зима'!n304-'[2]$ зима'!m304-'[2]$ зима'!l304+'[2]$ зима'!q304+'[2]$ зима'!w304+'[2]$ зима'!ac304+'[2]$ зима'!ai304+'[2]$ зима'!ao304+'[2]$ зима'!k304</f>
        <v>0</v>
      </c>
      <c r="I304" s="191" t="n">
        <f aca="false">'[2]$ зима'!ay304*1.1</f>
        <v>1463.11</v>
      </c>
      <c r="J304" s="171" t="n">
        <v>2017</v>
      </c>
    </row>
    <row r="305" customFormat="false" ht="15" hidden="true" customHeight="false" outlineLevel="0" collapsed="false">
      <c r="A305" s="196" t="s">
        <v>147</v>
      </c>
      <c r="B305" s="149" t="s">
        <v>589</v>
      </c>
      <c r="C305" s="148" t="s">
        <v>3294</v>
      </c>
      <c r="D305" s="148"/>
      <c r="E305" s="148"/>
      <c r="F305" s="148"/>
      <c r="G305" s="193" t="s">
        <v>626</v>
      </c>
      <c r="H305" s="105" t="n">
        <f aca="false">'[2]$ зима'!j305-'[2]$ зима'!au305-'[2]$ зима'!at305-'[2]$ зима'!as305-'[2]$ зима'!ar305-'[2]$ зима'!aq305-'[2]$ зима'!ap305-'[2]$ зима'!an305-'[2]$ зима'!am305-'[2]$ зима'!al305-'[2]$ зима'!ak305-'[2]$ зима'!aj305-'[2]$ зима'!ah305-'[2]$ зима'!ag305-'[2]$ зима'!af305-'[2]$ зима'!ae305-'[2]$ зима'!ad305-'[2]$ зима'!ab305-'[2]$ зима'!aa305-'[2]$ зима'!z305-'[2]$ зима'!y305-'[2]$ зима'!x305-'[2]$ зима'!v305-'[2]$ зима'!u305-'[2]$ зима'!t305-'[2]$ зима'!s305-'[2]$ зима'!r305-'[2]$ зима'!p305-'[2]$ зима'!o305-'[2]$ зима'!n305-'[2]$ зима'!m305-'[2]$ зима'!l305+'[2]$ зима'!q305+'[2]$ зима'!w305+'[2]$ зима'!ac305+'[2]$ зима'!ai305+'[2]$ зима'!ao305+'[2]$ зима'!k305</f>
        <v>0</v>
      </c>
      <c r="I305" s="191" t="n">
        <f aca="false">'[2]$ зима'!ay305*1.1</f>
        <v>1587.63</v>
      </c>
    </row>
    <row r="306" customFormat="false" ht="15" hidden="true" customHeight="false" outlineLevel="0" collapsed="false">
      <c r="A306" s="196" t="s">
        <v>147</v>
      </c>
      <c r="B306" s="149" t="s">
        <v>589</v>
      </c>
      <c r="C306" s="148" t="s">
        <v>3173</v>
      </c>
      <c r="D306" s="148"/>
      <c r="E306" s="148"/>
      <c r="F306" s="148"/>
      <c r="G306" s="193" t="s">
        <v>626</v>
      </c>
      <c r="H306" s="105" t="n">
        <f aca="false">'[2]$ зима'!j306-'[2]$ зима'!au306-'[2]$ зима'!at306-'[2]$ зима'!as306-'[2]$ зима'!ar306-'[2]$ зима'!aq306-'[2]$ зима'!ap306-'[2]$ зима'!an306-'[2]$ зима'!am306-'[2]$ зима'!al306-'[2]$ зима'!ak306-'[2]$ зима'!aj306-'[2]$ зима'!ah306-'[2]$ зима'!ag306-'[2]$ зима'!af306-'[2]$ зима'!ae306-'[2]$ зима'!ad306-'[2]$ зима'!ab306-'[2]$ зима'!aa306-'[2]$ зима'!z306-'[2]$ зима'!y306-'[2]$ зима'!x306-'[2]$ зима'!v306-'[2]$ зима'!u306-'[2]$ зима'!t306-'[2]$ зима'!s306-'[2]$ зима'!r306-'[2]$ зима'!p306-'[2]$ зима'!o306-'[2]$ зима'!n306-'[2]$ зима'!m306-'[2]$ зима'!l306+'[2]$ зима'!q306+'[2]$ зима'!w306+'[2]$ зима'!ac306+'[2]$ зима'!ai306+'[2]$ зима'!ao306+'[2]$ зима'!k306</f>
        <v>0</v>
      </c>
      <c r="I306" s="191" t="n">
        <f aca="false">'[2]$ зима'!ay306*1.1</f>
        <v>1245.2</v>
      </c>
      <c r="J306" s="171" t="n">
        <v>2014</v>
      </c>
    </row>
    <row r="307" customFormat="false" ht="15" hidden="true" customHeight="false" outlineLevel="0" collapsed="false">
      <c r="A307" s="196" t="s">
        <v>147</v>
      </c>
      <c r="B307" s="149" t="s">
        <v>1028</v>
      </c>
      <c r="C307" s="148" t="s">
        <v>3176</v>
      </c>
      <c r="D307" s="148"/>
      <c r="E307" s="148"/>
      <c r="F307" s="148"/>
      <c r="G307" s="193"/>
      <c r="H307" s="105" t="n">
        <f aca="false">'[2]$ зима'!j307-'[2]$ зима'!au307-'[2]$ зима'!at307-'[2]$ зима'!as307-'[2]$ зима'!ar307-'[2]$ зима'!aq307-'[2]$ зима'!ap307-'[2]$ зима'!an307-'[2]$ зима'!am307-'[2]$ зима'!al307-'[2]$ зима'!ak307-'[2]$ зима'!aj307-'[2]$ зима'!ah307-'[2]$ зима'!ag307-'[2]$ зима'!af307-'[2]$ зима'!ae307-'[2]$ зима'!ad307-'[2]$ зима'!ab307-'[2]$ зима'!aa307-'[2]$ зима'!z307-'[2]$ зима'!y307-'[2]$ зима'!x307-'[2]$ зима'!v307-'[2]$ зима'!u307-'[2]$ зима'!t307-'[2]$ зима'!s307-'[2]$ зима'!r307-'[2]$ зима'!p307-'[2]$ зима'!o307-'[2]$ зима'!n307-'[2]$ зима'!m307-'[2]$ зима'!l307+'[2]$ зима'!q307+'[2]$ зима'!w307+'[2]$ зима'!ac307+'[2]$ зима'!ai307+'[2]$ зима'!ao307+'[2]$ зима'!k307</f>
        <v>0</v>
      </c>
      <c r="I307" s="191" t="n">
        <f aca="false">'[2]$ зима'!ay307*1.1</f>
        <v>1386</v>
      </c>
      <c r="J307" s="171" t="n">
        <v>2014</v>
      </c>
    </row>
    <row r="308" customFormat="false" ht="15" hidden="true" customHeight="false" outlineLevel="0" collapsed="false">
      <c r="A308" s="196" t="s">
        <v>147</v>
      </c>
      <c r="B308" s="149" t="s">
        <v>1028</v>
      </c>
      <c r="C308" s="148" t="s">
        <v>3177</v>
      </c>
      <c r="D308" s="148"/>
      <c r="E308" s="148"/>
      <c r="F308" s="148"/>
      <c r="G308" s="193"/>
      <c r="H308" s="105" t="n">
        <f aca="false">'[2]$ зима'!j308-'[2]$ зима'!au308-'[2]$ зима'!at308-'[2]$ зима'!as308-'[2]$ зима'!ar308-'[2]$ зима'!aq308-'[2]$ зима'!ap308-'[2]$ зима'!an308-'[2]$ зима'!am308-'[2]$ зима'!al308-'[2]$ зима'!ak308-'[2]$ зима'!aj308-'[2]$ зима'!ah308-'[2]$ зима'!ag308-'[2]$ зима'!af308-'[2]$ зима'!ae308-'[2]$ зима'!ad308-'[2]$ зима'!ab308-'[2]$ зима'!aa308-'[2]$ зима'!z308-'[2]$ зима'!y308-'[2]$ зима'!x308-'[2]$ зима'!v308-'[2]$ зима'!u308-'[2]$ зима'!t308-'[2]$ зима'!s308-'[2]$ зима'!r308-'[2]$ зима'!p308-'[2]$ зима'!o308-'[2]$ зима'!n308-'[2]$ зима'!m308-'[2]$ зима'!l308+'[2]$ зима'!q308+'[2]$ зима'!w308+'[2]$ зима'!ac308+'[2]$ зима'!ai308+'[2]$ зима'!ao308+'[2]$ зима'!k308</f>
        <v>0</v>
      </c>
      <c r="I308" s="191" t="n">
        <f aca="false">'[2]$ зима'!ay308*1.1</f>
        <v>1386</v>
      </c>
    </row>
    <row r="309" customFormat="false" ht="15" hidden="false" customHeight="false" outlineLevel="0" collapsed="false">
      <c r="A309" s="188" t="s">
        <v>152</v>
      </c>
      <c r="B309" s="149" t="s">
        <v>560</v>
      </c>
      <c r="C309" s="148" t="s">
        <v>3241</v>
      </c>
      <c r="D309" s="148"/>
      <c r="E309" s="192"/>
      <c r="F309" s="192"/>
      <c r="G309" s="193"/>
      <c r="H309" s="105" t="n">
        <f aca="false">'[2]$ зима'!j309-'[2]$ зима'!au309-'[2]$ зима'!at309-'[2]$ зима'!as309-'[2]$ зима'!ar309-'[2]$ зима'!aq309-'[2]$ зима'!ap309-'[2]$ зима'!an309-'[2]$ зима'!am309-'[2]$ зима'!al309-'[2]$ зима'!ak309-'[2]$ зима'!aj309-'[2]$ зима'!ah309-'[2]$ зима'!ag309-'[2]$ зима'!af309-'[2]$ зима'!ae309-'[2]$ зима'!ad309-'[2]$ зима'!ab309-'[2]$ зима'!aa309-'[2]$ зима'!z309-'[2]$ зима'!y309-'[2]$ зима'!x309-'[2]$ зима'!v309-'[2]$ зима'!u309-'[2]$ зима'!t309-'[2]$ зима'!s309-'[2]$ зима'!r309-'[2]$ зима'!p309-'[2]$ зима'!o309-'[2]$ зима'!n309-'[2]$ зима'!m309-'[2]$ зима'!l309+'[2]$ зима'!q309+'[2]$ зима'!w309+'[2]$ зима'!ac309+'[2]$ зима'!ai309+'[2]$ зима'!ao309+'[2]$ зима'!k309</f>
        <v>1</v>
      </c>
      <c r="I309" s="191" t="n">
        <f aca="false">'[2]$ зима'!ay309*1.1</f>
        <v>462</v>
      </c>
      <c r="J309" s="171" t="n">
        <v>2012</v>
      </c>
    </row>
    <row r="310" customFormat="false" ht="15" hidden="false" customHeight="false" outlineLevel="0" collapsed="false">
      <c r="A310" s="188" t="s">
        <v>152</v>
      </c>
      <c r="B310" s="149" t="s">
        <v>560</v>
      </c>
      <c r="C310" s="148" t="s">
        <v>3295</v>
      </c>
      <c r="D310" s="148"/>
      <c r="E310" s="192"/>
      <c r="F310" s="192"/>
      <c r="G310" s="193"/>
      <c r="H310" s="105" t="n">
        <f aca="false">'[2]$ зима'!j310-'[2]$ зима'!au310-'[2]$ зима'!at310-'[2]$ зима'!as310-'[2]$ зима'!ar310-'[2]$ зима'!aq310-'[2]$ зима'!ap310-'[2]$ зима'!an310-'[2]$ зима'!am310-'[2]$ зима'!al310-'[2]$ зима'!ak310-'[2]$ зима'!aj310-'[2]$ зима'!ah310-'[2]$ зима'!ag310-'[2]$ зима'!af310-'[2]$ зима'!ae310-'[2]$ зима'!ad310-'[2]$ зима'!ab310-'[2]$ зима'!aa310-'[2]$ зима'!z310-'[2]$ зима'!y310-'[2]$ зима'!x310-'[2]$ зима'!v310-'[2]$ зима'!u310-'[2]$ зима'!t310-'[2]$ зима'!s310-'[2]$ зима'!r310-'[2]$ зима'!p310-'[2]$ зима'!o310-'[2]$ зима'!n310-'[2]$ зима'!m310-'[2]$ зима'!l310+'[2]$ зима'!q310+'[2]$ зима'!w310+'[2]$ зима'!ac310+'[2]$ зима'!ai310+'[2]$ зима'!ao310+'[2]$ зима'!k310</f>
        <v>2</v>
      </c>
      <c r="I310" s="191" t="n">
        <f aca="false">'[2]$ зима'!ay310*1.1</f>
        <v>924</v>
      </c>
    </row>
    <row r="311" customFormat="false" ht="15" hidden="false" customHeight="false" outlineLevel="0" collapsed="false">
      <c r="A311" s="188" t="s">
        <v>152</v>
      </c>
      <c r="B311" s="149" t="s">
        <v>991</v>
      </c>
      <c r="C311" s="148" t="s">
        <v>3189</v>
      </c>
      <c r="D311" s="148"/>
      <c r="E311" s="192"/>
      <c r="F311" s="192"/>
      <c r="G311" s="193"/>
      <c r="H311" s="105" t="n">
        <f aca="false">'[2]$ зима'!j311-'[2]$ зима'!au311-'[2]$ зима'!at311-'[2]$ зима'!as311-'[2]$ зима'!ar311-'[2]$ зима'!aq311-'[2]$ зима'!ap311-'[2]$ зима'!an311-'[2]$ зима'!am311-'[2]$ зима'!al311-'[2]$ зима'!ak311-'[2]$ зима'!aj311-'[2]$ зима'!ah311-'[2]$ зима'!ag311-'[2]$ зима'!af311-'[2]$ зима'!ae311-'[2]$ зима'!ad311-'[2]$ зима'!ab311-'[2]$ зима'!aa311-'[2]$ зима'!z311-'[2]$ зима'!y311-'[2]$ зима'!x311-'[2]$ зима'!v311-'[2]$ зима'!u311-'[2]$ зима'!t311-'[2]$ зима'!s311-'[2]$ зима'!r311-'[2]$ зима'!p311-'[2]$ зима'!o311-'[2]$ зима'!n311-'[2]$ зима'!m311-'[2]$ зима'!l311+'[2]$ зима'!q311+'[2]$ зима'!w311+'[2]$ зима'!ac311+'[2]$ зима'!ai311+'[2]$ зима'!ao311+'[2]$ зима'!k311</f>
        <v>14</v>
      </c>
      <c r="I311" s="191" t="n">
        <f aca="false">'[2]$ зима'!ay311*1.1</f>
        <v>1047.2</v>
      </c>
      <c r="J311" s="171" t="n">
        <v>2014</v>
      </c>
    </row>
    <row r="312" customFormat="false" ht="15" hidden="false" customHeight="false" outlineLevel="0" collapsed="false">
      <c r="A312" s="188" t="s">
        <v>152</v>
      </c>
      <c r="B312" s="149" t="s">
        <v>991</v>
      </c>
      <c r="C312" s="148" t="s">
        <v>3283</v>
      </c>
      <c r="D312" s="148" t="s">
        <v>3127</v>
      </c>
      <c r="E312" s="211"/>
      <c r="F312" s="211"/>
      <c r="G312" s="203"/>
      <c r="H312" s="105" t="n">
        <f aca="false">'[2]$ зима'!j312-'[2]$ зима'!au312-'[2]$ зима'!at312-'[2]$ зима'!as312-'[2]$ зима'!ar312-'[2]$ зима'!aq312-'[2]$ зима'!ap312-'[2]$ зима'!an312-'[2]$ зима'!am312-'[2]$ зима'!al312-'[2]$ зима'!ak312-'[2]$ зима'!aj312-'[2]$ зима'!ah312-'[2]$ зима'!ag312-'[2]$ зима'!af312-'[2]$ зима'!ae312-'[2]$ зима'!ad312-'[2]$ зима'!ab312-'[2]$ зима'!aa312-'[2]$ зима'!z312-'[2]$ зима'!y312-'[2]$ зима'!x312-'[2]$ зима'!v312-'[2]$ зима'!u312-'[2]$ зима'!t312-'[2]$ зима'!s312-'[2]$ зима'!r312-'[2]$ зима'!p312-'[2]$ зима'!o312-'[2]$ зима'!n312-'[2]$ зима'!m312-'[2]$ зима'!l312+'[2]$ зима'!q312+'[2]$ зима'!w312+'[2]$ зима'!ac312+'[2]$ зима'!ai312+'[2]$ зима'!ao312+'[2]$ зима'!k312</f>
        <v>8</v>
      </c>
      <c r="I312" s="191" t="n">
        <f aca="false">'[2]$ зима'!ay312*1.1</f>
        <v>1108.8</v>
      </c>
    </row>
    <row r="313" customFormat="false" ht="15" hidden="false" customHeight="false" outlineLevel="0" collapsed="false">
      <c r="A313" s="188" t="s">
        <v>152</v>
      </c>
      <c r="B313" s="149" t="s">
        <v>601</v>
      </c>
      <c r="C313" s="148" t="s">
        <v>3151</v>
      </c>
      <c r="D313" s="148"/>
      <c r="E313" s="192"/>
      <c r="F313" s="192"/>
      <c r="G313" s="193"/>
      <c r="H313" s="105" t="n">
        <f aca="false">'[2]$ зима'!j313-'[2]$ зима'!au313-'[2]$ зима'!at313-'[2]$ зима'!as313-'[2]$ зима'!ar313-'[2]$ зима'!aq313-'[2]$ зима'!ap313-'[2]$ зима'!an313-'[2]$ зима'!am313-'[2]$ зима'!al313-'[2]$ зима'!ak313-'[2]$ зима'!aj313-'[2]$ зима'!ah313-'[2]$ зима'!ag313-'[2]$ зима'!af313-'[2]$ зима'!ae313-'[2]$ зима'!ad313-'[2]$ зима'!ab313-'[2]$ зима'!aa313-'[2]$ зима'!z313-'[2]$ зима'!y313-'[2]$ зима'!x313-'[2]$ зима'!v313-'[2]$ зима'!u313-'[2]$ зима'!t313-'[2]$ зима'!s313-'[2]$ зима'!r313-'[2]$ зима'!p313-'[2]$ зима'!o313-'[2]$ зима'!n313-'[2]$ зима'!m313-'[2]$ зима'!l313+'[2]$ зима'!q313+'[2]$ зима'!w313+'[2]$ зима'!ac313+'[2]$ зима'!ai313+'[2]$ зима'!ao313+'[2]$ зима'!k313</f>
        <v>2</v>
      </c>
      <c r="I313" s="191" t="n">
        <f aca="false">'[2]$ зима'!ay313*1.1</f>
        <v>1540</v>
      </c>
      <c r="J313" s="171" t="s">
        <v>3296</v>
      </c>
    </row>
    <row r="314" customFormat="false" ht="15" hidden="false" customHeight="false" outlineLevel="0" collapsed="false">
      <c r="A314" s="188" t="s">
        <v>152</v>
      </c>
      <c r="B314" s="149" t="s">
        <v>601</v>
      </c>
      <c r="C314" s="148" t="s">
        <v>3150</v>
      </c>
      <c r="D314" s="148"/>
      <c r="E314" s="192"/>
      <c r="F314" s="192"/>
      <c r="G314" s="193" t="s">
        <v>626</v>
      </c>
      <c r="H314" s="105" t="n">
        <f aca="false">'[2]$ зима'!j314-'[2]$ зима'!au314-'[2]$ зима'!at314-'[2]$ зима'!as314-'[2]$ зима'!ar314-'[2]$ зима'!aq314-'[2]$ зима'!ap314-'[2]$ зима'!an314-'[2]$ зима'!am314-'[2]$ зима'!al314-'[2]$ зима'!ak314-'[2]$ зима'!aj314-'[2]$ зима'!ah314-'[2]$ зима'!ag314-'[2]$ зима'!af314-'[2]$ зима'!ae314-'[2]$ зима'!ad314-'[2]$ зима'!ab314-'[2]$ зима'!aa314-'[2]$ зима'!z314-'[2]$ зима'!y314-'[2]$ зима'!x314-'[2]$ зима'!v314-'[2]$ зима'!u314-'[2]$ зима'!t314-'[2]$ зима'!s314-'[2]$ зима'!r314-'[2]$ зима'!p314-'[2]$ зима'!o314-'[2]$ зима'!n314-'[2]$ зима'!m314-'[2]$ зима'!l314+'[2]$ зима'!q314+'[2]$ зима'!w314+'[2]$ зима'!ac314+'[2]$ зима'!ai314+'[2]$ зима'!ao314+'[2]$ зима'!k314</f>
        <v>2</v>
      </c>
      <c r="I314" s="191" t="n">
        <f aca="false">'[2]$ зима'!ay314*1.1</f>
        <v>1663.2</v>
      </c>
      <c r="J314" s="171" t="n">
        <v>2015</v>
      </c>
    </row>
    <row r="315" customFormat="false" ht="15" hidden="true" customHeight="false" outlineLevel="0" collapsed="false">
      <c r="A315" s="188" t="s">
        <v>152</v>
      </c>
      <c r="B315" s="149" t="s">
        <v>1487</v>
      </c>
      <c r="C315" s="148" t="s">
        <v>3297</v>
      </c>
      <c r="D315" s="202"/>
      <c r="E315" s="202" t="n">
        <v>88</v>
      </c>
      <c r="F315" s="202" t="s">
        <v>562</v>
      </c>
      <c r="G315" s="203"/>
      <c r="H315" s="105" t="n">
        <f aca="false">'[2]$ зима'!j315-'[2]$ зима'!au315-'[2]$ зима'!at315-'[2]$ зима'!as315-'[2]$ зима'!ar315-'[2]$ зима'!aq315-'[2]$ зима'!ap315-'[2]$ зима'!an315-'[2]$ зима'!am315-'[2]$ зима'!al315-'[2]$ зима'!ak315-'[2]$ зима'!aj315-'[2]$ зима'!ah315-'[2]$ зима'!ag315-'[2]$ зима'!af315-'[2]$ зима'!ae315-'[2]$ зима'!ad315-'[2]$ зима'!ab315-'[2]$ зима'!aa315-'[2]$ зима'!z315-'[2]$ зима'!y315-'[2]$ зима'!x315-'[2]$ зима'!v315-'[2]$ зима'!u315-'[2]$ зима'!t315-'[2]$ зима'!s315-'[2]$ зима'!r315-'[2]$ зима'!p315-'[2]$ зима'!o315-'[2]$ зима'!n315-'[2]$ зима'!m315-'[2]$ зима'!l315+'[2]$ зима'!q315+'[2]$ зима'!w315+'[2]$ зима'!ac315+'[2]$ зима'!ai315+'[2]$ зима'!ao315+'[2]$ зима'!k315</f>
        <v>0</v>
      </c>
      <c r="I315" s="191" t="n">
        <f aca="false">'[2]$ зима'!ay315*1.1</f>
        <v>935</v>
      </c>
      <c r="J315" s="171" t="s">
        <v>3298</v>
      </c>
    </row>
    <row r="316" customFormat="false" ht="15" hidden="true" customHeight="false" outlineLevel="0" collapsed="false">
      <c r="A316" s="188" t="s">
        <v>152</v>
      </c>
      <c r="B316" s="149" t="s">
        <v>3193</v>
      </c>
      <c r="C316" s="148" t="s">
        <v>3212</v>
      </c>
      <c r="D316" s="148"/>
      <c r="E316" s="148"/>
      <c r="F316" s="148"/>
      <c r="G316" s="193"/>
      <c r="H316" s="105" t="n">
        <f aca="false">'[2]$ зима'!j316-'[2]$ зима'!au316-'[2]$ зима'!at316-'[2]$ зима'!as316-'[2]$ зима'!ar316-'[2]$ зима'!aq316-'[2]$ зима'!ap316-'[2]$ зима'!an316-'[2]$ зима'!am316-'[2]$ зима'!al316-'[2]$ зима'!ak316-'[2]$ зима'!aj316-'[2]$ зима'!ah316-'[2]$ зима'!ag316-'[2]$ зима'!af316-'[2]$ зима'!ae316-'[2]$ зима'!ad316-'[2]$ зима'!ab316-'[2]$ зима'!aa316-'[2]$ зима'!z316-'[2]$ зима'!y316-'[2]$ зима'!x316-'[2]$ зима'!v316-'[2]$ зима'!u316-'[2]$ зима'!t316-'[2]$ зима'!s316-'[2]$ зима'!r316-'[2]$ зима'!p316-'[2]$ зима'!o316-'[2]$ зима'!n316-'[2]$ зима'!m316-'[2]$ зима'!l316+'[2]$ зима'!q316+'[2]$ зима'!w316+'[2]$ зима'!ac316+'[2]$ зима'!ai316+'[2]$ зима'!ao316+'[2]$ зима'!k316</f>
        <v>0</v>
      </c>
      <c r="I316" s="191" t="n">
        <f aca="false">'[2]$ зима'!ay316*1.1</f>
        <v>770</v>
      </c>
    </row>
    <row r="317" customFormat="false" ht="15" hidden="true" customHeight="false" outlineLevel="0" collapsed="false">
      <c r="A317" s="188" t="s">
        <v>152</v>
      </c>
      <c r="B317" s="149" t="s">
        <v>555</v>
      </c>
      <c r="C317" s="148" t="s">
        <v>3140</v>
      </c>
      <c r="D317" s="148"/>
      <c r="E317" s="148"/>
      <c r="F317" s="148"/>
      <c r="G317" s="193"/>
      <c r="H317" s="105" t="n">
        <f aca="false">'[2]$ зима'!j317-'[2]$ зима'!au317-'[2]$ зима'!at317-'[2]$ зима'!as317-'[2]$ зима'!ar317-'[2]$ зима'!aq317-'[2]$ зима'!ap317-'[2]$ зима'!an317-'[2]$ зима'!am317-'[2]$ зима'!al317-'[2]$ зима'!ak317-'[2]$ зима'!aj317-'[2]$ зима'!ah317-'[2]$ зима'!ag317-'[2]$ зима'!af317-'[2]$ зима'!ae317-'[2]$ зима'!ad317-'[2]$ зима'!ab317-'[2]$ зима'!aa317-'[2]$ зима'!z317-'[2]$ зима'!y317-'[2]$ зима'!x317-'[2]$ зима'!v317-'[2]$ зима'!u317-'[2]$ зима'!t317-'[2]$ зима'!s317-'[2]$ зима'!r317-'[2]$ зима'!p317-'[2]$ зима'!o317-'[2]$ зима'!n317-'[2]$ зима'!m317-'[2]$ зима'!l317+'[2]$ зима'!q317+'[2]$ зима'!w317+'[2]$ зима'!ac317+'[2]$ зима'!ai317+'[2]$ зима'!ao317+'[2]$ зима'!k317</f>
        <v>0</v>
      </c>
      <c r="I317" s="191" t="n">
        <f aca="false">'[2]$ зима'!ay317*1.1</f>
        <v>1047.2</v>
      </c>
    </row>
    <row r="318" customFormat="false" ht="15" hidden="true" customHeight="false" outlineLevel="0" collapsed="false">
      <c r="A318" s="188" t="s">
        <v>152</v>
      </c>
      <c r="B318" s="149" t="s">
        <v>646</v>
      </c>
      <c r="C318" s="148" t="s">
        <v>3183</v>
      </c>
      <c r="D318" s="148"/>
      <c r="E318" s="148"/>
      <c r="F318" s="148"/>
      <c r="G318" s="193"/>
      <c r="H318" s="105" t="n">
        <f aca="false">'[2]$ зима'!j318-'[2]$ зима'!au318-'[2]$ зима'!at318-'[2]$ зима'!as318-'[2]$ зима'!ar318-'[2]$ зима'!aq318-'[2]$ зима'!ap318-'[2]$ зима'!an318-'[2]$ зима'!am318-'[2]$ зима'!al318-'[2]$ зима'!ak318-'[2]$ зима'!aj318-'[2]$ зима'!ah318-'[2]$ зима'!ag318-'[2]$ зима'!af318-'[2]$ зима'!ae318-'[2]$ зима'!ad318-'[2]$ зима'!ab318-'[2]$ зима'!aa318-'[2]$ зима'!z318-'[2]$ зима'!y318-'[2]$ зима'!x318-'[2]$ зима'!v318-'[2]$ зима'!u318-'[2]$ зима'!t318-'[2]$ зима'!s318-'[2]$ зима'!r318-'[2]$ зима'!p318-'[2]$ зима'!o318-'[2]$ зима'!n318-'[2]$ зима'!m318-'[2]$ зима'!l318+'[2]$ зима'!q318+'[2]$ зима'!w318+'[2]$ зима'!ac318+'[2]$ зима'!ai318+'[2]$ зима'!ao318+'[2]$ зима'!k318</f>
        <v>0</v>
      </c>
      <c r="I318" s="191" t="n">
        <f aca="false">'[2]$ зима'!ay318*1.1</f>
        <v>954.8</v>
      </c>
    </row>
    <row r="319" customFormat="false" ht="15" hidden="false" customHeight="false" outlineLevel="0" collapsed="false">
      <c r="A319" s="188" t="s">
        <v>152</v>
      </c>
      <c r="B319" s="149" t="s">
        <v>557</v>
      </c>
      <c r="C319" s="148" t="s">
        <v>3299</v>
      </c>
      <c r="D319" s="148"/>
      <c r="E319" s="192"/>
      <c r="F319" s="192"/>
      <c r="G319" s="193" t="s">
        <v>820</v>
      </c>
      <c r="H319" s="105" t="n">
        <f aca="false">'[2]$ зима'!j319-'[2]$ зима'!au319-'[2]$ зима'!at319-'[2]$ зима'!as319-'[2]$ зима'!ar319-'[2]$ зима'!aq319-'[2]$ зима'!ap319-'[2]$ зима'!an319-'[2]$ зима'!am319-'[2]$ зима'!al319-'[2]$ зима'!ak319-'[2]$ зима'!aj319-'[2]$ зима'!ah319-'[2]$ зима'!ag319-'[2]$ зима'!af319-'[2]$ зима'!ae319-'[2]$ зима'!ad319-'[2]$ зима'!ab319-'[2]$ зима'!aa319-'[2]$ зима'!z319-'[2]$ зима'!y319-'[2]$ зима'!x319-'[2]$ зима'!v319-'[2]$ зима'!u319-'[2]$ зима'!t319-'[2]$ зима'!s319-'[2]$ зима'!r319-'[2]$ зима'!p319-'[2]$ зима'!o319-'[2]$ зима'!n319-'[2]$ зима'!m319-'[2]$ зима'!l319+'[2]$ зима'!q319+'[2]$ зима'!w319+'[2]$ зима'!ac319+'[2]$ зима'!ai319+'[2]$ зима'!ao319+'[2]$ зима'!k319</f>
        <v>10</v>
      </c>
      <c r="I319" s="191" t="n">
        <f aca="false">'[2]$ зима'!ay319*1.1</f>
        <v>1078</v>
      </c>
      <c r="J319" s="171" t="n">
        <v>2014</v>
      </c>
    </row>
    <row r="320" customFormat="false" ht="15" hidden="true" customHeight="false" outlineLevel="0" collapsed="false">
      <c r="A320" s="188" t="s">
        <v>152</v>
      </c>
      <c r="B320" s="149" t="s">
        <v>557</v>
      </c>
      <c r="C320" s="148" t="s">
        <v>3196</v>
      </c>
      <c r="D320" s="148"/>
      <c r="E320" s="148"/>
      <c r="F320" s="148"/>
      <c r="G320" s="193"/>
      <c r="H320" s="105" t="n">
        <f aca="false">'[2]$ зима'!j320-'[2]$ зима'!au320-'[2]$ зима'!at320-'[2]$ зима'!as320-'[2]$ зима'!ar320-'[2]$ зима'!aq320-'[2]$ зима'!ap320-'[2]$ зима'!an320-'[2]$ зима'!am320-'[2]$ зима'!al320-'[2]$ зима'!ak320-'[2]$ зима'!aj320-'[2]$ зима'!ah320-'[2]$ зима'!ag320-'[2]$ зима'!af320-'[2]$ зима'!ae320-'[2]$ зима'!ad320-'[2]$ зима'!ab320-'[2]$ зима'!aa320-'[2]$ зима'!z320-'[2]$ зима'!y320-'[2]$ зима'!x320-'[2]$ зима'!v320-'[2]$ зима'!u320-'[2]$ зима'!t320-'[2]$ зима'!s320-'[2]$ зима'!r320-'[2]$ зима'!p320-'[2]$ зима'!o320-'[2]$ зима'!n320-'[2]$ зима'!m320-'[2]$ зима'!l320+'[2]$ зима'!q320+'[2]$ зима'!w320+'[2]$ зима'!ac320+'[2]$ зима'!ai320+'[2]$ зима'!ao320+'[2]$ зима'!k320</f>
        <v>0</v>
      </c>
      <c r="I320" s="191" t="n">
        <f aca="false">'[2]$ зима'!ay320*1.1</f>
        <v>1078</v>
      </c>
    </row>
    <row r="321" customFormat="false" ht="15" hidden="false" customHeight="false" outlineLevel="0" collapsed="false">
      <c r="A321" s="188" t="s">
        <v>152</v>
      </c>
      <c r="B321" s="149" t="s">
        <v>741</v>
      </c>
      <c r="C321" s="148" t="s">
        <v>3214</v>
      </c>
      <c r="D321" s="148"/>
      <c r="E321" s="192"/>
      <c r="F321" s="192"/>
      <c r="G321" s="193" t="s">
        <v>663</v>
      </c>
      <c r="H321" s="105" t="n">
        <f aca="false">'[2]$ зима'!j321-'[2]$ зима'!au321-'[2]$ зима'!at321-'[2]$ зима'!as321-'[2]$ зима'!ar321-'[2]$ зима'!aq321-'[2]$ зима'!ap321-'[2]$ зима'!an321-'[2]$ зима'!am321-'[2]$ зима'!al321-'[2]$ зима'!ak321-'[2]$ зима'!aj321-'[2]$ зима'!ah321-'[2]$ зима'!ag321-'[2]$ зима'!af321-'[2]$ зима'!ae321-'[2]$ зима'!ad321-'[2]$ зима'!ab321-'[2]$ зима'!aa321-'[2]$ зима'!z321-'[2]$ зима'!y321-'[2]$ зима'!x321-'[2]$ зима'!v321-'[2]$ зима'!u321-'[2]$ зима'!t321-'[2]$ зима'!s321-'[2]$ зима'!r321-'[2]$ зима'!p321-'[2]$ зима'!o321-'[2]$ зима'!n321-'[2]$ зима'!m321-'[2]$ зима'!l321+'[2]$ зима'!q321+'[2]$ зима'!w321+'[2]$ зима'!ac321+'[2]$ зима'!ai321+'[2]$ зима'!ao321+'[2]$ зима'!k321</f>
        <v>4</v>
      </c>
      <c r="I321" s="191" t="n">
        <f aca="false">'[2]$ зима'!ay321*1.1</f>
        <v>1108.8</v>
      </c>
      <c r="J321" s="171" t="n">
        <v>2012</v>
      </c>
    </row>
    <row r="322" customFormat="false" ht="15" hidden="false" customHeight="false" outlineLevel="0" collapsed="false">
      <c r="A322" s="188" t="s">
        <v>152</v>
      </c>
      <c r="B322" s="149" t="s">
        <v>3184</v>
      </c>
      <c r="C322" s="148" t="s">
        <v>3300</v>
      </c>
      <c r="D322" s="202"/>
      <c r="E322" s="211"/>
      <c r="F322" s="211"/>
      <c r="G322" s="203" t="s">
        <v>911</v>
      </c>
      <c r="H322" s="105" t="n">
        <f aca="false">'[2]$ зима'!j322-'[2]$ зима'!au322-'[2]$ зима'!at322-'[2]$ зима'!as322-'[2]$ зима'!ar322-'[2]$ зима'!aq322-'[2]$ зима'!ap322-'[2]$ зима'!an322-'[2]$ зима'!am322-'[2]$ зима'!al322-'[2]$ зима'!ak322-'[2]$ зима'!aj322-'[2]$ зима'!ah322-'[2]$ зима'!ag322-'[2]$ зима'!af322-'[2]$ зима'!ae322-'[2]$ зима'!ad322-'[2]$ зима'!ab322-'[2]$ зима'!aa322-'[2]$ зима'!z322-'[2]$ зима'!y322-'[2]$ зима'!x322-'[2]$ зима'!v322-'[2]$ зима'!u322-'[2]$ зима'!t322-'[2]$ зима'!s322-'[2]$ зима'!r322-'[2]$ зима'!p322-'[2]$ зима'!o322-'[2]$ зима'!n322-'[2]$ зима'!m322-'[2]$ зима'!l322+'[2]$ зима'!q322+'[2]$ зима'!w322+'[2]$ зима'!ac322+'[2]$ зима'!ai322+'[2]$ зима'!ao322+'[2]$ зима'!k322</f>
        <v>2</v>
      </c>
      <c r="I322" s="191" t="n">
        <f aca="false">'[2]$ зима'!ay322*1.1</f>
        <v>924</v>
      </c>
    </row>
    <row r="323" customFormat="false" ht="15" hidden="true" customHeight="false" outlineLevel="0" collapsed="false">
      <c r="A323" s="188" t="s">
        <v>152</v>
      </c>
      <c r="B323" s="149" t="s">
        <v>604</v>
      </c>
      <c r="C323" s="202" t="s">
        <v>3152</v>
      </c>
      <c r="D323" s="202"/>
      <c r="E323" s="202"/>
      <c r="F323" s="202"/>
      <c r="G323" s="193" t="s">
        <v>1240</v>
      </c>
      <c r="H323" s="105" t="n">
        <f aca="false">'[2]$ зима'!j323-'[2]$ зима'!au323-'[2]$ зима'!at323-'[2]$ зима'!as323-'[2]$ зима'!ar323-'[2]$ зима'!aq323-'[2]$ зима'!ap323-'[2]$ зима'!an323-'[2]$ зима'!am323-'[2]$ зима'!al323-'[2]$ зима'!ak323-'[2]$ зима'!aj323-'[2]$ зима'!ah323-'[2]$ зима'!ag323-'[2]$ зима'!af323-'[2]$ зима'!ae323-'[2]$ зима'!ad323-'[2]$ зима'!ab323-'[2]$ зима'!aa323-'[2]$ зима'!z323-'[2]$ зима'!y323-'[2]$ зима'!x323-'[2]$ зима'!v323-'[2]$ зима'!u323-'[2]$ зима'!t323-'[2]$ зима'!s323-'[2]$ зима'!r323-'[2]$ зима'!p323-'[2]$ зима'!o323-'[2]$ зима'!n323-'[2]$ зима'!m323-'[2]$ зима'!l323+'[2]$ зима'!q323+'[2]$ зима'!w323+'[2]$ зима'!ac323+'[2]$ зима'!ai323+'[2]$ зима'!ao323+'[2]$ зима'!k323</f>
        <v>0</v>
      </c>
      <c r="I323" s="191" t="n">
        <f aca="false">'[2]$ зима'!ay323*1.1</f>
        <v>1170.4</v>
      </c>
    </row>
    <row r="324" customFormat="false" ht="15" hidden="false" customHeight="false" outlineLevel="0" collapsed="false">
      <c r="A324" s="188" t="s">
        <v>152</v>
      </c>
      <c r="B324" s="149" t="s">
        <v>606</v>
      </c>
      <c r="C324" s="148" t="s">
        <v>3155</v>
      </c>
      <c r="D324" s="148"/>
      <c r="E324" s="192" t="n">
        <v>92</v>
      </c>
      <c r="F324" s="192" t="s">
        <v>3216</v>
      </c>
      <c r="G324" s="193" t="s">
        <v>609</v>
      </c>
      <c r="H324" s="105" t="n">
        <f aca="false">'[2]$ зима'!j324-'[2]$ зима'!au324-'[2]$ зима'!at324-'[2]$ зима'!as324-'[2]$ зима'!ar324-'[2]$ зима'!aq324-'[2]$ зима'!ap324-'[2]$ зима'!an324-'[2]$ зима'!am324-'[2]$ зима'!al324-'[2]$ зима'!ak324-'[2]$ зима'!aj324-'[2]$ зима'!ah324-'[2]$ зима'!ag324-'[2]$ зима'!af324-'[2]$ зима'!ae324-'[2]$ зима'!ad324-'[2]$ зима'!ab324-'[2]$ зима'!aa324-'[2]$ зима'!z324-'[2]$ зима'!y324-'[2]$ зима'!x324-'[2]$ зима'!v324-'[2]$ зима'!u324-'[2]$ зима'!t324-'[2]$ зима'!s324-'[2]$ зима'!r324-'[2]$ зима'!p324-'[2]$ зима'!o324-'[2]$ зима'!n324-'[2]$ зима'!m324-'[2]$ зима'!l324+'[2]$ зима'!q324+'[2]$ зима'!w324+'[2]$ зима'!ac324+'[2]$ зима'!ai324+'[2]$ зима'!ao324+'[2]$ зима'!k324</f>
        <v>12</v>
      </c>
      <c r="I324" s="191" t="n">
        <f aca="false">'[2]$ зима'!ay324*1.1</f>
        <v>1355.2</v>
      </c>
      <c r="J324" s="171" t="n">
        <v>2018</v>
      </c>
    </row>
    <row r="325" customFormat="false" ht="15" hidden="false" customHeight="false" outlineLevel="0" collapsed="false">
      <c r="A325" s="188" t="s">
        <v>152</v>
      </c>
      <c r="B325" s="149" t="s">
        <v>606</v>
      </c>
      <c r="C325" s="148" t="s">
        <v>3301</v>
      </c>
      <c r="D325" s="148"/>
      <c r="E325" s="192"/>
      <c r="F325" s="192"/>
      <c r="G325" s="193"/>
      <c r="H325" s="105" t="n">
        <f aca="false">'[2]$ зима'!j325-'[2]$ зима'!au325-'[2]$ зима'!at325-'[2]$ зима'!as325-'[2]$ зима'!ar325-'[2]$ зима'!aq325-'[2]$ зима'!ap325-'[2]$ зима'!an325-'[2]$ зима'!am325-'[2]$ зима'!al325-'[2]$ зима'!ak325-'[2]$ зима'!aj325-'[2]$ зима'!ah325-'[2]$ зима'!ag325-'[2]$ зима'!af325-'[2]$ зима'!ae325-'[2]$ зима'!ad325-'[2]$ зима'!ab325-'[2]$ зима'!aa325-'[2]$ зима'!z325-'[2]$ зима'!y325-'[2]$ зима'!x325-'[2]$ зима'!v325-'[2]$ зима'!u325-'[2]$ зима'!t325-'[2]$ зима'!s325-'[2]$ зима'!r325-'[2]$ зима'!p325-'[2]$ зима'!o325-'[2]$ зима'!n325-'[2]$ зима'!m325-'[2]$ зима'!l325+'[2]$ зима'!q325+'[2]$ зима'!w325+'[2]$ зима'!ac325+'[2]$ зима'!ai325+'[2]$ зима'!ao325+'[2]$ зима'!k325</f>
        <v>12</v>
      </c>
      <c r="I325" s="191" t="n">
        <f aca="false">'[2]$ зима'!ay325*1.1</f>
        <v>1355.2</v>
      </c>
    </row>
    <row r="326" customFormat="false" ht="15" hidden="false" customHeight="false" outlineLevel="0" collapsed="false">
      <c r="A326" s="188" t="s">
        <v>152</v>
      </c>
      <c r="B326" s="149" t="s">
        <v>606</v>
      </c>
      <c r="C326" s="148" t="s">
        <v>3156</v>
      </c>
      <c r="D326" s="148"/>
      <c r="E326" s="192" t="n">
        <v>92</v>
      </c>
      <c r="F326" s="192" t="s">
        <v>3216</v>
      </c>
      <c r="G326" s="193" t="s">
        <v>609</v>
      </c>
      <c r="H326" s="105" t="n">
        <f aca="false">'[2]$ зима'!j326-'[2]$ зима'!au326-'[2]$ зима'!at326-'[2]$ зима'!as326-'[2]$ зима'!ar326-'[2]$ зима'!aq326-'[2]$ зима'!ap326-'[2]$ зима'!an326-'[2]$ зима'!am326-'[2]$ зима'!al326-'[2]$ зима'!ak326-'[2]$ зима'!aj326-'[2]$ зима'!ah326-'[2]$ зима'!ag326-'[2]$ зима'!af326-'[2]$ зима'!ae326-'[2]$ зима'!ad326-'[2]$ зима'!ab326-'[2]$ зима'!aa326-'[2]$ зима'!z326-'[2]$ зима'!y326-'[2]$ зима'!x326-'[2]$ зима'!v326-'[2]$ зима'!u326-'[2]$ зима'!t326-'[2]$ зима'!s326-'[2]$ зима'!r326-'[2]$ зима'!p326-'[2]$ зима'!o326-'[2]$ зима'!n326-'[2]$ зима'!m326-'[2]$ зима'!l326+'[2]$ зима'!q326+'[2]$ зима'!w326+'[2]$ зима'!ac326+'[2]$ зима'!ai326+'[2]$ зима'!ao326+'[2]$ зима'!k326</f>
        <v>20</v>
      </c>
      <c r="I326" s="191" t="n">
        <f aca="false">'[2]$ зима'!ay326*1.1</f>
        <v>1324.4</v>
      </c>
      <c r="J326" s="171" t="n">
        <v>2018</v>
      </c>
    </row>
    <row r="327" customFormat="false" ht="15" hidden="false" customHeight="false" outlineLevel="0" collapsed="false">
      <c r="A327" s="217" t="s">
        <v>152</v>
      </c>
      <c r="B327" s="157" t="s">
        <v>606</v>
      </c>
      <c r="C327" s="158" t="s">
        <v>3231</v>
      </c>
      <c r="D327" s="158"/>
      <c r="E327" s="192" t="n">
        <v>92</v>
      </c>
      <c r="F327" s="192" t="s">
        <v>3216</v>
      </c>
      <c r="G327" s="218" t="s">
        <v>609</v>
      </c>
      <c r="H327" s="105" t="n">
        <f aca="false">'[2]$ зима'!j327-'[2]$ зима'!au327-'[2]$ зима'!at327-'[2]$ зима'!as327-'[2]$ зима'!ar327-'[2]$ зима'!aq327-'[2]$ зима'!ap327-'[2]$ зима'!an327-'[2]$ зима'!am327-'[2]$ зима'!al327-'[2]$ зима'!ak327-'[2]$ зима'!aj327-'[2]$ зима'!ah327-'[2]$ зима'!ag327-'[2]$ зима'!af327-'[2]$ зима'!ae327-'[2]$ зима'!ad327-'[2]$ зима'!ab327-'[2]$ зима'!aa327-'[2]$ зима'!z327-'[2]$ зима'!y327-'[2]$ зима'!x327-'[2]$ зима'!v327-'[2]$ зима'!u327-'[2]$ зима'!t327-'[2]$ зима'!s327-'[2]$ зима'!r327-'[2]$ зима'!p327-'[2]$ зима'!o327-'[2]$ зима'!n327-'[2]$ зима'!m327-'[2]$ зима'!l327+'[2]$ зима'!q327+'[2]$ зима'!w327+'[2]$ зима'!ac327+'[2]$ зима'!ai327+'[2]$ зима'!ao327+'[2]$ зима'!k327</f>
        <v>4</v>
      </c>
      <c r="I327" s="219" t="n">
        <f aca="false">'[2]$ зима'!ay327*1.1</f>
        <v>1100</v>
      </c>
    </row>
    <row r="328" customFormat="false" ht="15" hidden="false" customHeight="false" outlineLevel="0" collapsed="false">
      <c r="A328" s="188" t="s">
        <v>152</v>
      </c>
      <c r="B328" s="149" t="s">
        <v>666</v>
      </c>
      <c r="C328" s="148" t="s">
        <v>3302</v>
      </c>
      <c r="D328" s="148"/>
      <c r="E328" s="192"/>
      <c r="F328" s="192"/>
      <c r="G328" s="193" t="s">
        <v>631</v>
      </c>
      <c r="H328" s="105" t="n">
        <f aca="false">'[2]$ зима'!j328-'[2]$ зима'!au328-'[2]$ зима'!at328-'[2]$ зима'!as328-'[2]$ зима'!ar328-'[2]$ зима'!aq328-'[2]$ зима'!ap328-'[2]$ зима'!an328-'[2]$ зима'!am328-'[2]$ зима'!al328-'[2]$ зима'!ak328-'[2]$ зима'!aj328-'[2]$ зима'!ah328-'[2]$ зима'!ag328-'[2]$ зима'!af328-'[2]$ зима'!ae328-'[2]$ зима'!ad328-'[2]$ зима'!ab328-'[2]$ зима'!aa328-'[2]$ зима'!z328-'[2]$ зима'!y328-'[2]$ зима'!x328-'[2]$ зима'!v328-'[2]$ зима'!u328-'[2]$ зима'!t328-'[2]$ зима'!s328-'[2]$ зима'!r328-'[2]$ зима'!p328-'[2]$ зима'!o328-'[2]$ зима'!n328-'[2]$ зима'!m328-'[2]$ зима'!l328+'[2]$ зима'!q328+'[2]$ зима'!w328+'[2]$ зима'!ac328+'[2]$ зима'!ai328+'[2]$ зима'!ao328+'[2]$ зима'!k328</f>
        <v>2</v>
      </c>
      <c r="I328" s="191" t="n">
        <f aca="false">'[2]$ зима'!ay328*1.1</f>
        <v>1324.4</v>
      </c>
      <c r="J328" s="171" t="n">
        <v>2017</v>
      </c>
    </row>
    <row r="329" customFormat="false" ht="15" hidden="false" customHeight="false" outlineLevel="0" collapsed="false">
      <c r="A329" s="188" t="s">
        <v>152</v>
      </c>
      <c r="B329" s="149" t="s">
        <v>572</v>
      </c>
      <c r="C329" s="148" t="s">
        <v>3285</v>
      </c>
      <c r="D329" s="148" t="s">
        <v>3147</v>
      </c>
      <c r="E329" s="192"/>
      <c r="F329" s="192"/>
      <c r="G329" s="193"/>
      <c r="H329" s="105" t="n">
        <f aca="false">'[2]$ зима'!j329-'[2]$ зима'!au329-'[2]$ зима'!at329-'[2]$ зима'!as329-'[2]$ зима'!ar329-'[2]$ зима'!aq329-'[2]$ зима'!ap329-'[2]$ зима'!an329-'[2]$ зима'!am329-'[2]$ зима'!al329-'[2]$ зима'!ak329-'[2]$ зима'!aj329-'[2]$ зима'!ah329-'[2]$ зима'!ag329-'[2]$ зима'!af329-'[2]$ зима'!ae329-'[2]$ зима'!ad329-'[2]$ зима'!ab329-'[2]$ зима'!aa329-'[2]$ зима'!z329-'[2]$ зима'!y329-'[2]$ зима'!x329-'[2]$ зима'!v329-'[2]$ зима'!u329-'[2]$ зима'!t329-'[2]$ зима'!s329-'[2]$ зима'!r329-'[2]$ зима'!p329-'[2]$ зима'!o329-'[2]$ зима'!n329-'[2]$ зима'!m329-'[2]$ зима'!l329+'[2]$ зима'!q329+'[2]$ зима'!w329+'[2]$ зима'!ac329+'[2]$ зима'!ai329+'[2]$ зима'!ao329+'[2]$ зима'!k329</f>
        <v>4</v>
      </c>
      <c r="I329" s="191" t="n">
        <f aca="false">'[2]$ зима'!ay329*1.1</f>
        <v>1355.2</v>
      </c>
    </row>
    <row r="330" customFormat="false" ht="15" hidden="false" customHeight="false" outlineLevel="0" collapsed="false">
      <c r="A330" s="188" t="s">
        <v>152</v>
      </c>
      <c r="B330" s="149" t="s">
        <v>668</v>
      </c>
      <c r="C330" s="194" t="s">
        <v>3182</v>
      </c>
      <c r="D330" s="148"/>
      <c r="E330" s="192"/>
      <c r="F330" s="192"/>
      <c r="G330" s="193"/>
      <c r="H330" s="105" t="n">
        <f aca="false">'[2]$ зима'!j330-'[2]$ зима'!au330-'[2]$ зима'!at330-'[2]$ зима'!as330-'[2]$ зима'!ar330-'[2]$ зима'!aq330-'[2]$ зима'!ap330-'[2]$ зима'!an330-'[2]$ зима'!am330-'[2]$ зима'!al330-'[2]$ зима'!ak330-'[2]$ зима'!aj330-'[2]$ зима'!ah330-'[2]$ зима'!ag330-'[2]$ зима'!af330-'[2]$ зима'!ae330-'[2]$ зима'!ad330-'[2]$ зима'!ab330-'[2]$ зима'!aa330-'[2]$ зима'!z330-'[2]$ зима'!y330-'[2]$ зима'!x330-'[2]$ зима'!v330-'[2]$ зима'!u330-'[2]$ зима'!t330-'[2]$ зима'!s330-'[2]$ зима'!r330-'[2]$ зима'!p330-'[2]$ зима'!o330-'[2]$ зима'!n330-'[2]$ зима'!m330-'[2]$ зима'!l330+'[2]$ зима'!q330+'[2]$ зима'!w330+'[2]$ зима'!ac330+'[2]$ зима'!ai330+'[2]$ зима'!ao330+'[2]$ зима'!k330</f>
        <v>2</v>
      </c>
      <c r="I330" s="191" t="n">
        <f aca="false">'[2]$ зима'!ay330*1.1</f>
        <v>1232</v>
      </c>
      <c r="J330" s="171" t="n">
        <v>2017</v>
      </c>
    </row>
    <row r="331" customFormat="false" ht="15" hidden="true" customHeight="false" outlineLevel="0" collapsed="false">
      <c r="A331" s="188" t="s">
        <v>152</v>
      </c>
      <c r="B331" s="149" t="s">
        <v>574</v>
      </c>
      <c r="C331" s="148" t="s">
        <v>3249</v>
      </c>
      <c r="D331" s="148"/>
      <c r="E331" s="192" t="n">
        <v>88</v>
      </c>
      <c r="F331" s="192" t="s">
        <v>562</v>
      </c>
      <c r="G331" s="193" t="s">
        <v>576</v>
      </c>
      <c r="H331" s="105" t="n">
        <f aca="false">'[2]$ зима'!j331-'[2]$ зима'!au331-'[2]$ зима'!at331-'[2]$ зима'!as331-'[2]$ зима'!ar331-'[2]$ зима'!aq331-'[2]$ зима'!ap331-'[2]$ зима'!an331-'[2]$ зима'!am331-'[2]$ зима'!al331-'[2]$ зима'!ak331-'[2]$ зима'!aj331-'[2]$ зима'!ah331-'[2]$ зима'!ag331-'[2]$ зима'!af331-'[2]$ зима'!ae331-'[2]$ зима'!ad331-'[2]$ зима'!ab331-'[2]$ зима'!aa331-'[2]$ зима'!z331-'[2]$ зима'!y331-'[2]$ зима'!x331-'[2]$ зима'!v331-'[2]$ зима'!u331-'[2]$ зима'!t331-'[2]$ зима'!s331-'[2]$ зима'!r331-'[2]$ зима'!p331-'[2]$ зима'!o331-'[2]$ зима'!n331-'[2]$ зима'!m331-'[2]$ зима'!l331+'[2]$ зима'!q331+'[2]$ зима'!w331+'[2]$ зима'!ac331+'[2]$ зима'!ai331+'[2]$ зима'!ao331+'[2]$ зима'!k331</f>
        <v>0</v>
      </c>
      <c r="I331" s="191" t="n">
        <f aca="false">'[2]$ зима'!ay331*1.1</f>
        <v>1280.84</v>
      </c>
      <c r="J331" s="171" t="n">
        <v>2017</v>
      </c>
    </row>
    <row r="332" customFormat="false" ht="15" hidden="true" customHeight="false" outlineLevel="0" collapsed="false">
      <c r="A332" s="188" t="s">
        <v>152</v>
      </c>
      <c r="B332" s="149" t="s">
        <v>574</v>
      </c>
      <c r="C332" s="148" t="s">
        <v>3201</v>
      </c>
      <c r="D332" s="148"/>
      <c r="E332" s="148"/>
      <c r="F332" s="148"/>
      <c r="G332" s="193" t="s">
        <v>576</v>
      </c>
      <c r="H332" s="105" t="n">
        <f aca="false">'[2]$ зима'!j332-'[2]$ зима'!au332-'[2]$ зима'!at332-'[2]$ зима'!as332-'[2]$ зима'!ar332-'[2]$ зима'!aq332-'[2]$ зима'!ap332-'[2]$ зима'!an332-'[2]$ зима'!am332-'[2]$ зима'!al332-'[2]$ зима'!ak332-'[2]$ зима'!aj332-'[2]$ зима'!ah332-'[2]$ зима'!ag332-'[2]$ зима'!af332-'[2]$ зима'!ae332-'[2]$ зима'!ad332-'[2]$ зима'!ab332-'[2]$ зима'!aa332-'[2]$ зима'!z332-'[2]$ зима'!y332-'[2]$ зима'!x332-'[2]$ зима'!v332-'[2]$ зима'!u332-'[2]$ зима'!t332-'[2]$ зима'!s332-'[2]$ зима'!r332-'[2]$ зима'!p332-'[2]$ зима'!o332-'[2]$ зима'!n332-'[2]$ зима'!m332-'[2]$ зима'!l332+'[2]$ зима'!q332+'[2]$ зима'!w332+'[2]$ зима'!ac332+'[2]$ зима'!ai332+'[2]$ зима'!ao332+'[2]$ зима'!k332</f>
        <v>0</v>
      </c>
      <c r="I332" s="191" t="n">
        <f aca="false">'[2]$ зима'!ay332*1.1</f>
        <v>1182.94</v>
      </c>
    </row>
    <row r="333" customFormat="false" ht="15" hidden="false" customHeight="false" outlineLevel="0" collapsed="false">
      <c r="A333" s="188" t="s">
        <v>152</v>
      </c>
      <c r="B333" s="149" t="s">
        <v>577</v>
      </c>
      <c r="C333" s="148" t="s">
        <v>3251</v>
      </c>
      <c r="D333" s="148"/>
      <c r="E333" s="192" t="n">
        <v>88</v>
      </c>
      <c r="F333" s="192" t="s">
        <v>562</v>
      </c>
      <c r="G333" s="193" t="s">
        <v>563</v>
      </c>
      <c r="H333" s="105" t="n">
        <f aca="false">'[2]$ зима'!j333-'[2]$ зима'!au333-'[2]$ зима'!at333-'[2]$ зима'!as333-'[2]$ зима'!ar333-'[2]$ зима'!aq333-'[2]$ зима'!ap333-'[2]$ зима'!an333-'[2]$ зима'!am333-'[2]$ зима'!al333-'[2]$ зима'!ak333-'[2]$ зима'!aj333-'[2]$ зима'!ah333-'[2]$ зима'!ag333-'[2]$ зима'!af333-'[2]$ зима'!ae333-'[2]$ зима'!ad333-'[2]$ зима'!ab333-'[2]$ зима'!aa333-'[2]$ зима'!z333-'[2]$ зима'!y333-'[2]$ зима'!x333-'[2]$ зима'!v333-'[2]$ зима'!u333-'[2]$ зима'!t333-'[2]$ зима'!s333-'[2]$ зима'!r333-'[2]$ зима'!p333-'[2]$ зима'!o333-'[2]$ зима'!n333-'[2]$ зима'!m333-'[2]$ зима'!l333+'[2]$ зима'!q333+'[2]$ зима'!w333+'[2]$ зима'!ac333+'[2]$ зима'!ai333+'[2]$ зима'!ao333+'[2]$ зима'!k333</f>
        <v>4</v>
      </c>
      <c r="I333" s="191" t="n">
        <f aca="false">'[2]$ зима'!ay333*1.1</f>
        <v>1139.6</v>
      </c>
      <c r="J333" s="171" t="n">
        <v>2017</v>
      </c>
    </row>
    <row r="334" customFormat="false" ht="15" hidden="false" customHeight="false" outlineLevel="0" collapsed="false">
      <c r="A334" s="188" t="s">
        <v>152</v>
      </c>
      <c r="B334" s="149" t="s">
        <v>577</v>
      </c>
      <c r="C334" s="148" t="s">
        <v>3250</v>
      </c>
      <c r="D334" s="148"/>
      <c r="E334" s="192" t="n">
        <v>92</v>
      </c>
      <c r="F334" s="192" t="s">
        <v>3216</v>
      </c>
      <c r="G334" s="193" t="s">
        <v>563</v>
      </c>
      <c r="H334" s="105" t="n">
        <f aca="false">'[2]$ зима'!j334-'[2]$ зима'!au334-'[2]$ зима'!at334-'[2]$ зима'!as334-'[2]$ зима'!ar334-'[2]$ зима'!aq334-'[2]$ зима'!ap334-'[2]$ зима'!an334-'[2]$ зима'!am334-'[2]$ зима'!al334-'[2]$ зима'!ak334-'[2]$ зима'!aj334-'[2]$ зима'!ah334-'[2]$ зима'!ag334-'[2]$ зима'!af334-'[2]$ зима'!ae334-'[2]$ зима'!ad334-'[2]$ зима'!ab334-'[2]$ зима'!aa334-'[2]$ зима'!z334-'[2]$ зима'!y334-'[2]$ зима'!x334-'[2]$ зима'!v334-'[2]$ зима'!u334-'[2]$ зима'!t334-'[2]$ зима'!s334-'[2]$ зима'!r334-'[2]$ зима'!p334-'[2]$ зима'!o334-'[2]$ зима'!n334-'[2]$ зима'!m334-'[2]$ зима'!l334+'[2]$ зима'!q334+'[2]$ зима'!w334+'[2]$ зима'!ac334+'[2]$ зима'!ai334+'[2]$ зима'!ao334+'[2]$ зима'!k334</f>
        <v>6</v>
      </c>
      <c r="I334" s="191" t="n">
        <f aca="false">'[2]$ зима'!ay334*1.1</f>
        <v>1139.6</v>
      </c>
      <c r="J334" s="171" t="n">
        <v>2017</v>
      </c>
    </row>
    <row r="335" customFormat="false" ht="15" hidden="false" customHeight="false" outlineLevel="0" collapsed="false">
      <c r="A335" s="188" t="s">
        <v>152</v>
      </c>
      <c r="B335" s="149" t="s">
        <v>1471</v>
      </c>
      <c r="C335" s="148" t="s">
        <v>3129</v>
      </c>
      <c r="D335" s="148"/>
      <c r="E335" s="192"/>
      <c r="F335" s="192"/>
      <c r="G335" s="193"/>
      <c r="H335" s="105" t="n">
        <f aca="false">'[2]$ зима'!j335-'[2]$ зима'!au335-'[2]$ зима'!at335-'[2]$ зима'!as335-'[2]$ зима'!ar335-'[2]$ зима'!aq335-'[2]$ зима'!ap335-'[2]$ зима'!an335-'[2]$ зима'!am335-'[2]$ зима'!al335-'[2]$ зима'!ak335-'[2]$ зима'!aj335-'[2]$ зима'!ah335-'[2]$ зима'!ag335-'[2]$ зима'!af335-'[2]$ зима'!ae335-'[2]$ зима'!ad335-'[2]$ зима'!ab335-'[2]$ зима'!aa335-'[2]$ зима'!z335-'[2]$ зима'!y335-'[2]$ зима'!x335-'[2]$ зима'!v335-'[2]$ зима'!u335-'[2]$ зима'!t335-'[2]$ зима'!s335-'[2]$ зима'!r335-'[2]$ зима'!p335-'[2]$ зима'!o335-'[2]$ зима'!n335-'[2]$ зима'!m335-'[2]$ зима'!l335+'[2]$ зима'!q335+'[2]$ зима'!w335+'[2]$ зима'!ac335+'[2]$ зима'!ai335+'[2]$ зима'!ao335+'[2]$ зима'!k335</f>
        <v>2</v>
      </c>
      <c r="I335" s="191" t="n">
        <f aca="false">'[2]$ зима'!ay335*1.1</f>
        <v>1232</v>
      </c>
    </row>
    <row r="336" customFormat="false" ht="15" hidden="false" customHeight="false" outlineLevel="0" collapsed="false">
      <c r="A336" s="188" t="s">
        <v>152</v>
      </c>
      <c r="B336" s="149" t="s">
        <v>583</v>
      </c>
      <c r="C336" s="148" t="s">
        <v>3303</v>
      </c>
      <c r="D336" s="202"/>
      <c r="E336" s="211"/>
      <c r="F336" s="211"/>
      <c r="G336" s="203"/>
      <c r="H336" s="105" t="n">
        <f aca="false">'[2]$ зима'!j336-'[2]$ зима'!au336-'[2]$ зима'!at336-'[2]$ зима'!as336-'[2]$ зима'!ar336-'[2]$ зима'!aq336-'[2]$ зима'!ap336-'[2]$ зима'!an336-'[2]$ зима'!am336-'[2]$ зима'!al336-'[2]$ зима'!ak336-'[2]$ зима'!aj336-'[2]$ зима'!ah336-'[2]$ зима'!ag336-'[2]$ зима'!af336-'[2]$ зима'!ae336-'[2]$ зима'!ad336-'[2]$ зима'!ab336-'[2]$ зима'!aa336-'[2]$ зима'!z336-'[2]$ зима'!y336-'[2]$ зима'!x336-'[2]$ зима'!v336-'[2]$ зима'!u336-'[2]$ зима'!t336-'[2]$ зима'!s336-'[2]$ зима'!r336-'[2]$ зима'!p336-'[2]$ зима'!o336-'[2]$ зима'!n336-'[2]$ зима'!m336-'[2]$ зима'!l336+'[2]$ зима'!q336+'[2]$ зима'!w336+'[2]$ зима'!ac336+'[2]$ зима'!ai336+'[2]$ зима'!ao336+'[2]$ зима'!k336</f>
        <v>11</v>
      </c>
      <c r="I336" s="191" t="n">
        <f aca="false">'[2]$ зима'!ay336*1.1</f>
        <v>1139.6</v>
      </c>
    </row>
    <row r="337" customFormat="false" ht="15" hidden="false" customHeight="false" outlineLevel="0" collapsed="false">
      <c r="A337" s="188" t="s">
        <v>152</v>
      </c>
      <c r="B337" s="149" t="s">
        <v>613</v>
      </c>
      <c r="C337" s="148" t="s">
        <v>3166</v>
      </c>
      <c r="D337" s="148"/>
      <c r="E337" s="192" t="n">
        <v>92</v>
      </c>
      <c r="F337" s="192" t="s">
        <v>562</v>
      </c>
      <c r="G337" s="193"/>
      <c r="H337" s="105" t="n">
        <f aca="false">'[2]$ зима'!j337-'[2]$ зима'!au337-'[2]$ зима'!at337-'[2]$ зима'!as337-'[2]$ зима'!ar337-'[2]$ зима'!aq337-'[2]$ зима'!ap337-'[2]$ зима'!an337-'[2]$ зима'!am337-'[2]$ зима'!al337-'[2]$ зима'!ak337-'[2]$ зима'!aj337-'[2]$ зима'!ah337-'[2]$ зима'!ag337-'[2]$ зима'!af337-'[2]$ зима'!ae337-'[2]$ зима'!ad337-'[2]$ зима'!ab337-'[2]$ зима'!aa337-'[2]$ зима'!z337-'[2]$ зима'!y337-'[2]$ зима'!x337-'[2]$ зима'!v337-'[2]$ зима'!u337-'[2]$ зима'!t337-'[2]$ зима'!s337-'[2]$ зима'!r337-'[2]$ зима'!p337-'[2]$ зима'!o337-'[2]$ зима'!n337-'[2]$ зима'!m337-'[2]$ зима'!l337+'[2]$ зима'!q337+'[2]$ зима'!w337+'[2]$ зима'!ac337+'[2]$ зима'!ai337+'[2]$ зима'!ao337+'[2]$ зима'!k337</f>
        <v>20</v>
      </c>
      <c r="I337" s="191" t="n">
        <f aca="false">'[2]$ зима'!ay337*1.1</f>
        <v>1108.8</v>
      </c>
      <c r="J337" s="171" t="n">
        <v>2017</v>
      </c>
    </row>
    <row r="338" customFormat="false" ht="15" hidden="false" customHeight="false" outlineLevel="0" collapsed="false">
      <c r="A338" s="188" t="s">
        <v>152</v>
      </c>
      <c r="B338" s="149" t="s">
        <v>3203</v>
      </c>
      <c r="C338" s="148" t="s">
        <v>3204</v>
      </c>
      <c r="D338" s="202"/>
      <c r="E338" s="211"/>
      <c r="F338" s="211"/>
      <c r="G338" s="203"/>
      <c r="H338" s="105" t="n">
        <f aca="false">'[2]$ зима'!j338-'[2]$ зима'!au338-'[2]$ зима'!at338-'[2]$ зима'!as338-'[2]$ зима'!ar338-'[2]$ зима'!aq338-'[2]$ зима'!ap338-'[2]$ зима'!an338-'[2]$ зима'!am338-'[2]$ зима'!al338-'[2]$ зима'!ak338-'[2]$ зима'!aj338-'[2]$ зима'!ah338-'[2]$ зима'!ag338-'[2]$ зима'!af338-'[2]$ зима'!ae338-'[2]$ зима'!ad338-'[2]$ зима'!ab338-'[2]$ зима'!aa338-'[2]$ зима'!z338-'[2]$ зима'!y338-'[2]$ зима'!x338-'[2]$ зима'!v338-'[2]$ зима'!u338-'[2]$ зима'!t338-'[2]$ зима'!s338-'[2]$ зима'!r338-'[2]$ зима'!p338-'[2]$ зима'!o338-'[2]$ зима'!n338-'[2]$ зима'!m338-'[2]$ зима'!l338+'[2]$ зима'!q338+'[2]$ зима'!w338+'[2]$ зима'!ac338+'[2]$ зима'!ai338+'[2]$ зима'!ao338+'[2]$ зима'!k338</f>
        <v>2</v>
      </c>
      <c r="I338" s="191" t="n">
        <f aca="false">'[2]$ зима'!ay338*1.1</f>
        <v>770</v>
      </c>
    </row>
    <row r="339" customFormat="false" ht="15" hidden="true" customHeight="false" outlineLevel="0" collapsed="false">
      <c r="A339" s="188" t="s">
        <v>152</v>
      </c>
      <c r="B339" s="149" t="s">
        <v>593</v>
      </c>
      <c r="C339" s="148" t="s">
        <v>3304</v>
      </c>
      <c r="D339" s="148"/>
      <c r="E339" s="148" t="n">
        <v>92</v>
      </c>
      <c r="F339" s="148" t="s">
        <v>3216</v>
      </c>
      <c r="G339" s="193" t="s">
        <v>1954</v>
      </c>
      <c r="H339" s="105" t="n">
        <f aca="false">'[2]$ зима'!j339-'[2]$ зима'!au339-'[2]$ зима'!at339-'[2]$ зима'!as339-'[2]$ зима'!ar339-'[2]$ зима'!aq339-'[2]$ зима'!ap339-'[2]$ зима'!an339-'[2]$ зима'!am339-'[2]$ зима'!al339-'[2]$ зима'!ak339-'[2]$ зима'!aj339-'[2]$ зима'!ah339-'[2]$ зима'!ag339-'[2]$ зима'!af339-'[2]$ зима'!ae339-'[2]$ зима'!ad339-'[2]$ зима'!ab339-'[2]$ зима'!aa339-'[2]$ зима'!z339-'[2]$ зима'!y339-'[2]$ зима'!x339-'[2]$ зима'!v339-'[2]$ зима'!u339-'[2]$ зима'!t339-'[2]$ зима'!s339-'[2]$ зима'!r339-'[2]$ зима'!p339-'[2]$ зима'!o339-'[2]$ зима'!n339-'[2]$ зима'!m339-'[2]$ зима'!l339+'[2]$ зима'!q339+'[2]$ зима'!w339+'[2]$ зима'!ac339+'[2]$ зима'!ai339+'[2]$ зима'!ao339+'[2]$ зима'!k339</f>
        <v>0</v>
      </c>
      <c r="I339" s="191" t="n">
        <f aca="false">'[2]$ зима'!ay339*1.1</f>
        <v>1694</v>
      </c>
      <c r="J339" s="171" t="n">
        <v>2017</v>
      </c>
    </row>
    <row r="340" customFormat="false" ht="15" hidden="true" customHeight="false" outlineLevel="0" collapsed="false">
      <c r="A340" s="188" t="s">
        <v>152</v>
      </c>
      <c r="B340" s="149" t="s">
        <v>593</v>
      </c>
      <c r="C340" s="148" t="s">
        <v>3289</v>
      </c>
      <c r="D340" s="202"/>
      <c r="E340" s="202"/>
      <c r="F340" s="202"/>
      <c r="G340" s="203" t="s">
        <v>868</v>
      </c>
      <c r="H340" s="105" t="n">
        <f aca="false">'[2]$ зима'!j340-'[2]$ зима'!au340-'[2]$ зима'!at340-'[2]$ зима'!as340-'[2]$ зима'!ar340-'[2]$ зима'!aq340-'[2]$ зима'!ap340-'[2]$ зима'!an340-'[2]$ зима'!am340-'[2]$ зима'!al340-'[2]$ зима'!ak340-'[2]$ зима'!aj340-'[2]$ зима'!ah340-'[2]$ зима'!ag340-'[2]$ зима'!af340-'[2]$ зима'!ae340-'[2]$ зима'!ad340-'[2]$ зима'!ab340-'[2]$ зима'!aa340-'[2]$ зима'!z340-'[2]$ зима'!y340-'[2]$ зима'!x340-'[2]$ зима'!v340-'[2]$ зима'!u340-'[2]$ зима'!t340-'[2]$ зима'!s340-'[2]$ зима'!r340-'[2]$ зима'!p340-'[2]$ зима'!o340-'[2]$ зима'!n340-'[2]$ зима'!m340-'[2]$ зима'!l340+'[2]$ зима'!q340+'[2]$ зима'!w340+'[2]$ зима'!ac340+'[2]$ зима'!ai340+'[2]$ зима'!ao340+'[2]$ зима'!k340</f>
        <v>0</v>
      </c>
      <c r="I340" s="191" t="n">
        <f aca="false">'[2]$ зима'!ay340*1.1</f>
        <v>1601.6</v>
      </c>
    </row>
    <row r="341" customFormat="false" ht="15" hidden="false" customHeight="false" outlineLevel="0" collapsed="false">
      <c r="A341" s="188" t="s">
        <v>152</v>
      </c>
      <c r="B341" s="149" t="s">
        <v>586</v>
      </c>
      <c r="C341" s="148" t="s">
        <v>3305</v>
      </c>
      <c r="D341" s="202"/>
      <c r="E341" s="202" t="n">
        <v>88</v>
      </c>
      <c r="F341" s="211" t="s">
        <v>562</v>
      </c>
      <c r="G341" s="203" t="s">
        <v>520</v>
      </c>
      <c r="H341" s="105" t="n">
        <f aca="false">'[2]$ зима'!j341-'[2]$ зима'!au341-'[2]$ зима'!at341-'[2]$ зима'!as341-'[2]$ зима'!ar341-'[2]$ зима'!aq341-'[2]$ зима'!ap341-'[2]$ зима'!an341-'[2]$ зима'!am341-'[2]$ зима'!al341-'[2]$ зима'!ak341-'[2]$ зима'!aj341-'[2]$ зима'!ah341-'[2]$ зима'!ag341-'[2]$ зима'!af341-'[2]$ зима'!ae341-'[2]$ зима'!ad341-'[2]$ зима'!ab341-'[2]$ зима'!aa341-'[2]$ зима'!z341-'[2]$ зима'!y341-'[2]$ зима'!x341-'[2]$ зима'!v341-'[2]$ зима'!u341-'[2]$ зима'!t341-'[2]$ зима'!s341-'[2]$ зима'!r341-'[2]$ зима'!p341-'[2]$ зима'!o341-'[2]$ зима'!n341-'[2]$ зима'!m341-'[2]$ зима'!l341+'[2]$ зима'!q341+'[2]$ зима'!w341+'[2]$ зима'!ac341+'[2]$ зима'!ai341+'[2]$ зима'!ao341+'[2]$ зима'!k341</f>
        <v>8</v>
      </c>
      <c r="I341" s="191" t="n">
        <f aca="false">'[2]$ зима'!ay341*1.1</f>
        <v>1108.8</v>
      </c>
    </row>
    <row r="342" customFormat="false" ht="15" hidden="true" customHeight="false" outlineLevel="0" collapsed="false">
      <c r="A342" s="188" t="s">
        <v>152</v>
      </c>
      <c r="B342" s="149" t="s">
        <v>3142</v>
      </c>
      <c r="C342" s="148" t="s">
        <v>3255</v>
      </c>
      <c r="D342" s="148" t="s">
        <v>3127</v>
      </c>
      <c r="E342" s="202"/>
      <c r="F342" s="202"/>
      <c r="G342" s="203"/>
      <c r="H342" s="105" t="n">
        <f aca="false">'[2]$ зима'!j342-'[2]$ зима'!au342-'[2]$ зима'!at342-'[2]$ зима'!as342-'[2]$ зима'!ar342-'[2]$ зима'!aq342-'[2]$ зима'!ap342-'[2]$ зима'!an342-'[2]$ зима'!am342-'[2]$ зима'!al342-'[2]$ зима'!ak342-'[2]$ зима'!aj342-'[2]$ зима'!ah342-'[2]$ зима'!ag342-'[2]$ зима'!af342-'[2]$ зима'!ae342-'[2]$ зима'!ad342-'[2]$ зима'!ab342-'[2]$ зима'!aa342-'[2]$ зима'!z342-'[2]$ зима'!y342-'[2]$ зима'!x342-'[2]$ зима'!v342-'[2]$ зима'!u342-'[2]$ зима'!t342-'[2]$ зима'!s342-'[2]$ зима'!r342-'[2]$ зима'!p342-'[2]$ зима'!o342-'[2]$ зима'!n342-'[2]$ зима'!m342-'[2]$ зима'!l342+'[2]$ зима'!q342+'[2]$ зима'!w342+'[2]$ зима'!ac342+'[2]$ зима'!ai342+'[2]$ зима'!ao342+'[2]$ зима'!k342</f>
        <v>0</v>
      </c>
      <c r="I342" s="191" t="n">
        <f aca="false">'[2]$ зима'!ay342*1.1</f>
        <v>1078</v>
      </c>
    </row>
    <row r="343" customFormat="false" ht="15" hidden="false" customHeight="false" outlineLevel="0" collapsed="false">
      <c r="A343" s="188" t="s">
        <v>152</v>
      </c>
      <c r="B343" s="149" t="s">
        <v>762</v>
      </c>
      <c r="C343" s="148" t="s">
        <v>3261</v>
      </c>
      <c r="D343" s="148"/>
      <c r="E343" s="192" t="n">
        <v>88</v>
      </c>
      <c r="F343" s="192" t="s">
        <v>562</v>
      </c>
      <c r="G343" s="193"/>
      <c r="H343" s="105" t="n">
        <f aca="false">'[2]$ зима'!j343-'[2]$ зима'!au343-'[2]$ зима'!at343-'[2]$ зима'!as343-'[2]$ зима'!ar343-'[2]$ зима'!aq343-'[2]$ зима'!ap343-'[2]$ зима'!an343-'[2]$ зима'!am343-'[2]$ зима'!al343-'[2]$ зима'!ak343-'[2]$ зима'!aj343-'[2]$ зима'!ah343-'[2]$ зима'!ag343-'[2]$ зима'!af343-'[2]$ зима'!ae343-'[2]$ зима'!ad343-'[2]$ зима'!ab343-'[2]$ зима'!aa343-'[2]$ зима'!z343-'[2]$ зима'!y343-'[2]$ зима'!x343-'[2]$ зима'!v343-'[2]$ зима'!u343-'[2]$ зима'!t343-'[2]$ зима'!s343-'[2]$ зима'!r343-'[2]$ зима'!p343-'[2]$ зима'!o343-'[2]$ зима'!n343-'[2]$ зима'!m343-'[2]$ зима'!l343+'[2]$ зима'!q343+'[2]$ зима'!w343+'[2]$ зима'!ac343+'[2]$ зима'!ai343+'[2]$ зима'!ao343+'[2]$ зима'!k343</f>
        <v>8</v>
      </c>
      <c r="I343" s="191" t="n">
        <f aca="false">'[2]$ зима'!ay343*1.1</f>
        <v>1201.2</v>
      </c>
      <c r="J343" s="171" t="n">
        <v>2017</v>
      </c>
    </row>
    <row r="344" customFormat="false" ht="15" hidden="false" customHeight="false" outlineLevel="0" collapsed="false">
      <c r="A344" s="188" t="s">
        <v>152</v>
      </c>
      <c r="B344" s="149" t="s">
        <v>677</v>
      </c>
      <c r="C344" s="148" t="s">
        <v>3306</v>
      </c>
      <c r="D344" s="148"/>
      <c r="E344" s="192" t="n">
        <v>92</v>
      </c>
      <c r="F344" s="192" t="s">
        <v>3216</v>
      </c>
      <c r="G344" s="193"/>
      <c r="H344" s="105" t="n">
        <f aca="false">'[2]$ зима'!j344-'[2]$ зима'!au344-'[2]$ зима'!at344-'[2]$ зима'!as344-'[2]$ зима'!ar344-'[2]$ зима'!aq344-'[2]$ зима'!ap344-'[2]$ зима'!an344-'[2]$ зима'!am344-'[2]$ зима'!al344-'[2]$ зима'!ak344-'[2]$ зима'!aj344-'[2]$ зима'!ah344-'[2]$ зима'!ag344-'[2]$ зима'!af344-'[2]$ зима'!ae344-'[2]$ зима'!ad344-'[2]$ зима'!ab344-'[2]$ зима'!aa344-'[2]$ зима'!z344-'[2]$ зима'!y344-'[2]$ зима'!x344-'[2]$ зима'!v344-'[2]$ зима'!u344-'[2]$ зима'!t344-'[2]$ зима'!s344-'[2]$ зима'!r344-'[2]$ зима'!p344-'[2]$ зима'!o344-'[2]$ зима'!n344-'[2]$ зима'!m344-'[2]$ зима'!l344+'[2]$ зима'!q344+'[2]$ зима'!w344+'[2]$ зима'!ac344+'[2]$ зима'!ai344+'[2]$ зима'!ao344+'[2]$ зима'!k344</f>
        <v>12</v>
      </c>
      <c r="I344" s="191" t="n">
        <f aca="false">'[2]$ зима'!ay344*1.1</f>
        <v>1170.4</v>
      </c>
    </row>
    <row r="345" customFormat="false" ht="15" hidden="false" customHeight="false" outlineLevel="0" collapsed="false">
      <c r="A345" s="188" t="s">
        <v>152</v>
      </c>
      <c r="B345" s="149" t="s">
        <v>621</v>
      </c>
      <c r="C345" s="148" t="s">
        <v>3307</v>
      </c>
      <c r="D345" s="148"/>
      <c r="E345" s="192" t="n">
        <v>88</v>
      </c>
      <c r="F345" s="192" t="s">
        <v>562</v>
      </c>
      <c r="G345" s="193" t="s">
        <v>520</v>
      </c>
      <c r="H345" s="105" t="n">
        <f aca="false">'[2]$ зима'!j345-'[2]$ зима'!au345-'[2]$ зима'!at345-'[2]$ зима'!as345-'[2]$ зима'!ar345-'[2]$ зима'!aq345-'[2]$ зима'!ap345-'[2]$ зима'!an345-'[2]$ зима'!am345-'[2]$ зима'!al345-'[2]$ зима'!ak345-'[2]$ зима'!aj345-'[2]$ зима'!ah345-'[2]$ зима'!ag345-'[2]$ зима'!af345-'[2]$ зима'!ae345-'[2]$ зима'!ad345-'[2]$ зима'!ab345-'[2]$ зима'!aa345-'[2]$ зима'!z345-'[2]$ зима'!y345-'[2]$ зима'!x345-'[2]$ зима'!v345-'[2]$ зима'!u345-'[2]$ зима'!t345-'[2]$ зима'!s345-'[2]$ зима'!r345-'[2]$ зима'!p345-'[2]$ зима'!o345-'[2]$ зима'!n345-'[2]$ зима'!m345-'[2]$ зима'!l345+'[2]$ зима'!q345+'[2]$ зима'!w345+'[2]$ зима'!ac345+'[2]$ зима'!ai345+'[2]$ зима'!ao345+'[2]$ зима'!k345</f>
        <v>16</v>
      </c>
      <c r="I345" s="191" t="n">
        <f aca="false">'[2]$ зима'!ay345*1.1</f>
        <v>1155</v>
      </c>
      <c r="J345" s="171" t="n">
        <v>2018</v>
      </c>
    </row>
    <row r="346" customFormat="false" ht="15" hidden="false" customHeight="false" outlineLevel="0" collapsed="false">
      <c r="A346" s="188" t="s">
        <v>152</v>
      </c>
      <c r="B346" s="149" t="s">
        <v>589</v>
      </c>
      <c r="C346" s="148" t="s">
        <v>3224</v>
      </c>
      <c r="D346" s="24"/>
      <c r="E346" s="220" t="n">
        <v>88</v>
      </c>
      <c r="F346" s="220" t="s">
        <v>562</v>
      </c>
      <c r="G346" s="193" t="s">
        <v>626</v>
      </c>
      <c r="H346" s="105" t="n">
        <f aca="false">'[2]$ зима'!j346-'[2]$ зима'!au346-'[2]$ зима'!at346-'[2]$ зима'!as346-'[2]$ зима'!ar346-'[2]$ зима'!aq346-'[2]$ зима'!ap346-'[2]$ зима'!an346-'[2]$ зима'!am346-'[2]$ зима'!al346-'[2]$ зима'!ak346-'[2]$ зима'!aj346-'[2]$ зима'!ah346-'[2]$ зима'!ag346-'[2]$ зима'!af346-'[2]$ зима'!ae346-'[2]$ зима'!ad346-'[2]$ зима'!ab346-'[2]$ зима'!aa346-'[2]$ зима'!z346-'[2]$ зима'!y346-'[2]$ зима'!x346-'[2]$ зима'!v346-'[2]$ зима'!u346-'[2]$ зима'!t346-'[2]$ зима'!s346-'[2]$ зима'!r346-'[2]$ зима'!p346-'[2]$ зима'!o346-'[2]$ зима'!n346-'[2]$ зима'!m346-'[2]$ зима'!l346+'[2]$ зима'!q346+'[2]$ зима'!w346+'[2]$ зима'!ac346+'[2]$ зима'!ai346+'[2]$ зима'!ao346+'[2]$ зима'!k346</f>
        <v>4</v>
      </c>
      <c r="I346" s="191" t="n">
        <f aca="false">'[2]$ зима'!ay346*1.1</f>
        <v>1405.8</v>
      </c>
      <c r="J346" s="171" t="n">
        <v>2017</v>
      </c>
    </row>
    <row r="347" customFormat="false" ht="15" hidden="false" customHeight="false" outlineLevel="0" collapsed="false">
      <c r="A347" s="188" t="s">
        <v>152</v>
      </c>
      <c r="B347" s="149" t="s">
        <v>589</v>
      </c>
      <c r="C347" s="148" t="s">
        <v>3224</v>
      </c>
      <c r="D347" s="24" t="s">
        <v>3147</v>
      </c>
      <c r="E347" s="220" t="n">
        <v>88</v>
      </c>
      <c r="F347" s="220" t="s">
        <v>562</v>
      </c>
      <c r="G347" s="193" t="s">
        <v>626</v>
      </c>
      <c r="H347" s="105" t="n">
        <f aca="false">'[2]$ зима'!j347-'[2]$ зима'!au347-'[2]$ зима'!at347-'[2]$ зима'!as347-'[2]$ зима'!ar347-'[2]$ зима'!aq347-'[2]$ зима'!ap347-'[2]$ зима'!an347-'[2]$ зима'!am347-'[2]$ зима'!al347-'[2]$ зима'!ak347-'[2]$ зима'!aj347-'[2]$ зима'!ah347-'[2]$ зима'!ag347-'[2]$ зима'!af347-'[2]$ зима'!ae347-'[2]$ зима'!ad347-'[2]$ зима'!ab347-'[2]$ зима'!aa347-'[2]$ зима'!z347-'[2]$ зима'!y347-'[2]$ зима'!x347-'[2]$ зима'!v347-'[2]$ зима'!u347-'[2]$ зима'!t347-'[2]$ зима'!s347-'[2]$ зима'!r347-'[2]$ зима'!p347-'[2]$ зима'!o347-'[2]$ зима'!n347-'[2]$ зима'!m347-'[2]$ зима'!l347+'[2]$ зима'!q347+'[2]$ зима'!w347+'[2]$ зима'!ac347+'[2]$ зима'!ai347+'[2]$ зима'!ao347+'[2]$ зима'!k347</f>
        <v>10</v>
      </c>
      <c r="I347" s="191" t="n">
        <f aca="false">'[2]$ зима'!ay347*1.1</f>
        <v>1624.48</v>
      </c>
      <c r="J347" s="171" t="n">
        <v>2017</v>
      </c>
    </row>
    <row r="348" customFormat="false" ht="15" hidden="false" customHeight="false" outlineLevel="0" collapsed="false">
      <c r="A348" s="188" t="s">
        <v>152</v>
      </c>
      <c r="B348" s="149" t="s">
        <v>589</v>
      </c>
      <c r="C348" s="148" t="s">
        <v>3269</v>
      </c>
      <c r="D348" s="148"/>
      <c r="E348" s="148" t="n">
        <v>88</v>
      </c>
      <c r="F348" s="148" t="s">
        <v>3207</v>
      </c>
      <c r="G348" s="193" t="s">
        <v>626</v>
      </c>
      <c r="H348" s="105" t="n">
        <f aca="false">'[2]$ зима'!j348-'[2]$ зима'!au348-'[2]$ зима'!at348-'[2]$ зима'!as348-'[2]$ зима'!ar348-'[2]$ зима'!aq348-'[2]$ зима'!ap348-'[2]$ зима'!an348-'[2]$ зима'!am348-'[2]$ зима'!al348-'[2]$ зима'!ak348-'[2]$ зима'!aj348-'[2]$ зима'!ah348-'[2]$ зима'!ag348-'[2]$ зима'!af348-'[2]$ зима'!ae348-'[2]$ зима'!ad348-'[2]$ зима'!ab348-'[2]$ зима'!aa348-'[2]$ зима'!z348-'[2]$ зима'!y348-'[2]$ зима'!x348-'[2]$ зима'!v348-'[2]$ зима'!u348-'[2]$ зима'!t348-'[2]$ зима'!s348-'[2]$ зима'!r348-'[2]$ зима'!p348-'[2]$ зима'!o348-'[2]$ зима'!n348-'[2]$ зима'!m348-'[2]$ зима'!l348+'[2]$ зима'!q348+'[2]$ зима'!w348+'[2]$ зима'!ac348+'[2]$ зима'!ai348+'[2]$ зима'!ao348+'[2]$ зима'!k348</f>
        <v>16</v>
      </c>
      <c r="I348" s="191" t="n">
        <f aca="false">'[2]$ зима'!ay348*1.1</f>
        <v>1556.5</v>
      </c>
      <c r="J348" s="171" t="n">
        <v>2018</v>
      </c>
    </row>
    <row r="349" customFormat="false" ht="15" hidden="false" customHeight="false" outlineLevel="0" collapsed="false">
      <c r="A349" s="188" t="s">
        <v>152</v>
      </c>
      <c r="B349" s="149" t="s">
        <v>564</v>
      </c>
      <c r="C349" s="148" t="s">
        <v>3308</v>
      </c>
      <c r="D349" s="148"/>
      <c r="E349" s="192"/>
      <c r="F349" s="192"/>
      <c r="G349" s="193"/>
      <c r="H349" s="105" t="n">
        <f aca="false">'[2]$ зима'!j349-'[2]$ зима'!au349-'[2]$ зима'!at349-'[2]$ зима'!as349-'[2]$ зима'!ar349-'[2]$ зима'!aq349-'[2]$ зима'!ap349-'[2]$ зима'!an349-'[2]$ зима'!am349-'[2]$ зима'!al349-'[2]$ зима'!ak349-'[2]$ зима'!aj349-'[2]$ зима'!ah349-'[2]$ зима'!ag349-'[2]$ зима'!af349-'[2]$ зима'!ae349-'[2]$ зима'!ad349-'[2]$ зима'!ab349-'[2]$ зима'!aa349-'[2]$ зима'!z349-'[2]$ зима'!y349-'[2]$ зима'!x349-'[2]$ зима'!v349-'[2]$ зима'!u349-'[2]$ зима'!t349-'[2]$ зима'!s349-'[2]$ зима'!r349-'[2]$ зима'!p349-'[2]$ зима'!o349-'[2]$ зима'!n349-'[2]$ зима'!m349-'[2]$ зима'!l349+'[2]$ зима'!q349+'[2]$ зима'!w349+'[2]$ зима'!ac349+'[2]$ зима'!ai349+'[2]$ зима'!ao349+'[2]$ зима'!k349</f>
        <v>2</v>
      </c>
      <c r="I349" s="191" t="n">
        <f aca="false">'[2]$ зима'!ay349*1.1</f>
        <v>1078</v>
      </c>
    </row>
    <row r="350" customFormat="false" ht="15" hidden="true" customHeight="false" outlineLevel="0" collapsed="false">
      <c r="A350" s="188" t="s">
        <v>152</v>
      </c>
      <c r="B350" s="149" t="s">
        <v>1028</v>
      </c>
      <c r="C350" s="148" t="s">
        <v>3177</v>
      </c>
      <c r="D350" s="148"/>
      <c r="E350" s="148"/>
      <c r="F350" s="148"/>
      <c r="G350" s="193"/>
      <c r="H350" s="105" t="n">
        <f aca="false">'[2]$ зима'!j350-'[2]$ зима'!au350-'[2]$ зима'!at350-'[2]$ зима'!as350-'[2]$ зима'!ar350-'[2]$ зима'!aq350-'[2]$ зима'!ap350-'[2]$ зима'!an350-'[2]$ зима'!am350-'[2]$ зима'!al350-'[2]$ зима'!ak350-'[2]$ зима'!aj350-'[2]$ зима'!ah350-'[2]$ зима'!ag350-'[2]$ зима'!af350-'[2]$ зима'!ae350-'[2]$ зима'!ad350-'[2]$ зима'!ab350-'[2]$ зима'!aa350-'[2]$ зима'!z350-'[2]$ зима'!y350-'[2]$ зима'!x350-'[2]$ зима'!v350-'[2]$ зима'!u350-'[2]$ зима'!t350-'[2]$ зима'!s350-'[2]$ зима'!r350-'[2]$ зима'!p350-'[2]$ зима'!o350-'[2]$ зима'!n350-'[2]$ зима'!m350-'[2]$ зима'!l350+'[2]$ зима'!q350+'[2]$ зима'!w350+'[2]$ зима'!ac350+'[2]$ зима'!ai350+'[2]$ зима'!ao350+'[2]$ зима'!k350</f>
        <v>0</v>
      </c>
      <c r="I350" s="191" t="n">
        <f aca="false">'[2]$ зима'!ay350*1.1</f>
        <v>1540</v>
      </c>
    </row>
    <row r="351" customFormat="false" ht="15" hidden="false" customHeight="false" outlineLevel="0" collapsed="false">
      <c r="A351" s="188" t="s">
        <v>879</v>
      </c>
      <c r="B351" s="149" t="s">
        <v>583</v>
      </c>
      <c r="C351" s="148" t="s">
        <v>3303</v>
      </c>
      <c r="D351" s="148"/>
      <c r="E351" s="192"/>
      <c r="F351" s="192"/>
      <c r="G351" s="193"/>
      <c r="H351" s="105" t="n">
        <f aca="false">'[2]$ зима'!j351-'[2]$ зима'!au351-'[2]$ зима'!at351-'[2]$ зима'!as351-'[2]$ зима'!ar351-'[2]$ зима'!aq351-'[2]$ зима'!ap351-'[2]$ зима'!an351-'[2]$ зима'!am351-'[2]$ зима'!al351-'[2]$ зима'!ak351-'[2]$ зима'!aj351-'[2]$ зима'!ah351-'[2]$ зима'!ag351-'[2]$ зима'!af351-'[2]$ зима'!ae351-'[2]$ зима'!ad351-'[2]$ зима'!ab351-'[2]$ зима'!aa351-'[2]$ зима'!z351-'[2]$ зима'!y351-'[2]$ зима'!x351-'[2]$ зима'!v351-'[2]$ зима'!u351-'[2]$ зима'!t351-'[2]$ зима'!s351-'[2]$ зима'!r351-'[2]$ зима'!p351-'[2]$ зима'!o351-'[2]$ зима'!n351-'[2]$ зима'!m351-'[2]$ зима'!l351+'[2]$ зима'!q351+'[2]$ зима'!w351+'[2]$ зима'!ac351+'[2]$ зима'!ai351+'[2]$ зима'!ao351+'[2]$ зима'!k351</f>
        <v>10</v>
      </c>
      <c r="I351" s="191" t="n">
        <f aca="false">'[2]$ зима'!ay351*1.1</f>
        <v>1262.8</v>
      </c>
      <c r="J351" s="171" t="n">
        <v>2017</v>
      </c>
    </row>
    <row r="352" customFormat="false" ht="15" hidden="false" customHeight="false" outlineLevel="0" collapsed="false">
      <c r="A352" s="188" t="s">
        <v>159</v>
      </c>
      <c r="B352" s="149" t="s">
        <v>991</v>
      </c>
      <c r="C352" s="148" t="s">
        <v>3189</v>
      </c>
      <c r="D352" s="148"/>
      <c r="E352" s="192"/>
      <c r="F352" s="192"/>
      <c r="G352" s="193"/>
      <c r="H352" s="105" t="n">
        <f aca="false">'[2]$ зима'!j352-'[2]$ зима'!au352-'[2]$ зима'!at352-'[2]$ зима'!as352-'[2]$ зима'!ar352-'[2]$ зима'!aq352-'[2]$ зима'!ap352-'[2]$ зима'!an352-'[2]$ зима'!am352-'[2]$ зима'!al352-'[2]$ зима'!ak352-'[2]$ зима'!aj352-'[2]$ зима'!ah352-'[2]$ зима'!ag352-'[2]$ зима'!af352-'[2]$ зима'!ae352-'[2]$ зима'!ad352-'[2]$ зима'!ab352-'[2]$ зима'!aa352-'[2]$ зима'!z352-'[2]$ зима'!y352-'[2]$ зима'!x352-'[2]$ зима'!v352-'[2]$ зима'!u352-'[2]$ зима'!t352-'[2]$ зима'!s352-'[2]$ зима'!r352-'[2]$ зима'!p352-'[2]$ зима'!o352-'[2]$ зима'!n352-'[2]$ зима'!m352-'[2]$ зима'!l352+'[2]$ зима'!q352+'[2]$ зима'!w352+'[2]$ зима'!ac352+'[2]$ зима'!ai352+'[2]$ зима'!ao352+'[2]$ зима'!k352</f>
        <v>4</v>
      </c>
      <c r="I352" s="191" t="n">
        <f aca="false">'[2]$ зима'!ay352*1.1</f>
        <v>1232</v>
      </c>
    </row>
    <row r="353" customFormat="false" ht="15" hidden="false" customHeight="false" outlineLevel="0" collapsed="false">
      <c r="A353" s="188" t="s">
        <v>159</v>
      </c>
      <c r="B353" s="149" t="s">
        <v>991</v>
      </c>
      <c r="C353" s="148" t="s">
        <v>3283</v>
      </c>
      <c r="D353" s="148" t="s">
        <v>3127</v>
      </c>
      <c r="E353" s="192"/>
      <c r="F353" s="192"/>
      <c r="G353" s="193"/>
      <c r="H353" s="105" t="n">
        <f aca="false">'[2]$ зима'!j353-'[2]$ зима'!au353-'[2]$ зима'!at353-'[2]$ зима'!as353-'[2]$ зима'!ar353-'[2]$ зима'!aq353-'[2]$ зима'!ap353-'[2]$ зима'!an353-'[2]$ зима'!am353-'[2]$ зима'!al353-'[2]$ зима'!ak353-'[2]$ зима'!aj353-'[2]$ зима'!ah353-'[2]$ зима'!ag353-'[2]$ зима'!af353-'[2]$ зима'!ae353-'[2]$ зима'!ad353-'[2]$ зима'!ab353-'[2]$ зима'!aa353-'[2]$ зима'!z353-'[2]$ зима'!y353-'[2]$ зима'!x353-'[2]$ зима'!v353-'[2]$ зима'!u353-'[2]$ зима'!t353-'[2]$ зима'!s353-'[2]$ зима'!r353-'[2]$ зима'!p353-'[2]$ зима'!o353-'[2]$ зима'!n353-'[2]$ зима'!m353-'[2]$ зима'!l353+'[2]$ зима'!q353+'[2]$ зима'!w353+'[2]$ зима'!ac353+'[2]$ зима'!ai353+'[2]$ зима'!ao353+'[2]$ зима'!k353</f>
        <v>2</v>
      </c>
      <c r="I353" s="191" t="n">
        <f aca="false">'[2]$ зима'!ay353*1.1</f>
        <v>1293.6</v>
      </c>
    </row>
    <row r="354" customFormat="false" ht="15" hidden="true" customHeight="false" outlineLevel="0" collapsed="false">
      <c r="A354" s="188" t="s">
        <v>159</v>
      </c>
      <c r="B354" s="149" t="s">
        <v>601</v>
      </c>
      <c r="C354" s="148" t="s">
        <v>3228</v>
      </c>
      <c r="D354" s="148"/>
      <c r="E354" s="148"/>
      <c r="F354" s="148"/>
      <c r="G354" s="193"/>
      <c r="H354" s="105" t="n">
        <f aca="false">'[2]$ зима'!j354-'[2]$ зима'!au354-'[2]$ зима'!at354-'[2]$ зима'!as354-'[2]$ зима'!ar354-'[2]$ зима'!aq354-'[2]$ зима'!ap354-'[2]$ зима'!an354-'[2]$ зима'!am354-'[2]$ зима'!al354-'[2]$ зима'!ak354-'[2]$ зима'!aj354-'[2]$ зима'!ah354-'[2]$ зима'!ag354-'[2]$ зима'!af354-'[2]$ зима'!ae354-'[2]$ зима'!ad354-'[2]$ зима'!ab354-'[2]$ зима'!aa354-'[2]$ зима'!z354-'[2]$ зима'!y354-'[2]$ зима'!x354-'[2]$ зима'!v354-'[2]$ зима'!u354-'[2]$ зима'!t354-'[2]$ зима'!s354-'[2]$ зима'!r354-'[2]$ зима'!p354-'[2]$ зима'!o354-'[2]$ зима'!n354-'[2]$ зима'!m354-'[2]$ зима'!l354+'[2]$ зима'!q354+'[2]$ зима'!w354+'[2]$ зима'!ac354+'[2]$ зима'!ai354+'[2]$ зима'!ao354+'[2]$ зима'!k354</f>
        <v>0</v>
      </c>
      <c r="I354" s="191" t="n">
        <f aca="false">'[2]$ зима'!ay354*1.1</f>
        <v>1663.2</v>
      </c>
    </row>
    <row r="355" customFormat="false" ht="15" hidden="true" customHeight="false" outlineLevel="0" collapsed="false">
      <c r="A355" s="188" t="s">
        <v>159</v>
      </c>
      <c r="B355" s="149" t="s">
        <v>601</v>
      </c>
      <c r="C355" s="148" t="s">
        <v>3150</v>
      </c>
      <c r="D355" s="148"/>
      <c r="E355" s="148"/>
      <c r="F355" s="148"/>
      <c r="G355" s="193"/>
      <c r="H355" s="105" t="n">
        <f aca="false">'[2]$ зима'!j355-'[2]$ зима'!au355-'[2]$ зима'!at355-'[2]$ зима'!as355-'[2]$ зима'!ar355-'[2]$ зима'!aq355-'[2]$ зима'!ap355-'[2]$ зима'!an355-'[2]$ зима'!am355-'[2]$ зима'!al355-'[2]$ зима'!ak355-'[2]$ зима'!aj355-'[2]$ зима'!ah355-'[2]$ зима'!ag355-'[2]$ зима'!af355-'[2]$ зима'!ae355-'[2]$ зима'!ad355-'[2]$ зима'!ab355-'[2]$ зима'!aa355-'[2]$ зима'!z355-'[2]$ зима'!y355-'[2]$ зима'!x355-'[2]$ зима'!v355-'[2]$ зима'!u355-'[2]$ зима'!t355-'[2]$ зима'!s355-'[2]$ зима'!r355-'[2]$ зима'!p355-'[2]$ зима'!o355-'[2]$ зима'!n355-'[2]$ зима'!m355-'[2]$ зима'!l355+'[2]$ зима'!q355+'[2]$ зима'!w355+'[2]$ зима'!ac355+'[2]$ зима'!ai355+'[2]$ зима'!ao355+'[2]$ зима'!k355</f>
        <v>0</v>
      </c>
      <c r="I355" s="191" t="n">
        <f aca="false">'[2]$ зима'!ay355*1.1</f>
        <v>1909.6</v>
      </c>
    </row>
    <row r="356" customFormat="false" ht="15" hidden="false" customHeight="false" outlineLevel="0" collapsed="false">
      <c r="A356" s="210" t="s">
        <v>159</v>
      </c>
      <c r="B356" s="149" t="s">
        <v>606</v>
      </c>
      <c r="C356" s="148" t="s">
        <v>3309</v>
      </c>
      <c r="D356" s="148"/>
      <c r="E356" s="192"/>
      <c r="F356" s="192"/>
      <c r="G356" s="193"/>
      <c r="H356" s="105" t="n">
        <f aca="false">'[2]$ зима'!j356-'[2]$ зима'!au356-'[2]$ зима'!at356-'[2]$ зима'!as356-'[2]$ зима'!ar356-'[2]$ зима'!aq356-'[2]$ зима'!ap356-'[2]$ зима'!an356-'[2]$ зима'!am356-'[2]$ зима'!al356-'[2]$ зима'!ak356-'[2]$ зима'!aj356-'[2]$ зима'!ah356-'[2]$ зима'!ag356-'[2]$ зима'!af356-'[2]$ зима'!ae356-'[2]$ зима'!ad356-'[2]$ зима'!ab356-'[2]$ зима'!aa356-'[2]$ зима'!z356-'[2]$ зима'!y356-'[2]$ зима'!x356-'[2]$ зима'!v356-'[2]$ зима'!u356-'[2]$ зима'!t356-'[2]$ зима'!s356-'[2]$ зима'!r356-'[2]$ зима'!p356-'[2]$ зима'!o356-'[2]$ зима'!n356-'[2]$ зима'!m356-'[2]$ зима'!l356+'[2]$ зима'!q356+'[2]$ зима'!w356+'[2]$ зима'!ac356+'[2]$ зима'!ai356+'[2]$ зима'!ao356+'[2]$ зима'!k356</f>
        <v>6</v>
      </c>
      <c r="I356" s="191" t="n">
        <f aca="false">'[2]$ зима'!ay356*1.1</f>
        <v>1663.2</v>
      </c>
    </row>
    <row r="357" customFormat="false" ht="15" hidden="true" customHeight="false" outlineLevel="0" collapsed="false">
      <c r="A357" s="210" t="s">
        <v>159</v>
      </c>
      <c r="B357" s="149" t="s">
        <v>606</v>
      </c>
      <c r="C357" s="148" t="s">
        <v>3310</v>
      </c>
      <c r="D357" s="148"/>
      <c r="E357" s="148"/>
      <c r="F357" s="148"/>
      <c r="G357" s="193"/>
      <c r="H357" s="105" t="n">
        <f aca="false">'[2]$ зима'!j357-'[2]$ зима'!au357-'[2]$ зима'!at357-'[2]$ зима'!as357-'[2]$ зима'!ar357-'[2]$ зима'!aq357-'[2]$ зима'!ap357-'[2]$ зима'!an357-'[2]$ зима'!am357-'[2]$ зима'!al357-'[2]$ зима'!ak357-'[2]$ зима'!aj357-'[2]$ зима'!ah357-'[2]$ зима'!ag357-'[2]$ зима'!af357-'[2]$ зима'!ae357-'[2]$ зима'!ad357-'[2]$ зима'!ab357-'[2]$ зима'!aa357-'[2]$ зима'!z357-'[2]$ зима'!y357-'[2]$ зима'!x357-'[2]$ зима'!v357-'[2]$ зима'!u357-'[2]$ зима'!t357-'[2]$ зима'!s357-'[2]$ зима'!r357-'[2]$ зима'!p357-'[2]$ зима'!o357-'[2]$ зима'!n357-'[2]$ зима'!m357-'[2]$ зима'!l357+'[2]$ зима'!q357+'[2]$ зима'!w357+'[2]$ зима'!ac357+'[2]$ зима'!ai357+'[2]$ зима'!ao357+'[2]$ зима'!k357</f>
        <v>0</v>
      </c>
      <c r="I357" s="191" t="n">
        <f aca="false">'[2]$ зима'!ay357*1.1</f>
        <v>1632.4</v>
      </c>
    </row>
    <row r="358" customFormat="false" ht="15" hidden="false" customHeight="false" outlineLevel="0" collapsed="false">
      <c r="A358" s="210" t="s">
        <v>159</v>
      </c>
      <c r="B358" s="149" t="s">
        <v>3311</v>
      </c>
      <c r="C358" s="148" t="s">
        <v>3312</v>
      </c>
      <c r="D358" s="148"/>
      <c r="E358" s="192"/>
      <c r="F358" s="192"/>
      <c r="G358" s="193"/>
      <c r="H358" s="105" t="n">
        <f aca="false">'[2]$ зима'!j358-'[2]$ зима'!au358-'[2]$ зима'!at358-'[2]$ зима'!as358-'[2]$ зима'!ar358-'[2]$ зима'!aq358-'[2]$ зима'!ap358-'[2]$ зима'!an358-'[2]$ зима'!am358-'[2]$ зима'!al358-'[2]$ зима'!ak358-'[2]$ зима'!aj358-'[2]$ зима'!ah358-'[2]$ зима'!ag358-'[2]$ зима'!af358-'[2]$ зима'!ae358-'[2]$ зима'!ad358-'[2]$ зима'!ab358-'[2]$ зима'!aa358-'[2]$ зима'!z358-'[2]$ зима'!y358-'[2]$ зима'!x358-'[2]$ зима'!v358-'[2]$ зима'!u358-'[2]$ зима'!t358-'[2]$ зима'!s358-'[2]$ зима'!r358-'[2]$ зима'!p358-'[2]$ зима'!o358-'[2]$ зима'!n358-'[2]$ зима'!m358-'[2]$ зима'!l358+'[2]$ зима'!q358+'[2]$ зима'!w358+'[2]$ зима'!ac358+'[2]$ зима'!ai358+'[2]$ зима'!ao358+'[2]$ зима'!k358</f>
        <v>6</v>
      </c>
      <c r="I358" s="191" t="n">
        <f aca="false">'[2]$ зима'!ay358*1.1</f>
        <v>1293.6</v>
      </c>
    </row>
    <row r="359" customFormat="false" ht="15" hidden="true" customHeight="false" outlineLevel="0" collapsed="false">
      <c r="A359" s="210" t="s">
        <v>159</v>
      </c>
      <c r="B359" s="198" t="s">
        <v>668</v>
      </c>
      <c r="C359" s="148" t="s">
        <v>3232</v>
      </c>
      <c r="D359" s="148"/>
      <c r="E359" s="148"/>
      <c r="F359" s="148"/>
      <c r="G359" s="193"/>
      <c r="H359" s="105" t="n">
        <f aca="false">'[2]$ зима'!j359-'[2]$ зима'!au359-'[2]$ зима'!at359-'[2]$ зима'!as359-'[2]$ зима'!ar359-'[2]$ зима'!aq359-'[2]$ зима'!ap359-'[2]$ зима'!an359-'[2]$ зима'!am359-'[2]$ зима'!al359-'[2]$ зима'!ak359-'[2]$ зима'!aj359-'[2]$ зима'!ah359-'[2]$ зима'!ag359-'[2]$ зима'!af359-'[2]$ зима'!ae359-'[2]$ зима'!ad359-'[2]$ зима'!ab359-'[2]$ зима'!aa359-'[2]$ зима'!z359-'[2]$ зима'!y359-'[2]$ зима'!x359-'[2]$ зима'!v359-'[2]$ зима'!u359-'[2]$ зима'!t359-'[2]$ зима'!s359-'[2]$ зима'!r359-'[2]$ зима'!p359-'[2]$ зима'!o359-'[2]$ зима'!n359-'[2]$ зима'!m359-'[2]$ зима'!l359+'[2]$ зима'!q359+'[2]$ зима'!w359+'[2]$ зима'!ac359+'[2]$ зима'!ai359+'[2]$ зима'!ao359+'[2]$ зима'!k359</f>
        <v>0</v>
      </c>
      <c r="I359" s="191" t="n">
        <f aca="false">'[2]$ зима'!ay359*1.1</f>
        <v>1078</v>
      </c>
    </row>
    <row r="360" customFormat="false" ht="15" hidden="false" customHeight="false" outlineLevel="0" collapsed="false">
      <c r="A360" s="210" t="s">
        <v>159</v>
      </c>
      <c r="B360" s="198" t="s">
        <v>668</v>
      </c>
      <c r="C360" s="194" t="s">
        <v>3182</v>
      </c>
      <c r="D360" s="148"/>
      <c r="E360" s="192"/>
      <c r="F360" s="192"/>
      <c r="G360" s="193"/>
      <c r="H360" s="105" t="n">
        <f aca="false">'[2]$ зима'!j360-'[2]$ зима'!au360-'[2]$ зима'!at360-'[2]$ зима'!as360-'[2]$ зима'!ar360-'[2]$ зима'!aq360-'[2]$ зима'!ap360-'[2]$ зима'!an360-'[2]$ зима'!am360-'[2]$ зима'!al360-'[2]$ зима'!ak360-'[2]$ зима'!aj360-'[2]$ зима'!ah360-'[2]$ зима'!ag360-'[2]$ зима'!af360-'[2]$ зима'!ae360-'[2]$ зима'!ad360-'[2]$ зима'!ab360-'[2]$ зима'!aa360-'[2]$ зима'!z360-'[2]$ зима'!y360-'[2]$ зима'!x360-'[2]$ зима'!v360-'[2]$ зима'!u360-'[2]$ зима'!t360-'[2]$ зима'!s360-'[2]$ зима'!r360-'[2]$ зима'!p360-'[2]$ зима'!o360-'[2]$ зима'!n360-'[2]$ зима'!m360-'[2]$ зима'!l360+'[2]$ зима'!q360+'[2]$ зима'!w360+'[2]$ зима'!ac360+'[2]$ зима'!ai360+'[2]$ зима'!ao360+'[2]$ зима'!k360</f>
        <v>4</v>
      </c>
      <c r="I360" s="191" t="n">
        <f aca="false">'[2]$ зима'!ay360*1.1</f>
        <v>1601.6</v>
      </c>
    </row>
    <row r="361" customFormat="false" ht="15" hidden="true" customHeight="false" outlineLevel="0" collapsed="false">
      <c r="A361" s="188" t="s">
        <v>159</v>
      </c>
      <c r="B361" s="149" t="s">
        <v>1471</v>
      </c>
      <c r="C361" s="148" t="s">
        <v>3202</v>
      </c>
      <c r="D361" s="148"/>
      <c r="E361" s="148"/>
      <c r="F361" s="148"/>
      <c r="G361" s="193"/>
      <c r="H361" s="105" t="n">
        <f aca="false">'[2]$ зима'!j361-'[2]$ зима'!au361-'[2]$ зима'!at361-'[2]$ зима'!as361-'[2]$ зима'!ar361-'[2]$ зима'!aq361-'[2]$ зима'!ap361-'[2]$ зима'!an361-'[2]$ зима'!am361-'[2]$ зима'!al361-'[2]$ зима'!ak361-'[2]$ зима'!aj361-'[2]$ зима'!ah361-'[2]$ зима'!ag361-'[2]$ зима'!af361-'[2]$ зима'!ae361-'[2]$ зима'!ad361-'[2]$ зима'!ab361-'[2]$ зима'!aa361-'[2]$ зима'!z361-'[2]$ зима'!y361-'[2]$ зима'!x361-'[2]$ зима'!v361-'[2]$ зима'!u361-'[2]$ зима'!t361-'[2]$ зима'!s361-'[2]$ зима'!r361-'[2]$ зима'!p361-'[2]$ зима'!o361-'[2]$ зима'!n361-'[2]$ зима'!m361-'[2]$ зима'!l361+'[2]$ зима'!q361+'[2]$ зима'!w361+'[2]$ зима'!ac361+'[2]$ зима'!ai361+'[2]$ зима'!ao361+'[2]$ зима'!k361</f>
        <v>0</v>
      </c>
      <c r="I361" s="191" t="n">
        <f aca="false">'[2]$ зима'!ay361*1.1</f>
        <v>1509.2</v>
      </c>
    </row>
    <row r="362" customFormat="false" ht="15" hidden="false" customHeight="false" outlineLevel="0" collapsed="false">
      <c r="A362" s="188" t="s">
        <v>159</v>
      </c>
      <c r="B362" s="149" t="s">
        <v>583</v>
      </c>
      <c r="C362" s="148" t="s">
        <v>3313</v>
      </c>
      <c r="D362" s="148"/>
      <c r="E362" s="192"/>
      <c r="F362" s="192"/>
      <c r="G362" s="193"/>
      <c r="H362" s="105" t="n">
        <f aca="false">'[2]$ зима'!j362-'[2]$ зима'!au362-'[2]$ зима'!at362-'[2]$ зима'!as362-'[2]$ зима'!ar362-'[2]$ зима'!aq362-'[2]$ зима'!ap362-'[2]$ зима'!an362-'[2]$ зима'!am362-'[2]$ зима'!al362-'[2]$ зима'!ak362-'[2]$ зима'!aj362-'[2]$ зима'!ah362-'[2]$ зима'!ag362-'[2]$ зима'!af362-'[2]$ зима'!ae362-'[2]$ зима'!ad362-'[2]$ зима'!ab362-'[2]$ зима'!aa362-'[2]$ зима'!z362-'[2]$ зима'!y362-'[2]$ зима'!x362-'[2]$ зима'!v362-'[2]$ зима'!u362-'[2]$ зима'!t362-'[2]$ зима'!s362-'[2]$ зима'!r362-'[2]$ зима'!p362-'[2]$ зима'!o362-'[2]$ зима'!n362-'[2]$ зима'!m362-'[2]$ зима'!l362+'[2]$ зима'!q362+'[2]$ зима'!w362+'[2]$ зима'!ac362+'[2]$ зима'!ai362+'[2]$ зима'!ao362+'[2]$ зима'!k362</f>
        <v>4</v>
      </c>
      <c r="I362" s="191" t="n">
        <f aca="false">'[2]$ зима'!ay362*1.1</f>
        <v>1293.6</v>
      </c>
    </row>
    <row r="363" customFormat="false" ht="15" hidden="true" customHeight="false" outlineLevel="0" collapsed="false">
      <c r="A363" s="188" t="s">
        <v>159</v>
      </c>
      <c r="B363" s="149" t="s">
        <v>593</v>
      </c>
      <c r="C363" s="148" t="s">
        <v>3236</v>
      </c>
      <c r="D363" s="148"/>
      <c r="E363" s="148"/>
      <c r="F363" s="148"/>
      <c r="G363" s="193"/>
      <c r="H363" s="105" t="n">
        <f aca="false">'[2]$ зима'!j363-'[2]$ зима'!au363-'[2]$ зима'!at363-'[2]$ зима'!as363-'[2]$ зима'!ar363-'[2]$ зима'!aq363-'[2]$ зима'!ap363-'[2]$ зима'!an363-'[2]$ зима'!am363-'[2]$ зима'!al363-'[2]$ зима'!ak363-'[2]$ зима'!aj363-'[2]$ зима'!ah363-'[2]$ зима'!ag363-'[2]$ зима'!af363-'[2]$ зима'!ae363-'[2]$ зима'!ad363-'[2]$ зима'!ab363-'[2]$ зима'!aa363-'[2]$ зима'!z363-'[2]$ зима'!y363-'[2]$ зима'!x363-'[2]$ зима'!v363-'[2]$ зима'!u363-'[2]$ зима'!t363-'[2]$ зима'!s363-'[2]$ зима'!r363-'[2]$ зима'!p363-'[2]$ зима'!o363-'[2]$ зима'!n363-'[2]$ зима'!m363-'[2]$ зима'!l363+'[2]$ зима'!q363+'[2]$ зима'!w363+'[2]$ зима'!ac363+'[2]$ зима'!ai363+'[2]$ зима'!ao363+'[2]$ зима'!k363</f>
        <v>0</v>
      </c>
      <c r="I363" s="191" t="n">
        <f aca="false">'[2]$ зима'!ay363*1.1</f>
        <v>1848</v>
      </c>
    </row>
    <row r="364" customFormat="false" ht="15" hidden="true" customHeight="false" outlineLevel="0" collapsed="false">
      <c r="A364" s="188" t="s">
        <v>159</v>
      </c>
      <c r="B364" s="149" t="s">
        <v>593</v>
      </c>
      <c r="C364" s="148" t="s">
        <v>3237</v>
      </c>
      <c r="D364" s="148"/>
      <c r="E364" s="148"/>
      <c r="F364" s="148"/>
      <c r="G364" s="193" t="s">
        <v>1954</v>
      </c>
      <c r="H364" s="105" t="n">
        <f aca="false">'[2]$ зима'!j364-'[2]$ зима'!au364-'[2]$ зима'!at364-'[2]$ зима'!as364-'[2]$ зима'!ar364-'[2]$ зима'!aq364-'[2]$ зима'!ap364-'[2]$ зима'!an364-'[2]$ зима'!am364-'[2]$ зима'!al364-'[2]$ зима'!ak364-'[2]$ зима'!aj364-'[2]$ зима'!ah364-'[2]$ зима'!ag364-'[2]$ зима'!af364-'[2]$ зима'!ae364-'[2]$ зима'!ad364-'[2]$ зима'!ab364-'[2]$ зима'!aa364-'[2]$ зима'!z364-'[2]$ зима'!y364-'[2]$ зима'!x364-'[2]$ зима'!v364-'[2]$ зима'!u364-'[2]$ зима'!t364-'[2]$ зима'!s364-'[2]$ зима'!r364-'[2]$ зима'!p364-'[2]$ зима'!o364-'[2]$ зима'!n364-'[2]$ зима'!m364-'[2]$ зима'!l364+'[2]$ зима'!q364+'[2]$ зима'!w364+'[2]$ зима'!ac364+'[2]$ зима'!ai364+'[2]$ зима'!ao364+'[2]$ зима'!k364</f>
        <v>0</v>
      </c>
      <c r="I364" s="191" t="n">
        <f aca="false">'[2]$ зима'!ay364*1.1</f>
        <v>1848</v>
      </c>
    </row>
    <row r="365" customFormat="false" ht="15" hidden="false" customHeight="false" outlineLevel="0" collapsed="false">
      <c r="A365" s="188" t="s">
        <v>159</v>
      </c>
      <c r="B365" s="149" t="s">
        <v>586</v>
      </c>
      <c r="C365" s="148" t="s">
        <v>3314</v>
      </c>
      <c r="D365" s="214"/>
      <c r="E365" s="148" t="n">
        <v>85</v>
      </c>
      <c r="F365" s="192" t="s">
        <v>634</v>
      </c>
      <c r="G365" s="193" t="s">
        <v>520</v>
      </c>
      <c r="H365" s="105" t="n">
        <f aca="false">'[2]$ зима'!j365-'[2]$ зима'!au365-'[2]$ зима'!at365-'[2]$ зима'!as365-'[2]$ зима'!ar365-'[2]$ зима'!aq365-'[2]$ зима'!ap365-'[2]$ зима'!an365-'[2]$ зима'!am365-'[2]$ зима'!al365-'[2]$ зима'!ak365-'[2]$ зима'!aj365-'[2]$ зима'!ah365-'[2]$ зима'!ag365-'[2]$ зима'!af365-'[2]$ зима'!ae365-'[2]$ зима'!ad365-'[2]$ зима'!ab365-'[2]$ зима'!aa365-'[2]$ зима'!z365-'[2]$ зима'!y365-'[2]$ зима'!x365-'[2]$ зима'!v365-'[2]$ зима'!u365-'[2]$ зима'!t365-'[2]$ зима'!s365-'[2]$ зима'!r365-'[2]$ зима'!p365-'[2]$ зима'!o365-'[2]$ зима'!n365-'[2]$ зима'!m365-'[2]$ зима'!l365+'[2]$ зима'!q365+'[2]$ зима'!w365+'[2]$ зима'!ac365+'[2]$ зима'!ai365+'[2]$ зима'!ao365+'[2]$ зима'!k365</f>
        <v>4</v>
      </c>
      <c r="I365" s="191" t="n">
        <f aca="false">'[2]$ зима'!ay365*1.1</f>
        <v>1078</v>
      </c>
      <c r="J365" s="171" t="n">
        <v>2018</v>
      </c>
    </row>
    <row r="366" customFormat="false" ht="15" hidden="true" customHeight="false" outlineLevel="0" collapsed="false">
      <c r="A366" s="188" t="s">
        <v>159</v>
      </c>
      <c r="B366" s="149" t="s">
        <v>3142</v>
      </c>
      <c r="C366" s="148" t="s">
        <v>3255</v>
      </c>
      <c r="D366" s="148" t="s">
        <v>3127</v>
      </c>
      <c r="E366" s="148"/>
      <c r="F366" s="148"/>
      <c r="G366" s="193"/>
      <c r="H366" s="105" t="n">
        <f aca="false">'[2]$ зима'!j366-'[2]$ зима'!au366-'[2]$ зима'!at366-'[2]$ зима'!as366-'[2]$ зима'!ar366-'[2]$ зима'!aq366-'[2]$ зима'!ap366-'[2]$ зима'!an366-'[2]$ зима'!am366-'[2]$ зима'!al366-'[2]$ зима'!ak366-'[2]$ зима'!aj366-'[2]$ зима'!ah366-'[2]$ зима'!ag366-'[2]$ зима'!af366-'[2]$ зима'!ae366-'[2]$ зима'!ad366-'[2]$ зима'!ab366-'[2]$ зима'!aa366-'[2]$ зима'!z366-'[2]$ зима'!y366-'[2]$ зима'!x366-'[2]$ зима'!v366-'[2]$ зима'!u366-'[2]$ зима'!t366-'[2]$ зима'!s366-'[2]$ зима'!r366-'[2]$ зима'!p366-'[2]$ зима'!o366-'[2]$ зима'!n366-'[2]$ зима'!m366-'[2]$ зима'!l366+'[2]$ зима'!q366+'[2]$ зима'!w366+'[2]$ зима'!ac366+'[2]$ зима'!ai366+'[2]$ зима'!ao366+'[2]$ зима'!k366</f>
        <v>0</v>
      </c>
      <c r="I366" s="191" t="n">
        <f aca="false">'[2]$ зима'!ay366*1.1</f>
        <v>2094.4</v>
      </c>
    </row>
    <row r="367" customFormat="false" ht="15" hidden="true" customHeight="false" outlineLevel="0" collapsed="false">
      <c r="A367" s="188" t="s">
        <v>159</v>
      </c>
      <c r="B367" s="149" t="s">
        <v>1149</v>
      </c>
      <c r="C367" s="148" t="s">
        <v>3315</v>
      </c>
      <c r="D367" s="148"/>
      <c r="E367" s="148"/>
      <c r="F367" s="148"/>
      <c r="G367" s="193"/>
      <c r="H367" s="105" t="n">
        <f aca="false">'[2]$ зима'!j367-'[2]$ зима'!au367-'[2]$ зима'!at367-'[2]$ зима'!as367-'[2]$ зима'!ar367-'[2]$ зима'!aq367-'[2]$ зима'!ap367-'[2]$ зима'!an367-'[2]$ зима'!am367-'[2]$ зима'!al367-'[2]$ зима'!ak367-'[2]$ зима'!aj367-'[2]$ зима'!ah367-'[2]$ зима'!ag367-'[2]$ зима'!af367-'[2]$ зима'!ae367-'[2]$ зима'!ad367-'[2]$ зима'!ab367-'[2]$ зима'!aa367-'[2]$ зима'!z367-'[2]$ зима'!y367-'[2]$ зима'!x367-'[2]$ зима'!v367-'[2]$ зима'!u367-'[2]$ зима'!t367-'[2]$ зима'!s367-'[2]$ зима'!r367-'[2]$ зима'!p367-'[2]$ зима'!o367-'[2]$ зима'!n367-'[2]$ зима'!m367-'[2]$ зима'!l367+'[2]$ зима'!q367+'[2]$ зима'!w367+'[2]$ зима'!ac367+'[2]$ зима'!ai367+'[2]$ зима'!ao367+'[2]$ зима'!k367</f>
        <v>0</v>
      </c>
      <c r="I367" s="191" t="n">
        <f aca="false">'[2]$ зима'!ay367*1.1</f>
        <v>1078</v>
      </c>
      <c r="J367" s="171" t="n">
        <v>2011</v>
      </c>
    </row>
    <row r="368" customFormat="false" ht="15" hidden="false" customHeight="false" outlineLevel="0" collapsed="false">
      <c r="A368" s="188" t="s">
        <v>163</v>
      </c>
      <c r="B368" s="149" t="s">
        <v>991</v>
      </c>
      <c r="C368" s="148" t="s">
        <v>3189</v>
      </c>
      <c r="D368" s="148"/>
      <c r="E368" s="192"/>
      <c r="F368" s="192"/>
      <c r="G368" s="193"/>
      <c r="H368" s="105" t="n">
        <f aca="false">'[2]$ зима'!j368-'[2]$ зима'!au368-'[2]$ зима'!at368-'[2]$ зима'!as368-'[2]$ зима'!ar368-'[2]$ зима'!aq368-'[2]$ зима'!ap368-'[2]$ зима'!an368-'[2]$ зима'!am368-'[2]$ зима'!al368-'[2]$ зима'!ak368-'[2]$ зима'!aj368-'[2]$ зима'!ah368-'[2]$ зима'!ag368-'[2]$ зима'!af368-'[2]$ зима'!ae368-'[2]$ зима'!ad368-'[2]$ зима'!ab368-'[2]$ зима'!aa368-'[2]$ зима'!z368-'[2]$ зима'!y368-'[2]$ зима'!x368-'[2]$ зима'!v368-'[2]$ зима'!u368-'[2]$ зима'!t368-'[2]$ зима'!s368-'[2]$ зима'!r368-'[2]$ зима'!p368-'[2]$ зима'!o368-'[2]$ зима'!n368-'[2]$ зима'!m368-'[2]$ зима'!l368+'[2]$ зима'!q368+'[2]$ зима'!w368+'[2]$ зима'!ac368+'[2]$ зима'!ai368+'[2]$ зима'!ao368+'[2]$ зима'!k368</f>
        <v>2</v>
      </c>
      <c r="I368" s="191" t="n">
        <f aca="false">'[2]$ зима'!ay368*1.1</f>
        <v>1016.4</v>
      </c>
    </row>
    <row r="369" customFormat="false" ht="15" hidden="true" customHeight="false" outlineLevel="0" collapsed="false">
      <c r="A369" s="188" t="s">
        <v>163</v>
      </c>
      <c r="B369" s="149" t="s">
        <v>991</v>
      </c>
      <c r="C369" s="148" t="s">
        <v>3316</v>
      </c>
      <c r="D369" s="148" t="s">
        <v>3317</v>
      </c>
      <c r="E369" s="148"/>
      <c r="F369" s="148"/>
      <c r="G369" s="193"/>
      <c r="H369" s="105" t="n">
        <f aca="false">'[2]$ зима'!j369-'[2]$ зима'!au369-'[2]$ зима'!at369-'[2]$ зима'!as369-'[2]$ зима'!ar369-'[2]$ зима'!aq369-'[2]$ зима'!ap369-'[2]$ зима'!an369-'[2]$ зима'!am369-'[2]$ зима'!al369-'[2]$ зима'!ak369-'[2]$ зима'!aj369-'[2]$ зима'!ah369-'[2]$ зима'!ag369-'[2]$ зима'!af369-'[2]$ зима'!ae369-'[2]$ зима'!ad369-'[2]$ зима'!ab369-'[2]$ зима'!aa369-'[2]$ зима'!z369-'[2]$ зима'!y369-'[2]$ зима'!x369-'[2]$ зима'!v369-'[2]$ зима'!u369-'[2]$ зима'!t369-'[2]$ зима'!s369-'[2]$ зима'!r369-'[2]$ зима'!p369-'[2]$ зима'!o369-'[2]$ зима'!n369-'[2]$ зима'!m369-'[2]$ зима'!l369+'[2]$ зима'!q369+'[2]$ зима'!w369+'[2]$ зима'!ac369+'[2]$ зима'!ai369+'[2]$ зима'!ao369+'[2]$ зима'!k369</f>
        <v>0</v>
      </c>
      <c r="I369" s="191" t="n">
        <f aca="false">'[2]$ зима'!ay369*1.1</f>
        <v>1016.4</v>
      </c>
    </row>
    <row r="370" customFormat="false" ht="15" hidden="false" customHeight="false" outlineLevel="0" collapsed="false">
      <c r="A370" s="188" t="s">
        <v>163</v>
      </c>
      <c r="B370" s="149" t="s">
        <v>568</v>
      </c>
      <c r="C370" s="148" t="s">
        <v>3318</v>
      </c>
      <c r="D370" s="148"/>
      <c r="E370" s="192"/>
      <c r="F370" s="192"/>
      <c r="G370" s="193"/>
      <c r="H370" s="105" t="n">
        <f aca="false">'[2]$ зима'!j370-'[2]$ зима'!au370-'[2]$ зима'!at370-'[2]$ зима'!as370-'[2]$ зима'!ar370-'[2]$ зима'!aq370-'[2]$ зима'!ap370-'[2]$ зима'!an370-'[2]$ зима'!am370-'[2]$ зима'!al370-'[2]$ зима'!ak370-'[2]$ зима'!aj370-'[2]$ зима'!ah370-'[2]$ зима'!ag370-'[2]$ зима'!af370-'[2]$ зима'!ae370-'[2]$ зима'!ad370-'[2]$ зима'!ab370-'[2]$ зима'!aa370-'[2]$ зима'!z370-'[2]$ зима'!y370-'[2]$ зима'!x370-'[2]$ зима'!v370-'[2]$ зима'!u370-'[2]$ зима'!t370-'[2]$ зима'!s370-'[2]$ зима'!r370-'[2]$ зима'!p370-'[2]$ зима'!o370-'[2]$ зима'!n370-'[2]$ зима'!m370-'[2]$ зима'!l370+'[2]$ зима'!q370+'[2]$ зима'!w370+'[2]$ зима'!ac370+'[2]$ зима'!ai370+'[2]$ зима'!ao370+'[2]$ зима'!k370</f>
        <v>1</v>
      </c>
      <c r="I370" s="191" t="n">
        <f aca="false">'[2]$ зима'!ay370*1.1</f>
        <v>616</v>
      </c>
    </row>
    <row r="371" customFormat="false" ht="15" hidden="false" customHeight="false" outlineLevel="0" collapsed="false">
      <c r="A371" s="188" t="s">
        <v>163</v>
      </c>
      <c r="B371" s="149" t="s">
        <v>568</v>
      </c>
      <c r="C371" s="148" t="s">
        <v>3121</v>
      </c>
      <c r="D371" s="148"/>
      <c r="E371" s="192"/>
      <c r="F371" s="192"/>
      <c r="G371" s="193"/>
      <c r="H371" s="105" t="n">
        <f aca="false">'[2]$ зима'!j371-'[2]$ зима'!au371-'[2]$ зима'!at371-'[2]$ зима'!as371-'[2]$ зима'!ar371-'[2]$ зима'!aq371-'[2]$ зима'!ap371-'[2]$ зима'!an371-'[2]$ зима'!am371-'[2]$ зима'!al371-'[2]$ зима'!ak371-'[2]$ зима'!aj371-'[2]$ зима'!ah371-'[2]$ зима'!ag371-'[2]$ зима'!af371-'[2]$ зима'!ae371-'[2]$ зима'!ad371-'[2]$ зима'!ab371-'[2]$ зима'!aa371-'[2]$ зима'!z371-'[2]$ зима'!y371-'[2]$ зима'!x371-'[2]$ зима'!v371-'[2]$ зима'!u371-'[2]$ зима'!t371-'[2]$ зима'!s371-'[2]$ зима'!r371-'[2]$ зима'!p371-'[2]$ зима'!o371-'[2]$ зима'!n371-'[2]$ зима'!m371-'[2]$ зима'!l371+'[2]$ зима'!q371+'[2]$ зима'!w371+'[2]$ зима'!ac371+'[2]$ зима'!ai371+'[2]$ зима'!ao371+'[2]$ зима'!k371</f>
        <v>4</v>
      </c>
      <c r="I371" s="191" t="n">
        <f aca="false">'[2]$ зима'!ay371*1.1</f>
        <v>1324.4</v>
      </c>
    </row>
    <row r="372" customFormat="false" ht="15" hidden="true" customHeight="false" outlineLevel="0" collapsed="false">
      <c r="A372" s="188" t="s">
        <v>163</v>
      </c>
      <c r="B372" s="149" t="s">
        <v>601</v>
      </c>
      <c r="C372" s="148" t="s">
        <v>3319</v>
      </c>
      <c r="D372" s="148"/>
      <c r="E372" s="148"/>
      <c r="F372" s="148"/>
      <c r="G372" s="193"/>
      <c r="H372" s="105" t="n">
        <f aca="false">'[2]$ зима'!j372-'[2]$ зима'!au372-'[2]$ зима'!at372-'[2]$ зима'!as372-'[2]$ зима'!ar372-'[2]$ зима'!aq372-'[2]$ зима'!ap372-'[2]$ зима'!an372-'[2]$ зима'!am372-'[2]$ зима'!al372-'[2]$ зима'!ak372-'[2]$ зима'!aj372-'[2]$ зима'!ah372-'[2]$ зима'!ag372-'[2]$ зима'!af372-'[2]$ зима'!ae372-'[2]$ зима'!ad372-'[2]$ зима'!ab372-'[2]$ зима'!aa372-'[2]$ зима'!z372-'[2]$ зима'!y372-'[2]$ зима'!x372-'[2]$ зима'!v372-'[2]$ зима'!u372-'[2]$ зима'!t372-'[2]$ зима'!s372-'[2]$ зима'!r372-'[2]$ зима'!p372-'[2]$ зима'!o372-'[2]$ зима'!n372-'[2]$ зима'!m372-'[2]$ зима'!l372+'[2]$ зима'!q372+'[2]$ зима'!w372+'[2]$ зима'!ac372+'[2]$ зима'!ai372+'[2]$ зима'!ao372+'[2]$ зима'!k372</f>
        <v>0</v>
      </c>
      <c r="I372" s="191" t="n">
        <f aca="false">'[2]$ зима'!ay372*1.1</f>
        <v>1447.6</v>
      </c>
    </row>
    <row r="373" customFormat="false" ht="15" hidden="true" customHeight="false" outlineLevel="0" collapsed="false">
      <c r="A373" s="188" t="s">
        <v>163</v>
      </c>
      <c r="B373" s="149" t="s">
        <v>601</v>
      </c>
      <c r="C373" s="148" t="s">
        <v>3151</v>
      </c>
      <c r="D373" s="148"/>
      <c r="E373" s="148"/>
      <c r="F373" s="148"/>
      <c r="G373" s="193"/>
      <c r="H373" s="105" t="n">
        <f aca="false">'[2]$ зима'!j373-'[2]$ зима'!au373-'[2]$ зима'!at373-'[2]$ зима'!as373-'[2]$ зима'!ar373-'[2]$ зима'!aq373-'[2]$ зима'!ap373-'[2]$ зима'!an373-'[2]$ зима'!am373-'[2]$ зима'!al373-'[2]$ зима'!ak373-'[2]$ зима'!aj373-'[2]$ зима'!ah373-'[2]$ зима'!ag373-'[2]$ зима'!af373-'[2]$ зима'!ae373-'[2]$ зима'!ad373-'[2]$ зима'!ab373-'[2]$ зима'!aa373-'[2]$ зима'!z373-'[2]$ зима'!y373-'[2]$ зима'!x373-'[2]$ зима'!v373-'[2]$ зима'!u373-'[2]$ зима'!t373-'[2]$ зима'!s373-'[2]$ зима'!r373-'[2]$ зима'!p373-'[2]$ зима'!o373-'[2]$ зима'!n373-'[2]$ зима'!m373-'[2]$ зима'!l373+'[2]$ зима'!q373+'[2]$ зима'!w373+'[2]$ зима'!ac373+'[2]$ зима'!ai373+'[2]$ зима'!ao373+'[2]$ зима'!k373</f>
        <v>0</v>
      </c>
      <c r="I373" s="191" t="n">
        <f aca="false">'[2]$ зима'!ay373*1.1</f>
        <v>1540</v>
      </c>
    </row>
    <row r="374" customFormat="false" ht="15" hidden="true" customHeight="false" outlineLevel="0" collapsed="false">
      <c r="A374" s="188" t="s">
        <v>163</v>
      </c>
      <c r="B374" s="149" t="s">
        <v>601</v>
      </c>
      <c r="C374" s="148" t="s">
        <v>3227</v>
      </c>
      <c r="D374" s="148"/>
      <c r="E374" s="148"/>
      <c r="F374" s="148"/>
      <c r="G374" s="193"/>
      <c r="H374" s="105" t="n">
        <f aca="false">'[2]$ зима'!j374-'[2]$ зима'!au374-'[2]$ зима'!at374-'[2]$ зима'!as374-'[2]$ зима'!ar374-'[2]$ зима'!aq374-'[2]$ зима'!ap374-'[2]$ зима'!an374-'[2]$ зима'!am374-'[2]$ зима'!al374-'[2]$ зима'!ak374-'[2]$ зима'!aj374-'[2]$ зима'!ah374-'[2]$ зима'!ag374-'[2]$ зима'!af374-'[2]$ зима'!ae374-'[2]$ зима'!ad374-'[2]$ зима'!ab374-'[2]$ зима'!aa374-'[2]$ зима'!z374-'[2]$ зима'!y374-'[2]$ зима'!x374-'[2]$ зима'!v374-'[2]$ зима'!u374-'[2]$ зима'!t374-'[2]$ зима'!s374-'[2]$ зима'!r374-'[2]$ зима'!p374-'[2]$ зима'!o374-'[2]$ зима'!n374-'[2]$ зима'!m374-'[2]$ зима'!l374+'[2]$ зима'!q374+'[2]$ зима'!w374+'[2]$ зима'!ac374+'[2]$ зима'!ai374+'[2]$ зима'!ao374+'[2]$ зима'!k374</f>
        <v>0</v>
      </c>
      <c r="I374" s="191" t="n">
        <f aca="false">'[2]$ зима'!ay374*1.1</f>
        <v>924</v>
      </c>
      <c r="J374" s="171" t="n">
        <v>2010</v>
      </c>
    </row>
    <row r="375" customFormat="false" ht="15" hidden="true" customHeight="false" outlineLevel="0" collapsed="false">
      <c r="A375" s="188" t="s">
        <v>163</v>
      </c>
      <c r="B375" s="149" t="s">
        <v>601</v>
      </c>
      <c r="C375" s="148" t="s">
        <v>3150</v>
      </c>
      <c r="D375" s="148"/>
      <c r="E375" s="148"/>
      <c r="F375" s="148"/>
      <c r="G375" s="193"/>
      <c r="H375" s="105" t="n">
        <f aca="false">'[2]$ зима'!j375-'[2]$ зима'!au375-'[2]$ зима'!at375-'[2]$ зима'!as375-'[2]$ зима'!ar375-'[2]$ зима'!aq375-'[2]$ зима'!ap375-'[2]$ зима'!an375-'[2]$ зима'!am375-'[2]$ зима'!al375-'[2]$ зима'!ak375-'[2]$ зима'!aj375-'[2]$ зима'!ah375-'[2]$ зима'!ag375-'[2]$ зима'!af375-'[2]$ зима'!ae375-'[2]$ зима'!ad375-'[2]$ зима'!ab375-'[2]$ зима'!aa375-'[2]$ зима'!z375-'[2]$ зима'!y375-'[2]$ зима'!x375-'[2]$ зима'!v375-'[2]$ зима'!u375-'[2]$ зима'!t375-'[2]$ зима'!s375-'[2]$ зима'!r375-'[2]$ зима'!p375-'[2]$ зима'!o375-'[2]$ зима'!n375-'[2]$ зима'!m375-'[2]$ зима'!l375+'[2]$ зима'!q375+'[2]$ зима'!w375+'[2]$ зима'!ac375+'[2]$ зима'!ai375+'[2]$ зима'!ao375+'[2]$ зима'!k375</f>
        <v>0</v>
      </c>
      <c r="I375" s="191" t="n">
        <f aca="false">'[2]$ зима'!ay375*1.1</f>
        <v>1786.4</v>
      </c>
      <c r="J375" s="171" t="n">
        <v>2017</v>
      </c>
    </row>
    <row r="376" customFormat="false" ht="15" hidden="false" customHeight="false" outlineLevel="0" collapsed="false">
      <c r="A376" s="188" t="s">
        <v>163</v>
      </c>
      <c r="B376" s="149" t="s">
        <v>3193</v>
      </c>
      <c r="C376" s="148" t="s">
        <v>3212</v>
      </c>
      <c r="D376" s="148"/>
      <c r="E376" s="192"/>
      <c r="F376" s="192"/>
      <c r="G376" s="193"/>
      <c r="H376" s="105" t="n">
        <f aca="false">'[2]$ зима'!j376-'[2]$ зима'!au376-'[2]$ зима'!at376-'[2]$ зима'!as376-'[2]$ зима'!ar376-'[2]$ зима'!aq376-'[2]$ зима'!ap376-'[2]$ зима'!an376-'[2]$ зима'!am376-'[2]$ зима'!al376-'[2]$ зима'!ak376-'[2]$ зима'!aj376-'[2]$ зима'!ah376-'[2]$ зима'!ag376-'[2]$ зима'!af376-'[2]$ зима'!ae376-'[2]$ зима'!ad376-'[2]$ зима'!ab376-'[2]$ зима'!aa376-'[2]$ зима'!z376-'[2]$ зима'!y376-'[2]$ зима'!x376-'[2]$ зима'!v376-'[2]$ зима'!u376-'[2]$ зима'!t376-'[2]$ зима'!s376-'[2]$ зима'!r376-'[2]$ зима'!p376-'[2]$ зима'!o376-'[2]$ зима'!n376-'[2]$ зима'!m376-'[2]$ зима'!l376+'[2]$ зима'!q376+'[2]$ зима'!w376+'[2]$ зима'!ac376+'[2]$ зима'!ai376+'[2]$ зима'!ao376+'[2]$ зима'!k376</f>
        <v>2</v>
      </c>
      <c r="I376" s="191" t="n">
        <f aca="false">'[2]$ зима'!ay376*1.1</f>
        <v>831.6</v>
      </c>
    </row>
    <row r="377" customFormat="false" ht="15" hidden="true" customHeight="false" outlineLevel="0" collapsed="false">
      <c r="A377" s="188" t="s">
        <v>163</v>
      </c>
      <c r="B377" s="149" t="s">
        <v>555</v>
      </c>
      <c r="C377" s="148" t="s">
        <v>3140</v>
      </c>
      <c r="D377" s="148"/>
      <c r="E377" s="148"/>
      <c r="F377" s="148"/>
      <c r="G377" s="193"/>
      <c r="H377" s="105" t="n">
        <f aca="false">'[2]$ зима'!j377-'[2]$ зима'!au377-'[2]$ зима'!at377-'[2]$ зима'!as377-'[2]$ зима'!ar377-'[2]$ зима'!aq377-'[2]$ зима'!ap377-'[2]$ зима'!an377-'[2]$ зима'!am377-'[2]$ зима'!al377-'[2]$ зима'!ak377-'[2]$ зима'!aj377-'[2]$ зима'!ah377-'[2]$ зима'!ag377-'[2]$ зима'!af377-'[2]$ зима'!ae377-'[2]$ зима'!ad377-'[2]$ зима'!ab377-'[2]$ зима'!aa377-'[2]$ зима'!z377-'[2]$ зима'!y377-'[2]$ зима'!x377-'[2]$ зима'!v377-'[2]$ зима'!u377-'[2]$ зима'!t377-'[2]$ зима'!s377-'[2]$ зима'!r377-'[2]$ зима'!p377-'[2]$ зима'!o377-'[2]$ зима'!n377-'[2]$ зима'!m377-'[2]$ зима'!l377+'[2]$ зима'!q377+'[2]$ зима'!w377+'[2]$ зима'!ac377+'[2]$ зима'!ai377+'[2]$ зима'!ao377+'[2]$ зима'!k377</f>
        <v>0</v>
      </c>
      <c r="I377" s="191" t="n">
        <f aca="false">'[2]$ зима'!ay377*1.1</f>
        <v>1416.8</v>
      </c>
    </row>
    <row r="378" customFormat="false" ht="15" hidden="false" customHeight="false" outlineLevel="0" collapsed="false">
      <c r="A378" s="188" t="s">
        <v>163</v>
      </c>
      <c r="B378" s="149" t="s">
        <v>646</v>
      </c>
      <c r="C378" s="148" t="s">
        <v>3183</v>
      </c>
      <c r="D378" s="148" t="s">
        <v>582</v>
      </c>
      <c r="E378" s="192"/>
      <c r="F378" s="192"/>
      <c r="G378" s="193" t="s">
        <v>663</v>
      </c>
      <c r="H378" s="105" t="n">
        <f aca="false">'[2]$ зима'!j378-'[2]$ зима'!au378-'[2]$ зима'!at378-'[2]$ зима'!as378-'[2]$ зима'!ar378-'[2]$ зима'!aq378-'[2]$ зима'!ap378-'[2]$ зима'!an378-'[2]$ зима'!am378-'[2]$ зима'!al378-'[2]$ зима'!ak378-'[2]$ зима'!aj378-'[2]$ зима'!ah378-'[2]$ зима'!ag378-'[2]$ зима'!af378-'[2]$ зима'!ae378-'[2]$ зима'!ad378-'[2]$ зима'!ab378-'[2]$ зима'!aa378-'[2]$ зима'!z378-'[2]$ зима'!y378-'[2]$ зима'!x378-'[2]$ зима'!v378-'[2]$ зима'!u378-'[2]$ зима'!t378-'[2]$ зима'!s378-'[2]$ зима'!r378-'[2]$ зима'!p378-'[2]$ зима'!o378-'[2]$ зима'!n378-'[2]$ зима'!m378-'[2]$ зима'!l378+'[2]$ зима'!q378+'[2]$ зима'!w378+'[2]$ зима'!ac378+'[2]$ зима'!ai378+'[2]$ зима'!ao378+'[2]$ зима'!k378</f>
        <v>6</v>
      </c>
      <c r="I378" s="191" t="n">
        <f aca="false">'[2]$ зима'!ay378*1.1</f>
        <v>924</v>
      </c>
      <c r="J378" s="171" t="n">
        <v>2011</v>
      </c>
    </row>
    <row r="379" customFormat="false" ht="15" hidden="true" customHeight="false" outlineLevel="0" collapsed="false">
      <c r="A379" s="188" t="s">
        <v>163</v>
      </c>
      <c r="B379" s="149" t="s">
        <v>707</v>
      </c>
      <c r="C379" s="148" t="s">
        <v>3320</v>
      </c>
      <c r="D379" s="148"/>
      <c r="E379" s="148"/>
      <c r="F379" s="148"/>
      <c r="G379" s="193"/>
      <c r="H379" s="105" t="n">
        <f aca="false">'[2]$ зима'!j379-'[2]$ зима'!au379-'[2]$ зима'!at379-'[2]$ зима'!as379-'[2]$ зима'!ar379-'[2]$ зима'!aq379-'[2]$ зима'!ap379-'[2]$ зима'!an379-'[2]$ зима'!am379-'[2]$ зима'!al379-'[2]$ зима'!ak379-'[2]$ зима'!aj379-'[2]$ зима'!ah379-'[2]$ зима'!ag379-'[2]$ зима'!af379-'[2]$ зима'!ae379-'[2]$ зима'!ad379-'[2]$ зима'!ab379-'[2]$ зима'!aa379-'[2]$ зима'!z379-'[2]$ зима'!y379-'[2]$ зима'!x379-'[2]$ зима'!v379-'[2]$ зима'!u379-'[2]$ зима'!t379-'[2]$ зима'!s379-'[2]$ зима'!r379-'[2]$ зима'!p379-'[2]$ зима'!o379-'[2]$ зима'!n379-'[2]$ зима'!m379-'[2]$ зима'!l379+'[2]$ зима'!q379+'[2]$ зима'!w379+'[2]$ зима'!ac379+'[2]$ зима'!ai379+'[2]$ зима'!ao379+'[2]$ зима'!k379</f>
        <v>0</v>
      </c>
      <c r="I379" s="191" t="n">
        <f aca="false">'[2]$ зима'!ay379*1.1</f>
        <v>616</v>
      </c>
    </row>
    <row r="380" customFormat="false" ht="15" hidden="true" customHeight="false" outlineLevel="0" collapsed="false">
      <c r="A380" s="210" t="s">
        <v>163</v>
      </c>
      <c r="B380" s="149" t="s">
        <v>553</v>
      </c>
      <c r="C380" s="148" t="s">
        <v>3321</v>
      </c>
      <c r="D380" s="148"/>
      <c r="E380" s="148"/>
      <c r="F380" s="148"/>
      <c r="G380" s="193" t="s">
        <v>626</v>
      </c>
      <c r="H380" s="105" t="n">
        <f aca="false">'[2]$ зима'!j380-'[2]$ зима'!au380-'[2]$ зима'!at380-'[2]$ зима'!as380-'[2]$ зима'!ar380-'[2]$ зима'!aq380-'[2]$ зима'!ap380-'[2]$ зима'!an380-'[2]$ зима'!am380-'[2]$ зима'!al380-'[2]$ зима'!ak380-'[2]$ зима'!aj380-'[2]$ зима'!ah380-'[2]$ зима'!ag380-'[2]$ зима'!af380-'[2]$ зима'!ae380-'[2]$ зима'!ad380-'[2]$ зима'!ab380-'[2]$ зима'!aa380-'[2]$ зима'!z380-'[2]$ зима'!y380-'[2]$ зима'!x380-'[2]$ зима'!v380-'[2]$ зима'!u380-'[2]$ зима'!t380-'[2]$ зима'!s380-'[2]$ зима'!r380-'[2]$ зима'!p380-'[2]$ зима'!o380-'[2]$ зима'!n380-'[2]$ зима'!m380-'[2]$ зима'!l380+'[2]$ зима'!q380+'[2]$ зима'!w380+'[2]$ зима'!ac380+'[2]$ зима'!ai380+'[2]$ зима'!ao380+'[2]$ зима'!k380</f>
        <v>0</v>
      </c>
      <c r="I380" s="191" t="n">
        <f aca="false">'[2]$ зима'!ay380*1.1</f>
        <v>924</v>
      </c>
      <c r="J380" s="171" t="n">
        <v>2011</v>
      </c>
    </row>
    <row r="381" customFormat="false" ht="15" hidden="false" customHeight="false" outlineLevel="0" collapsed="false">
      <c r="A381" s="210" t="s">
        <v>163</v>
      </c>
      <c r="B381" s="149" t="s">
        <v>3184</v>
      </c>
      <c r="C381" s="148" t="s">
        <v>3185</v>
      </c>
      <c r="D381" s="148"/>
      <c r="E381" s="192"/>
      <c r="F381" s="192"/>
      <c r="G381" s="193"/>
      <c r="H381" s="105" t="n">
        <f aca="false">'[2]$ зима'!j381-'[2]$ зима'!au381-'[2]$ зима'!at381-'[2]$ зима'!as381-'[2]$ зима'!ar381-'[2]$ зима'!aq381-'[2]$ зима'!ap381-'[2]$ зима'!an381-'[2]$ зима'!am381-'[2]$ зима'!al381-'[2]$ зима'!ak381-'[2]$ зима'!aj381-'[2]$ зима'!ah381-'[2]$ зима'!ag381-'[2]$ зима'!af381-'[2]$ зима'!ae381-'[2]$ зима'!ad381-'[2]$ зима'!ab381-'[2]$ зима'!aa381-'[2]$ зима'!z381-'[2]$ зима'!y381-'[2]$ зима'!x381-'[2]$ зима'!v381-'[2]$ зима'!u381-'[2]$ зима'!t381-'[2]$ зима'!s381-'[2]$ зима'!r381-'[2]$ зима'!p381-'[2]$ зима'!o381-'[2]$ зима'!n381-'[2]$ зима'!m381-'[2]$ зима'!l381+'[2]$ зима'!q381+'[2]$ зима'!w381+'[2]$ зима'!ac381+'[2]$ зима'!ai381+'[2]$ зима'!ao381+'[2]$ зима'!k381</f>
        <v>2</v>
      </c>
      <c r="I381" s="191" t="n">
        <f aca="false">'[2]$ зима'!ay381*1.1</f>
        <v>924</v>
      </c>
    </row>
    <row r="382" customFormat="false" ht="15" hidden="false" customHeight="false" outlineLevel="0" collapsed="false">
      <c r="A382" s="210" t="s">
        <v>163</v>
      </c>
      <c r="B382" s="198" t="s">
        <v>604</v>
      </c>
      <c r="C382" s="194" t="s">
        <v>3322</v>
      </c>
      <c r="D382" s="194"/>
      <c r="E382" s="195"/>
      <c r="F382" s="195"/>
      <c r="G382" s="200"/>
      <c r="H382" s="105" t="n">
        <f aca="false">'[2]$ зима'!j382-'[2]$ зима'!au382-'[2]$ зима'!at382-'[2]$ зима'!as382-'[2]$ зима'!ar382-'[2]$ зима'!aq382-'[2]$ зима'!ap382-'[2]$ зима'!an382-'[2]$ зима'!am382-'[2]$ зима'!al382-'[2]$ зима'!ak382-'[2]$ зима'!aj382-'[2]$ зима'!ah382-'[2]$ зима'!ag382-'[2]$ зима'!af382-'[2]$ зима'!ae382-'[2]$ зима'!ad382-'[2]$ зима'!ab382-'[2]$ зима'!aa382-'[2]$ зима'!z382-'[2]$ зима'!y382-'[2]$ зима'!x382-'[2]$ зима'!v382-'[2]$ зима'!u382-'[2]$ зима'!t382-'[2]$ зима'!s382-'[2]$ зима'!r382-'[2]$ зима'!p382-'[2]$ зима'!o382-'[2]$ зима'!n382-'[2]$ зима'!m382-'[2]$ зима'!l382+'[2]$ зима'!q382+'[2]$ зима'!w382+'[2]$ зима'!ac382+'[2]$ зима'!ai382+'[2]$ зима'!ao382+'[2]$ зима'!k382</f>
        <v>6</v>
      </c>
      <c r="I382" s="191" t="n">
        <f aca="false">'[2]$ зима'!ay382*1.1</f>
        <v>1386</v>
      </c>
      <c r="J382" s="201"/>
    </row>
    <row r="383" customFormat="false" ht="15" hidden="false" customHeight="false" outlineLevel="0" collapsed="false">
      <c r="A383" s="188" t="s">
        <v>163</v>
      </c>
      <c r="B383" s="198" t="s">
        <v>744</v>
      </c>
      <c r="C383" s="194" t="s">
        <v>3244</v>
      </c>
      <c r="D383" s="194"/>
      <c r="E383" s="195"/>
      <c r="F383" s="195"/>
      <c r="G383" s="200"/>
      <c r="H383" s="105" t="n">
        <f aca="false">'[2]$ зима'!j383-'[2]$ зима'!au383-'[2]$ зима'!at383-'[2]$ зима'!as383-'[2]$ зима'!ar383-'[2]$ зима'!aq383-'[2]$ зима'!ap383-'[2]$ зима'!an383-'[2]$ зима'!am383-'[2]$ зима'!al383-'[2]$ зима'!ak383-'[2]$ зима'!aj383-'[2]$ зима'!ah383-'[2]$ зима'!ag383-'[2]$ зима'!af383-'[2]$ зима'!ae383-'[2]$ зима'!ad383-'[2]$ зима'!ab383-'[2]$ зима'!aa383-'[2]$ зима'!z383-'[2]$ зима'!y383-'[2]$ зима'!x383-'[2]$ зима'!v383-'[2]$ зима'!u383-'[2]$ зима'!t383-'[2]$ зима'!s383-'[2]$ зима'!r383-'[2]$ зима'!p383-'[2]$ зима'!o383-'[2]$ зима'!n383-'[2]$ зима'!m383-'[2]$ зима'!l383+'[2]$ зима'!q383+'[2]$ зима'!w383+'[2]$ зима'!ac383+'[2]$ зима'!ai383+'[2]$ зима'!ao383+'[2]$ зима'!k383</f>
        <v>2</v>
      </c>
      <c r="I383" s="191" t="n">
        <f aca="false">'[2]$ зима'!ay383*1.1</f>
        <v>924</v>
      </c>
      <c r="J383" s="201"/>
    </row>
    <row r="384" customFormat="false" ht="15" hidden="false" customHeight="false" outlineLevel="0" collapsed="false">
      <c r="A384" s="188" t="s">
        <v>163</v>
      </c>
      <c r="B384" s="149" t="s">
        <v>606</v>
      </c>
      <c r="C384" s="148" t="s">
        <v>3323</v>
      </c>
      <c r="D384" s="148"/>
      <c r="E384" s="192" t="n">
        <v>88</v>
      </c>
      <c r="F384" s="192" t="s">
        <v>562</v>
      </c>
      <c r="G384" s="193"/>
      <c r="H384" s="105" t="n">
        <f aca="false">'[2]$ зима'!j384-'[2]$ зима'!au384-'[2]$ зима'!at384-'[2]$ зима'!as384-'[2]$ зима'!ar384-'[2]$ зима'!aq384-'[2]$ зима'!ap384-'[2]$ зима'!an384-'[2]$ зима'!am384-'[2]$ зима'!al384-'[2]$ зима'!ak384-'[2]$ зима'!aj384-'[2]$ зима'!ah384-'[2]$ зима'!ag384-'[2]$ зима'!af384-'[2]$ зима'!ae384-'[2]$ зима'!ad384-'[2]$ зима'!ab384-'[2]$ зима'!aa384-'[2]$ зима'!z384-'[2]$ зима'!y384-'[2]$ зима'!x384-'[2]$ зима'!v384-'[2]$ зима'!u384-'[2]$ зима'!t384-'[2]$ зима'!s384-'[2]$ зима'!r384-'[2]$ зима'!p384-'[2]$ зима'!o384-'[2]$ зима'!n384-'[2]$ зима'!m384-'[2]$ зима'!l384+'[2]$ зима'!q384+'[2]$ зима'!w384+'[2]$ зима'!ac384+'[2]$ зима'!ai384+'[2]$ зима'!ao384+'[2]$ зима'!k384</f>
        <v>2</v>
      </c>
      <c r="I384" s="191" t="n">
        <f aca="false">'[2]$ зима'!ay384*1.1</f>
        <v>1386</v>
      </c>
    </row>
    <row r="385" customFormat="false" ht="15" hidden="false" customHeight="false" outlineLevel="0" collapsed="false">
      <c r="A385" s="188" t="s">
        <v>163</v>
      </c>
      <c r="B385" s="149" t="s">
        <v>606</v>
      </c>
      <c r="C385" s="148" t="s">
        <v>3125</v>
      </c>
      <c r="D385" s="148"/>
      <c r="E385" s="192" t="n">
        <v>92</v>
      </c>
      <c r="F385" s="192" t="s">
        <v>3216</v>
      </c>
      <c r="G385" s="193"/>
      <c r="H385" s="105" t="n">
        <f aca="false">'[2]$ зима'!j385-'[2]$ зима'!au385-'[2]$ зима'!at385-'[2]$ зима'!as385-'[2]$ зима'!ar385-'[2]$ зима'!aq385-'[2]$ зима'!ap385-'[2]$ зима'!an385-'[2]$ зима'!am385-'[2]$ зима'!al385-'[2]$ зима'!ak385-'[2]$ зима'!aj385-'[2]$ зима'!ah385-'[2]$ зима'!ag385-'[2]$ зима'!af385-'[2]$ зима'!ae385-'[2]$ зима'!ad385-'[2]$ зима'!ab385-'[2]$ зима'!aa385-'[2]$ зима'!z385-'[2]$ зима'!y385-'[2]$ зима'!x385-'[2]$ зима'!v385-'[2]$ зима'!u385-'[2]$ зима'!t385-'[2]$ зима'!s385-'[2]$ зима'!r385-'[2]$ зима'!p385-'[2]$ зима'!o385-'[2]$ зима'!n385-'[2]$ зима'!m385-'[2]$ зима'!l385+'[2]$ зима'!q385+'[2]$ зима'!w385+'[2]$ зима'!ac385+'[2]$ зима'!ai385+'[2]$ зима'!ao385+'[2]$ зима'!k385</f>
        <v>2</v>
      </c>
      <c r="I385" s="191" t="n">
        <f aca="false">'[2]$ зима'!ay385*1.1</f>
        <v>1447.6</v>
      </c>
      <c r="J385" s="171" t="n">
        <v>2017</v>
      </c>
    </row>
    <row r="386" customFormat="false" ht="15" hidden="false" customHeight="false" outlineLevel="0" collapsed="false">
      <c r="A386" s="188" t="s">
        <v>163</v>
      </c>
      <c r="B386" s="149" t="s">
        <v>606</v>
      </c>
      <c r="C386" s="148" t="s">
        <v>3125</v>
      </c>
      <c r="D386" s="24" t="s">
        <v>3147</v>
      </c>
      <c r="E386" s="192"/>
      <c r="F386" s="192"/>
      <c r="G386" s="193"/>
      <c r="H386" s="105" t="n">
        <f aca="false">'[2]$ зима'!j386-'[2]$ зима'!au386-'[2]$ зима'!at386-'[2]$ зима'!as386-'[2]$ зима'!ar386-'[2]$ зима'!aq386-'[2]$ зима'!ap386-'[2]$ зима'!an386-'[2]$ зима'!am386-'[2]$ зима'!al386-'[2]$ зима'!ak386-'[2]$ зима'!aj386-'[2]$ зима'!ah386-'[2]$ зима'!ag386-'[2]$ зима'!af386-'[2]$ зима'!ae386-'[2]$ зима'!ad386-'[2]$ зима'!ab386-'[2]$ зима'!aa386-'[2]$ зима'!z386-'[2]$ зима'!y386-'[2]$ зима'!x386-'[2]$ зима'!v386-'[2]$ зима'!u386-'[2]$ зима'!t386-'[2]$ зима'!s386-'[2]$ зима'!r386-'[2]$ зима'!p386-'[2]$ зима'!o386-'[2]$ зима'!n386-'[2]$ зима'!m386-'[2]$ зима'!l386+'[2]$ зима'!q386+'[2]$ зима'!w386+'[2]$ зима'!ac386+'[2]$ зима'!ai386+'[2]$ зима'!ao386+'[2]$ зима'!k386</f>
        <v>4</v>
      </c>
      <c r="I386" s="191" t="n">
        <f aca="false">'[2]$ зима'!ay386*1.1</f>
        <v>1694</v>
      </c>
    </row>
    <row r="387" customFormat="false" ht="15" hidden="false" customHeight="false" outlineLevel="0" collapsed="false">
      <c r="A387" s="188" t="s">
        <v>163</v>
      </c>
      <c r="B387" s="149" t="s">
        <v>606</v>
      </c>
      <c r="C387" s="148" t="s">
        <v>3155</v>
      </c>
      <c r="D387" s="148"/>
      <c r="E387" s="192" t="n">
        <v>92</v>
      </c>
      <c r="F387" s="192" t="s">
        <v>3216</v>
      </c>
      <c r="G387" s="193" t="s">
        <v>609</v>
      </c>
      <c r="H387" s="105" t="n">
        <f aca="false">'[2]$ зима'!j387-'[2]$ зима'!au387-'[2]$ зима'!at387-'[2]$ зима'!as387-'[2]$ зима'!ar387-'[2]$ зима'!aq387-'[2]$ зима'!ap387-'[2]$ зима'!an387-'[2]$ зима'!am387-'[2]$ зима'!al387-'[2]$ зима'!ak387-'[2]$ зима'!aj387-'[2]$ зима'!ah387-'[2]$ зима'!ag387-'[2]$ зима'!af387-'[2]$ зима'!ae387-'[2]$ зима'!ad387-'[2]$ зима'!ab387-'[2]$ зима'!aa387-'[2]$ зима'!z387-'[2]$ зима'!y387-'[2]$ зима'!x387-'[2]$ зима'!v387-'[2]$ зима'!u387-'[2]$ зима'!t387-'[2]$ зима'!s387-'[2]$ зима'!r387-'[2]$ зима'!p387-'[2]$ зима'!o387-'[2]$ зима'!n387-'[2]$ зима'!m387-'[2]$ зима'!l387+'[2]$ зима'!q387+'[2]$ зима'!w387+'[2]$ зима'!ac387+'[2]$ зима'!ai387+'[2]$ зима'!ao387+'[2]$ зима'!k387</f>
        <v>12</v>
      </c>
      <c r="I387" s="191" t="n">
        <f aca="false">'[2]$ зима'!ay387*1.1</f>
        <v>1478.4</v>
      </c>
      <c r="J387" s="171" t="n">
        <v>2018</v>
      </c>
    </row>
    <row r="388" customFormat="false" ht="15" hidden="false" customHeight="false" outlineLevel="0" collapsed="false">
      <c r="A388" s="188" t="s">
        <v>163</v>
      </c>
      <c r="B388" s="149" t="s">
        <v>606</v>
      </c>
      <c r="C388" s="148" t="s">
        <v>3156</v>
      </c>
      <c r="D388" s="148"/>
      <c r="E388" s="192" t="n">
        <v>92</v>
      </c>
      <c r="F388" s="192" t="s">
        <v>562</v>
      </c>
      <c r="G388" s="193" t="s">
        <v>609</v>
      </c>
      <c r="H388" s="105" t="n">
        <f aca="false">'[2]$ зима'!j388-'[2]$ зима'!au388-'[2]$ зима'!at388-'[2]$ зима'!as388-'[2]$ зима'!ar388-'[2]$ зима'!aq388-'[2]$ зима'!ap388-'[2]$ зима'!an388-'[2]$ зима'!am388-'[2]$ зима'!al388-'[2]$ зима'!ak388-'[2]$ зима'!aj388-'[2]$ зима'!ah388-'[2]$ зима'!ag388-'[2]$ зима'!af388-'[2]$ зима'!ae388-'[2]$ зима'!ad388-'[2]$ зима'!ab388-'[2]$ зима'!aa388-'[2]$ зима'!z388-'[2]$ зима'!y388-'[2]$ зима'!x388-'[2]$ зима'!v388-'[2]$ зима'!u388-'[2]$ зима'!t388-'[2]$ зима'!s388-'[2]$ зима'!r388-'[2]$ зима'!p388-'[2]$ зима'!o388-'[2]$ зима'!n388-'[2]$ зима'!m388-'[2]$ зима'!l388+'[2]$ зима'!q388+'[2]$ зима'!w388+'[2]$ зима'!ac388+'[2]$ зима'!ai388+'[2]$ зима'!ao388+'[2]$ зима'!k388</f>
        <v>12</v>
      </c>
      <c r="I388" s="191" t="n">
        <f aca="false">'[2]$ зима'!ay388*1.1</f>
        <v>1447.6</v>
      </c>
      <c r="J388" s="171" t="n">
        <v>2018</v>
      </c>
    </row>
    <row r="389" customFormat="false" ht="15" hidden="false" customHeight="false" outlineLevel="0" collapsed="false">
      <c r="A389" s="210" t="s">
        <v>163</v>
      </c>
      <c r="B389" s="198" t="s">
        <v>668</v>
      </c>
      <c r="C389" s="194" t="s">
        <v>3182</v>
      </c>
      <c r="D389" s="148"/>
      <c r="E389" s="192"/>
      <c r="F389" s="192"/>
      <c r="G389" s="193" t="s">
        <v>609</v>
      </c>
      <c r="H389" s="105" t="n">
        <f aca="false">'[2]$ зима'!j389-'[2]$ зима'!au389-'[2]$ зима'!at389-'[2]$ зима'!as389-'[2]$ зима'!ar389-'[2]$ зима'!aq389-'[2]$ зима'!ap389-'[2]$ зима'!an389-'[2]$ зима'!am389-'[2]$ зима'!al389-'[2]$ зима'!ak389-'[2]$ зима'!aj389-'[2]$ зима'!ah389-'[2]$ зима'!ag389-'[2]$ зима'!af389-'[2]$ зима'!ae389-'[2]$ зима'!ad389-'[2]$ зима'!ab389-'[2]$ зима'!aa389-'[2]$ зима'!z389-'[2]$ зима'!y389-'[2]$ зима'!x389-'[2]$ зима'!v389-'[2]$ зима'!u389-'[2]$ зима'!t389-'[2]$ зима'!s389-'[2]$ зима'!r389-'[2]$ зима'!p389-'[2]$ зима'!o389-'[2]$ зима'!n389-'[2]$ зима'!m389-'[2]$ зима'!l389+'[2]$ зима'!q389+'[2]$ зима'!w389+'[2]$ зима'!ac389+'[2]$ зима'!ai389+'[2]$ зима'!ao389+'[2]$ зима'!k389</f>
        <v>12</v>
      </c>
      <c r="I389" s="191" t="n">
        <f aca="false">'[2]$ зима'!ay389*1.1</f>
        <v>1293.6</v>
      </c>
      <c r="J389" s="171" t="n">
        <v>2018</v>
      </c>
    </row>
    <row r="390" customFormat="false" ht="15" hidden="true" customHeight="false" outlineLevel="0" collapsed="false">
      <c r="A390" s="210" t="s">
        <v>163</v>
      </c>
      <c r="B390" s="198" t="s">
        <v>574</v>
      </c>
      <c r="C390" s="148" t="s">
        <v>3199</v>
      </c>
      <c r="D390" s="148"/>
      <c r="E390" s="148"/>
      <c r="F390" s="148"/>
      <c r="G390" s="193" t="s">
        <v>576</v>
      </c>
      <c r="H390" s="105" t="n">
        <f aca="false">'[2]$ зима'!j390-'[2]$ зима'!au390-'[2]$ зима'!at390-'[2]$ зима'!as390-'[2]$ зима'!ar390-'[2]$ зима'!aq390-'[2]$ зима'!ap390-'[2]$ зима'!an390-'[2]$ зима'!am390-'[2]$ зима'!al390-'[2]$ зима'!ak390-'[2]$ зима'!aj390-'[2]$ зима'!ah390-'[2]$ зима'!ag390-'[2]$ зима'!af390-'[2]$ зима'!ae390-'[2]$ зима'!ad390-'[2]$ зима'!ab390-'[2]$ зима'!aa390-'[2]$ зима'!z390-'[2]$ зима'!y390-'[2]$ зима'!x390-'[2]$ зима'!v390-'[2]$ зима'!u390-'[2]$ зима'!t390-'[2]$ зима'!s390-'[2]$ зима'!r390-'[2]$ зима'!p390-'[2]$ зима'!o390-'[2]$ зима'!n390-'[2]$ зима'!m390-'[2]$ зима'!l390+'[2]$ зима'!q390+'[2]$ зима'!w390+'[2]$ зима'!ac390+'[2]$ зима'!ai390+'[2]$ зима'!ao390+'[2]$ зима'!k390</f>
        <v>0</v>
      </c>
      <c r="I390" s="191" t="n">
        <f aca="false">'[2]$ зима'!ay390*1.1</f>
        <v>1182.94</v>
      </c>
    </row>
    <row r="391" customFormat="false" ht="15" hidden="false" customHeight="false" outlineLevel="0" collapsed="false">
      <c r="A391" s="210" t="s">
        <v>163</v>
      </c>
      <c r="B391" s="198" t="s">
        <v>574</v>
      </c>
      <c r="C391" s="148" t="s">
        <v>3201</v>
      </c>
      <c r="D391" s="148"/>
      <c r="E391" s="192"/>
      <c r="F391" s="192"/>
      <c r="G391" s="193" t="s">
        <v>576</v>
      </c>
      <c r="H391" s="105" t="n">
        <f aca="false">'[2]$ зима'!j391-'[2]$ зима'!au391-'[2]$ зима'!at391-'[2]$ зима'!as391-'[2]$ зима'!ar391-'[2]$ зима'!aq391-'[2]$ зима'!ap391-'[2]$ зима'!an391-'[2]$ зима'!am391-'[2]$ зима'!al391-'[2]$ зима'!ak391-'[2]$ зима'!aj391-'[2]$ зима'!ah391-'[2]$ зима'!ag391-'[2]$ зима'!af391-'[2]$ зима'!ae391-'[2]$ зима'!ad391-'[2]$ зима'!ab391-'[2]$ зима'!aa391-'[2]$ зима'!z391-'[2]$ зима'!y391-'[2]$ зима'!x391-'[2]$ зима'!v391-'[2]$ зима'!u391-'[2]$ зима'!t391-'[2]$ зима'!s391-'[2]$ зима'!r391-'[2]$ зима'!p391-'[2]$ зима'!o391-'[2]$ зима'!n391-'[2]$ зима'!m391-'[2]$ зима'!l391+'[2]$ зима'!q391+'[2]$ зима'!w391+'[2]$ зима'!ac391+'[2]$ зима'!ai391+'[2]$ зима'!ao391+'[2]$ зима'!k391</f>
        <v>4</v>
      </c>
      <c r="I391" s="191" t="n">
        <f aca="false">'[2]$ зима'!ay391*1.1</f>
        <v>1343.32</v>
      </c>
    </row>
    <row r="392" customFormat="false" ht="15" hidden="true" customHeight="false" outlineLevel="0" collapsed="false">
      <c r="A392" s="210" t="s">
        <v>163</v>
      </c>
      <c r="B392" s="149" t="s">
        <v>577</v>
      </c>
      <c r="C392" s="148" t="s">
        <v>3251</v>
      </c>
      <c r="D392" s="148"/>
      <c r="E392" s="148"/>
      <c r="F392" s="148"/>
      <c r="G392" s="193" t="s">
        <v>563</v>
      </c>
      <c r="H392" s="105" t="n">
        <f aca="false">'[2]$ зима'!j392-'[2]$ зима'!au392-'[2]$ зима'!at392-'[2]$ зима'!as392-'[2]$ зима'!ar392-'[2]$ зима'!aq392-'[2]$ зима'!ap392-'[2]$ зима'!an392-'[2]$ зима'!am392-'[2]$ зима'!al392-'[2]$ зима'!ak392-'[2]$ зима'!aj392-'[2]$ зима'!ah392-'[2]$ зима'!ag392-'[2]$ зима'!af392-'[2]$ зима'!ae392-'[2]$ зима'!ad392-'[2]$ зима'!ab392-'[2]$ зима'!aa392-'[2]$ зима'!z392-'[2]$ зима'!y392-'[2]$ зима'!x392-'[2]$ зима'!v392-'[2]$ зима'!u392-'[2]$ зима'!t392-'[2]$ зима'!s392-'[2]$ зима'!r392-'[2]$ зима'!p392-'[2]$ зима'!o392-'[2]$ зима'!n392-'[2]$ зима'!m392-'[2]$ зима'!l392+'[2]$ зима'!q392+'[2]$ зима'!w392+'[2]$ зима'!ac392+'[2]$ зима'!ai392+'[2]$ зима'!ao392+'[2]$ зима'!k392</f>
        <v>0</v>
      </c>
      <c r="I392" s="191" t="n">
        <f aca="false">'[2]$ зима'!ay392*1.1</f>
        <v>1139.6</v>
      </c>
    </row>
    <row r="393" customFormat="false" ht="15" hidden="true" customHeight="false" outlineLevel="0" collapsed="false">
      <c r="A393" s="188" t="s">
        <v>163</v>
      </c>
      <c r="B393" s="149" t="s">
        <v>1471</v>
      </c>
      <c r="C393" s="148" t="s">
        <v>3202</v>
      </c>
      <c r="D393" s="148"/>
      <c r="E393" s="148"/>
      <c r="F393" s="148"/>
      <c r="G393" s="193"/>
      <c r="H393" s="105" t="n">
        <f aca="false">'[2]$ зима'!j393-'[2]$ зима'!au393-'[2]$ зима'!at393-'[2]$ зима'!as393-'[2]$ зима'!ar393-'[2]$ зима'!aq393-'[2]$ зима'!ap393-'[2]$ зима'!an393-'[2]$ зима'!am393-'[2]$ зима'!al393-'[2]$ зима'!ak393-'[2]$ зима'!aj393-'[2]$ зима'!ah393-'[2]$ зима'!ag393-'[2]$ зима'!af393-'[2]$ зима'!ae393-'[2]$ зима'!ad393-'[2]$ зима'!ab393-'[2]$ зима'!aa393-'[2]$ зима'!z393-'[2]$ зима'!y393-'[2]$ зима'!x393-'[2]$ зима'!v393-'[2]$ зима'!u393-'[2]$ зима'!t393-'[2]$ зима'!s393-'[2]$ зима'!r393-'[2]$ зима'!p393-'[2]$ зима'!o393-'[2]$ зима'!n393-'[2]$ зима'!m393-'[2]$ зима'!l393+'[2]$ зима'!q393+'[2]$ зима'!w393+'[2]$ зима'!ac393+'[2]$ зима'!ai393+'[2]$ зима'!ao393+'[2]$ зима'!k393</f>
        <v>0</v>
      </c>
      <c r="I393" s="191" t="n">
        <f aca="false">'[2]$ зима'!ay393*1.1</f>
        <v>1108.8</v>
      </c>
    </row>
    <row r="394" customFormat="false" ht="15" hidden="true" customHeight="false" outlineLevel="0" collapsed="false">
      <c r="A394" s="188" t="s">
        <v>163</v>
      </c>
      <c r="B394" s="149" t="s">
        <v>1471</v>
      </c>
      <c r="C394" s="148" t="s">
        <v>3129</v>
      </c>
      <c r="D394" s="148"/>
      <c r="E394" s="148"/>
      <c r="F394" s="148"/>
      <c r="G394" s="193"/>
      <c r="H394" s="105" t="n">
        <f aca="false">'[2]$ зима'!j394-'[2]$ зима'!au394-'[2]$ зима'!at394-'[2]$ зима'!as394-'[2]$ зима'!ar394-'[2]$ зима'!aq394-'[2]$ зима'!ap394-'[2]$ зима'!an394-'[2]$ зима'!am394-'[2]$ зима'!al394-'[2]$ зима'!ak394-'[2]$ зима'!aj394-'[2]$ зима'!ah394-'[2]$ зима'!ag394-'[2]$ зима'!af394-'[2]$ зима'!ae394-'[2]$ зима'!ad394-'[2]$ зима'!ab394-'[2]$ зима'!aa394-'[2]$ зима'!z394-'[2]$ зима'!y394-'[2]$ зима'!x394-'[2]$ зима'!v394-'[2]$ зима'!u394-'[2]$ зима'!t394-'[2]$ зима'!s394-'[2]$ зима'!r394-'[2]$ зима'!p394-'[2]$ зима'!o394-'[2]$ зима'!n394-'[2]$ зима'!m394-'[2]$ зима'!l394+'[2]$ зима'!q394+'[2]$ зима'!w394+'[2]$ зима'!ac394+'[2]$ зима'!ai394+'[2]$ зима'!ao394+'[2]$ зима'!k394</f>
        <v>0</v>
      </c>
      <c r="I394" s="191" t="n">
        <f aca="false">'[2]$ зима'!ay394*1.1</f>
        <v>1201.2</v>
      </c>
    </row>
    <row r="395" customFormat="false" ht="15" hidden="true" customHeight="false" outlineLevel="0" collapsed="false">
      <c r="A395" s="188" t="s">
        <v>163</v>
      </c>
      <c r="B395" s="149" t="s">
        <v>583</v>
      </c>
      <c r="C395" s="148" t="s">
        <v>3282</v>
      </c>
      <c r="D395" s="148"/>
      <c r="E395" s="148"/>
      <c r="F395" s="148"/>
      <c r="G395" s="193"/>
      <c r="H395" s="105" t="n">
        <f aca="false">'[2]$ зима'!j395-'[2]$ зима'!au395-'[2]$ зима'!at395-'[2]$ зима'!as395-'[2]$ зима'!ar395-'[2]$ зима'!aq395-'[2]$ зима'!ap395-'[2]$ зима'!an395-'[2]$ зима'!am395-'[2]$ зима'!al395-'[2]$ зима'!ak395-'[2]$ зима'!aj395-'[2]$ зима'!ah395-'[2]$ зима'!ag395-'[2]$ зима'!af395-'[2]$ зима'!ae395-'[2]$ зима'!ad395-'[2]$ зима'!ab395-'[2]$ зима'!aa395-'[2]$ зима'!z395-'[2]$ зима'!y395-'[2]$ зима'!x395-'[2]$ зима'!v395-'[2]$ зима'!u395-'[2]$ зима'!t395-'[2]$ зима'!s395-'[2]$ зима'!r395-'[2]$ зима'!p395-'[2]$ зима'!o395-'[2]$ зима'!n395-'[2]$ зима'!m395-'[2]$ зима'!l395+'[2]$ зима'!q395+'[2]$ зима'!w395+'[2]$ зима'!ac395+'[2]$ зима'!ai395+'[2]$ зима'!ao395+'[2]$ зима'!k395</f>
        <v>0</v>
      </c>
      <c r="I395" s="191" t="n">
        <f aca="false">'[2]$ зима'!ay395*1.1</f>
        <v>1078</v>
      </c>
    </row>
    <row r="396" customFormat="false" ht="15" hidden="false" customHeight="false" outlineLevel="0" collapsed="false">
      <c r="A396" s="188" t="s">
        <v>163</v>
      </c>
      <c r="B396" s="149" t="s">
        <v>583</v>
      </c>
      <c r="C396" s="148" t="s">
        <v>3313</v>
      </c>
      <c r="D396" s="148"/>
      <c r="E396" s="192"/>
      <c r="F396" s="192"/>
      <c r="G396" s="193"/>
      <c r="H396" s="105" t="n">
        <f aca="false">'[2]$ зима'!j396-'[2]$ зима'!au396-'[2]$ зима'!at396-'[2]$ зима'!as396-'[2]$ зима'!ar396-'[2]$ зима'!aq396-'[2]$ зима'!ap396-'[2]$ зима'!an396-'[2]$ зима'!am396-'[2]$ зима'!al396-'[2]$ зима'!ak396-'[2]$ зима'!aj396-'[2]$ зима'!ah396-'[2]$ зима'!ag396-'[2]$ зима'!af396-'[2]$ зима'!ae396-'[2]$ зима'!ad396-'[2]$ зима'!ab396-'[2]$ зима'!aa396-'[2]$ зима'!z396-'[2]$ зима'!y396-'[2]$ зима'!x396-'[2]$ зима'!v396-'[2]$ зима'!u396-'[2]$ зима'!t396-'[2]$ зима'!s396-'[2]$ зима'!r396-'[2]$ зима'!p396-'[2]$ зима'!o396-'[2]$ зима'!n396-'[2]$ зима'!m396-'[2]$ зима'!l396+'[2]$ зима'!q396+'[2]$ зима'!w396+'[2]$ зима'!ac396+'[2]$ зима'!ai396+'[2]$ зима'!ao396+'[2]$ зима'!k396</f>
        <v>2</v>
      </c>
      <c r="I396" s="191" t="n">
        <f aca="false">'[2]$ зима'!ay396*1.1</f>
        <v>1324.4</v>
      </c>
    </row>
    <row r="397" customFormat="false" ht="15" hidden="false" customHeight="false" outlineLevel="0" collapsed="false">
      <c r="A397" s="188" t="s">
        <v>163</v>
      </c>
      <c r="B397" s="149" t="s">
        <v>613</v>
      </c>
      <c r="C397" s="148" t="s">
        <v>3166</v>
      </c>
      <c r="D397" s="221"/>
      <c r="E397" s="222" t="n">
        <v>92</v>
      </c>
      <c r="F397" s="222" t="s">
        <v>562</v>
      </c>
      <c r="G397" s="223"/>
      <c r="H397" s="105" t="n">
        <f aca="false">'[2]$ зима'!j397-'[2]$ зима'!au397-'[2]$ зима'!at397-'[2]$ зима'!as397-'[2]$ зима'!ar397-'[2]$ зима'!aq397-'[2]$ зима'!ap397-'[2]$ зима'!an397-'[2]$ зима'!am397-'[2]$ зима'!al397-'[2]$ зима'!ak397-'[2]$ зима'!aj397-'[2]$ зима'!ah397-'[2]$ зима'!ag397-'[2]$ зима'!af397-'[2]$ зима'!ae397-'[2]$ зима'!ad397-'[2]$ зима'!ab397-'[2]$ зима'!aa397-'[2]$ зима'!z397-'[2]$ зима'!y397-'[2]$ зима'!x397-'[2]$ зима'!v397-'[2]$ зима'!u397-'[2]$ зима'!t397-'[2]$ зима'!s397-'[2]$ зима'!r397-'[2]$ зима'!p397-'[2]$ зима'!o397-'[2]$ зима'!n397-'[2]$ зима'!m397-'[2]$ зима'!l397+'[2]$ зима'!q397+'[2]$ зима'!w397+'[2]$ зима'!ac397+'[2]$ зима'!ai397+'[2]$ зима'!ao397+'[2]$ зима'!k397</f>
        <v>8</v>
      </c>
      <c r="I397" s="191" t="n">
        <f aca="false">'[2]$ зима'!ay397*1.1</f>
        <v>1108.8</v>
      </c>
    </row>
    <row r="398" customFormat="false" ht="15" hidden="false" customHeight="false" outlineLevel="0" collapsed="false">
      <c r="A398" s="188" t="s">
        <v>163</v>
      </c>
      <c r="B398" s="149" t="s">
        <v>593</v>
      </c>
      <c r="C398" s="148" t="s">
        <v>3168</v>
      </c>
      <c r="D398" s="148"/>
      <c r="E398" s="192"/>
      <c r="F398" s="192"/>
      <c r="G398" s="193"/>
      <c r="H398" s="105" t="n">
        <f aca="false">'[2]$ зима'!j398-'[2]$ зима'!au398-'[2]$ зима'!at398-'[2]$ зима'!as398-'[2]$ зима'!ar398-'[2]$ зима'!aq398-'[2]$ зима'!ap398-'[2]$ зима'!an398-'[2]$ зима'!am398-'[2]$ зима'!al398-'[2]$ зима'!ak398-'[2]$ зима'!aj398-'[2]$ зима'!ah398-'[2]$ зима'!ag398-'[2]$ зима'!af398-'[2]$ зима'!ae398-'[2]$ зима'!ad398-'[2]$ зима'!ab398-'[2]$ зима'!aa398-'[2]$ зима'!z398-'[2]$ зима'!y398-'[2]$ зима'!x398-'[2]$ зима'!v398-'[2]$ зима'!u398-'[2]$ зима'!t398-'[2]$ зима'!s398-'[2]$ зима'!r398-'[2]$ зима'!p398-'[2]$ зима'!o398-'[2]$ зима'!n398-'[2]$ зима'!m398-'[2]$ зима'!l398+'[2]$ зима'!q398+'[2]$ зима'!w398+'[2]$ зима'!ac398+'[2]$ зима'!ai398+'[2]$ зима'!ao398+'[2]$ зима'!k398</f>
        <v>2</v>
      </c>
      <c r="I398" s="191" t="n">
        <f aca="false">'[2]$ зима'!ay398*1.1</f>
        <v>1078</v>
      </c>
      <c r="J398" s="171" t="n">
        <v>2007</v>
      </c>
    </row>
    <row r="399" customFormat="false" ht="15" hidden="false" customHeight="false" outlineLevel="0" collapsed="false">
      <c r="A399" s="188" t="s">
        <v>163</v>
      </c>
      <c r="B399" s="149" t="s">
        <v>593</v>
      </c>
      <c r="C399" s="148" t="s">
        <v>3236</v>
      </c>
      <c r="D399" s="148"/>
      <c r="E399" s="192"/>
      <c r="F399" s="192"/>
      <c r="G399" s="193" t="s">
        <v>935</v>
      </c>
      <c r="H399" s="105" t="n">
        <f aca="false">'[2]$ зима'!j399-'[2]$ зима'!au399-'[2]$ зима'!at399-'[2]$ зима'!as399-'[2]$ зима'!ar399-'[2]$ зима'!aq399-'[2]$ зима'!ap399-'[2]$ зима'!an399-'[2]$ зима'!am399-'[2]$ зима'!al399-'[2]$ зима'!ak399-'[2]$ зима'!aj399-'[2]$ зима'!ah399-'[2]$ зима'!ag399-'[2]$ зима'!af399-'[2]$ зима'!ae399-'[2]$ зима'!ad399-'[2]$ зима'!ab399-'[2]$ зима'!aa399-'[2]$ зима'!z399-'[2]$ зима'!y399-'[2]$ зима'!x399-'[2]$ зима'!v399-'[2]$ зима'!u399-'[2]$ зима'!t399-'[2]$ зима'!s399-'[2]$ зима'!r399-'[2]$ зима'!p399-'[2]$ зима'!o399-'[2]$ зима'!n399-'[2]$ зима'!m399-'[2]$ зима'!l399+'[2]$ зима'!q399+'[2]$ зима'!w399+'[2]$ зима'!ac399+'[2]$ зима'!ai399+'[2]$ зима'!ao399+'[2]$ зима'!k399</f>
        <v>6</v>
      </c>
      <c r="I399" s="191" t="n">
        <f aca="false">'[2]$ зима'!ay399*1.1</f>
        <v>1540</v>
      </c>
      <c r="J399" s="171" t="n">
        <v>2013</v>
      </c>
    </row>
    <row r="400" customFormat="false" ht="15" hidden="false" customHeight="false" outlineLevel="0" collapsed="false">
      <c r="A400" s="188" t="s">
        <v>163</v>
      </c>
      <c r="B400" s="149" t="s">
        <v>593</v>
      </c>
      <c r="C400" s="148" t="s">
        <v>3324</v>
      </c>
      <c r="D400" s="148"/>
      <c r="E400" s="192" t="n">
        <v>92</v>
      </c>
      <c r="F400" s="192" t="s">
        <v>832</v>
      </c>
      <c r="G400" s="193" t="s">
        <v>935</v>
      </c>
      <c r="H400" s="105" t="n">
        <f aca="false">'[2]$ зима'!j400-'[2]$ зима'!au400-'[2]$ зима'!at400-'[2]$ зима'!as400-'[2]$ зима'!ar400-'[2]$ зима'!aq400-'[2]$ зима'!ap400-'[2]$ зима'!an400-'[2]$ зима'!am400-'[2]$ зима'!al400-'[2]$ зима'!ak400-'[2]$ зима'!aj400-'[2]$ зима'!ah400-'[2]$ зима'!ag400-'[2]$ зима'!af400-'[2]$ зима'!ae400-'[2]$ зима'!ad400-'[2]$ зима'!ab400-'[2]$ зима'!aa400-'[2]$ зима'!z400-'[2]$ зима'!y400-'[2]$ зима'!x400-'[2]$ зима'!v400-'[2]$ зима'!u400-'[2]$ зима'!t400-'[2]$ зима'!s400-'[2]$ зима'!r400-'[2]$ зима'!p400-'[2]$ зима'!o400-'[2]$ зима'!n400-'[2]$ зима'!m400-'[2]$ зима'!l400+'[2]$ зима'!q400+'[2]$ зима'!w400+'[2]$ зима'!ac400+'[2]$ зима'!ai400+'[2]$ зима'!ao400+'[2]$ зима'!k400</f>
        <v>6</v>
      </c>
      <c r="I400" s="191" t="n">
        <f aca="false">'[2]$ зима'!ay400*1.1</f>
        <v>1878.8</v>
      </c>
    </row>
    <row r="401" customFormat="false" ht="15" hidden="false" customHeight="false" outlineLevel="0" collapsed="false">
      <c r="A401" s="188" t="s">
        <v>163</v>
      </c>
      <c r="B401" s="149" t="s">
        <v>593</v>
      </c>
      <c r="C401" s="148" t="s">
        <v>3325</v>
      </c>
      <c r="D401" s="214" t="s">
        <v>3147</v>
      </c>
      <c r="E401" s="192"/>
      <c r="F401" s="192"/>
      <c r="G401" s="193" t="s">
        <v>933</v>
      </c>
      <c r="H401" s="105" t="n">
        <f aca="false">'[2]$ зима'!j401-'[2]$ зима'!au401-'[2]$ зима'!at401-'[2]$ зима'!as401-'[2]$ зима'!ar401-'[2]$ зима'!aq401-'[2]$ зима'!ap401-'[2]$ зима'!an401-'[2]$ зима'!am401-'[2]$ зима'!al401-'[2]$ зима'!ak401-'[2]$ зима'!aj401-'[2]$ зима'!ah401-'[2]$ зима'!ag401-'[2]$ зима'!af401-'[2]$ зима'!ae401-'[2]$ зима'!ad401-'[2]$ зима'!ab401-'[2]$ зима'!aa401-'[2]$ зима'!z401-'[2]$ зима'!y401-'[2]$ зима'!x401-'[2]$ зима'!v401-'[2]$ зима'!u401-'[2]$ зима'!t401-'[2]$ зима'!s401-'[2]$ зима'!r401-'[2]$ зима'!p401-'[2]$ зима'!o401-'[2]$ зима'!n401-'[2]$ зима'!m401-'[2]$ зима'!l401+'[2]$ зима'!q401+'[2]$ зима'!w401+'[2]$ зима'!ac401+'[2]$ зима'!ai401+'[2]$ зима'!ao401+'[2]$ зима'!k401</f>
        <v>2</v>
      </c>
      <c r="I401" s="191" t="n">
        <f aca="false">'[2]$ зима'!ay401*1.1</f>
        <v>1386</v>
      </c>
      <c r="J401" s="171" t="n">
        <v>2008</v>
      </c>
    </row>
    <row r="402" customFormat="false" ht="15" hidden="false" customHeight="false" outlineLevel="0" collapsed="false">
      <c r="A402" s="188" t="s">
        <v>163</v>
      </c>
      <c r="B402" s="149" t="s">
        <v>593</v>
      </c>
      <c r="C402" s="148" t="s">
        <v>3326</v>
      </c>
      <c r="D402" s="214" t="s">
        <v>3147</v>
      </c>
      <c r="E402" s="192"/>
      <c r="F402" s="192"/>
      <c r="G402" s="193"/>
      <c r="H402" s="105" t="n">
        <f aca="false">'[2]$ зима'!j402-'[2]$ зима'!au402-'[2]$ зима'!at402-'[2]$ зима'!as402-'[2]$ зима'!ar402-'[2]$ зима'!aq402-'[2]$ зима'!ap402-'[2]$ зима'!an402-'[2]$ зима'!am402-'[2]$ зима'!al402-'[2]$ зима'!ak402-'[2]$ зима'!aj402-'[2]$ зима'!ah402-'[2]$ зима'!ag402-'[2]$ зима'!af402-'[2]$ зима'!ae402-'[2]$ зима'!ad402-'[2]$ зима'!ab402-'[2]$ зима'!aa402-'[2]$ зима'!z402-'[2]$ зима'!y402-'[2]$ зима'!x402-'[2]$ зима'!v402-'[2]$ зима'!u402-'[2]$ зима'!t402-'[2]$ зима'!s402-'[2]$ зима'!r402-'[2]$ зима'!p402-'[2]$ зима'!o402-'[2]$ зима'!n402-'[2]$ зима'!m402-'[2]$ зима'!l402+'[2]$ зима'!q402+'[2]$ зима'!w402+'[2]$ зима'!ac402+'[2]$ зима'!ai402+'[2]$ зима'!ao402+'[2]$ зима'!k402</f>
        <v>8</v>
      </c>
      <c r="I402" s="191" t="n">
        <f aca="false">'[2]$ зима'!ay402*1.1</f>
        <v>2002</v>
      </c>
    </row>
    <row r="403" customFormat="false" ht="15" hidden="true" customHeight="false" outlineLevel="0" collapsed="false">
      <c r="A403" s="188" t="s">
        <v>163</v>
      </c>
      <c r="B403" s="149" t="s">
        <v>586</v>
      </c>
      <c r="C403" s="148" t="s">
        <v>3327</v>
      </c>
      <c r="D403" s="148"/>
      <c r="E403" s="148" t="n">
        <v>88</v>
      </c>
      <c r="F403" s="148" t="s">
        <v>634</v>
      </c>
      <c r="G403" s="193"/>
      <c r="H403" s="105" t="n">
        <f aca="false">'[2]$ зима'!j403-'[2]$ зима'!au403-'[2]$ зима'!at403-'[2]$ зима'!as403-'[2]$ зима'!ar403-'[2]$ зима'!aq403-'[2]$ зима'!ap403-'[2]$ зима'!an403-'[2]$ зима'!am403-'[2]$ зима'!al403-'[2]$ зима'!ak403-'[2]$ зима'!aj403-'[2]$ зима'!ah403-'[2]$ зима'!ag403-'[2]$ зима'!af403-'[2]$ зима'!ae403-'[2]$ зима'!ad403-'[2]$ зима'!ab403-'[2]$ зима'!aa403-'[2]$ зима'!z403-'[2]$ зима'!y403-'[2]$ зима'!x403-'[2]$ зима'!v403-'[2]$ зима'!u403-'[2]$ зима'!t403-'[2]$ зима'!s403-'[2]$ зима'!r403-'[2]$ зима'!p403-'[2]$ зима'!o403-'[2]$ зима'!n403-'[2]$ зима'!m403-'[2]$ зима'!l403+'[2]$ зима'!q403+'[2]$ зима'!w403+'[2]$ зима'!ac403+'[2]$ зима'!ai403+'[2]$ зима'!ao403+'[2]$ зима'!k403</f>
        <v>0</v>
      </c>
      <c r="I403" s="191" t="n">
        <f aca="false">'[2]$ зима'!ay403*1.1</f>
        <v>924</v>
      </c>
    </row>
    <row r="404" customFormat="false" ht="15" hidden="false" customHeight="false" outlineLevel="0" collapsed="false">
      <c r="A404" s="188" t="s">
        <v>163</v>
      </c>
      <c r="B404" s="149" t="s">
        <v>3142</v>
      </c>
      <c r="C404" s="148" t="s">
        <v>3169</v>
      </c>
      <c r="D404" s="148" t="s">
        <v>3127</v>
      </c>
      <c r="E404" s="192"/>
      <c r="F404" s="192"/>
      <c r="G404" s="193"/>
      <c r="H404" s="105" t="n">
        <f aca="false">'[2]$ зима'!j404-'[2]$ зима'!au404-'[2]$ зима'!at404-'[2]$ зима'!as404-'[2]$ зима'!ar404-'[2]$ зима'!aq404-'[2]$ зима'!ap404-'[2]$ зима'!an404-'[2]$ зима'!am404-'[2]$ зима'!al404-'[2]$ зима'!ak404-'[2]$ зима'!aj404-'[2]$ зима'!ah404-'[2]$ зима'!ag404-'[2]$ зима'!af404-'[2]$ зима'!ae404-'[2]$ зима'!ad404-'[2]$ зима'!ab404-'[2]$ зима'!aa404-'[2]$ зима'!z404-'[2]$ зима'!y404-'[2]$ зима'!x404-'[2]$ зима'!v404-'[2]$ зима'!u404-'[2]$ зима'!t404-'[2]$ зима'!s404-'[2]$ зима'!r404-'[2]$ зима'!p404-'[2]$ зима'!o404-'[2]$ зима'!n404-'[2]$ зима'!m404-'[2]$ зима'!l404+'[2]$ зима'!q404+'[2]$ зима'!w404+'[2]$ зима'!ac404+'[2]$ зима'!ai404+'[2]$ зима'!ao404+'[2]$ зима'!k404</f>
        <v>4</v>
      </c>
      <c r="I404" s="191" t="n">
        <f aca="false">'[2]$ зима'!ay404*1.1</f>
        <v>1108.8</v>
      </c>
    </row>
    <row r="405" customFormat="false" ht="15" hidden="false" customHeight="false" outlineLevel="0" collapsed="false">
      <c r="A405" s="188" t="s">
        <v>163</v>
      </c>
      <c r="B405" s="149" t="s">
        <v>3142</v>
      </c>
      <c r="C405" s="148" t="s">
        <v>3328</v>
      </c>
      <c r="D405" s="148" t="s">
        <v>3127</v>
      </c>
      <c r="E405" s="192"/>
      <c r="F405" s="192"/>
      <c r="G405" s="193"/>
      <c r="H405" s="105" t="n">
        <f aca="false">'[2]$ зима'!j405-'[2]$ зима'!au405-'[2]$ зима'!at405-'[2]$ зима'!as405-'[2]$ зима'!ar405-'[2]$ зима'!aq405-'[2]$ зима'!ap405-'[2]$ зима'!an405-'[2]$ зима'!am405-'[2]$ зима'!al405-'[2]$ зима'!ak405-'[2]$ зима'!aj405-'[2]$ зима'!ah405-'[2]$ зима'!ag405-'[2]$ зима'!af405-'[2]$ зима'!ae405-'[2]$ зима'!ad405-'[2]$ зима'!ab405-'[2]$ зима'!aa405-'[2]$ зима'!z405-'[2]$ зима'!y405-'[2]$ зима'!x405-'[2]$ зима'!v405-'[2]$ зима'!u405-'[2]$ зима'!t405-'[2]$ зима'!s405-'[2]$ зима'!r405-'[2]$ зима'!p405-'[2]$ зима'!o405-'[2]$ зима'!n405-'[2]$ зима'!m405-'[2]$ зима'!l405+'[2]$ зима'!q405+'[2]$ зима'!w405+'[2]$ зима'!ac405+'[2]$ зима'!ai405+'[2]$ зима'!ao405+'[2]$ зима'!k405</f>
        <v>20</v>
      </c>
      <c r="I405" s="191" t="n">
        <f aca="false">'[2]$ зима'!ay405*1.1</f>
        <v>1108.8</v>
      </c>
    </row>
    <row r="406" customFormat="false" ht="15" hidden="true" customHeight="false" outlineLevel="0" collapsed="false">
      <c r="A406" s="188" t="s">
        <v>163</v>
      </c>
      <c r="B406" s="149" t="s">
        <v>3142</v>
      </c>
      <c r="C406" s="148" t="s">
        <v>3143</v>
      </c>
      <c r="D406" s="148"/>
      <c r="E406" s="148"/>
      <c r="F406" s="148"/>
      <c r="G406" s="193"/>
      <c r="H406" s="105" t="n">
        <f aca="false">'[2]$ зима'!j406-'[2]$ зима'!au406-'[2]$ зима'!at406-'[2]$ зима'!as406-'[2]$ зима'!ar406-'[2]$ зима'!aq406-'[2]$ зима'!ap406-'[2]$ зима'!an406-'[2]$ зима'!am406-'[2]$ зима'!al406-'[2]$ зима'!ak406-'[2]$ зима'!aj406-'[2]$ зима'!ah406-'[2]$ зима'!ag406-'[2]$ зима'!af406-'[2]$ зима'!ae406-'[2]$ зима'!ad406-'[2]$ зима'!ab406-'[2]$ зима'!aa406-'[2]$ зима'!z406-'[2]$ зима'!y406-'[2]$ зима'!x406-'[2]$ зима'!v406-'[2]$ зима'!u406-'[2]$ зима'!t406-'[2]$ зима'!s406-'[2]$ зима'!r406-'[2]$ зима'!p406-'[2]$ зима'!o406-'[2]$ зима'!n406-'[2]$ зима'!m406-'[2]$ зима'!l406+'[2]$ зима'!q406+'[2]$ зима'!w406+'[2]$ зима'!ac406+'[2]$ зима'!ai406+'[2]$ зима'!ao406+'[2]$ зима'!k406</f>
        <v>0</v>
      </c>
      <c r="I406" s="191" t="n">
        <f aca="false">'[2]$ зима'!ay406*1.1</f>
        <v>924</v>
      </c>
    </row>
    <row r="407" customFormat="false" ht="15" hidden="false" customHeight="false" outlineLevel="0" collapsed="false">
      <c r="A407" s="188" t="s">
        <v>163</v>
      </c>
      <c r="B407" s="149" t="s">
        <v>621</v>
      </c>
      <c r="C407" s="148" t="s">
        <v>3293</v>
      </c>
      <c r="D407" s="148"/>
      <c r="E407" s="192" t="n">
        <v>88</v>
      </c>
      <c r="F407" s="192" t="s">
        <v>562</v>
      </c>
      <c r="G407" s="193"/>
      <c r="H407" s="105" t="n">
        <f aca="false">'[2]$ зима'!j407-'[2]$ зима'!au407-'[2]$ зима'!at407-'[2]$ зима'!as407-'[2]$ зима'!ar407-'[2]$ зима'!aq407-'[2]$ зима'!ap407-'[2]$ зима'!an407-'[2]$ зима'!am407-'[2]$ зима'!al407-'[2]$ зима'!ak407-'[2]$ зима'!aj407-'[2]$ зима'!ah407-'[2]$ зима'!ag407-'[2]$ зима'!af407-'[2]$ зима'!ae407-'[2]$ зима'!ad407-'[2]$ зима'!ab407-'[2]$ зима'!aa407-'[2]$ зима'!z407-'[2]$ зима'!y407-'[2]$ зима'!x407-'[2]$ зима'!v407-'[2]$ зима'!u407-'[2]$ зима'!t407-'[2]$ зима'!s407-'[2]$ зима'!r407-'[2]$ зима'!p407-'[2]$ зима'!o407-'[2]$ зима'!n407-'[2]$ зима'!m407-'[2]$ зима'!l407+'[2]$ зима'!q407+'[2]$ зима'!w407+'[2]$ зима'!ac407+'[2]$ зима'!ai407+'[2]$ зима'!ao407+'[2]$ зима'!k407</f>
        <v>6</v>
      </c>
      <c r="I407" s="191" t="n">
        <f aca="false">'[2]$ зима'!ay407*1.1</f>
        <v>1078</v>
      </c>
    </row>
    <row r="408" customFormat="false" ht="15" hidden="false" customHeight="false" outlineLevel="0" collapsed="false">
      <c r="A408" s="188" t="s">
        <v>163</v>
      </c>
      <c r="B408" s="149" t="s">
        <v>589</v>
      </c>
      <c r="C408" s="148" t="s">
        <v>3209</v>
      </c>
      <c r="D408" s="148"/>
      <c r="E408" s="192" t="n">
        <v>88</v>
      </c>
      <c r="F408" s="192" t="s">
        <v>3207</v>
      </c>
      <c r="G408" s="193" t="s">
        <v>626</v>
      </c>
      <c r="H408" s="105" t="n">
        <f aca="false">'[2]$ зима'!j408-'[2]$ зима'!au408-'[2]$ зима'!at408-'[2]$ зима'!as408-'[2]$ зима'!ar408-'[2]$ зима'!aq408-'[2]$ зима'!ap408-'[2]$ зима'!an408-'[2]$ зима'!am408-'[2]$ зима'!al408-'[2]$ зима'!ak408-'[2]$ зима'!aj408-'[2]$ зима'!ah408-'[2]$ зима'!ag408-'[2]$ зима'!af408-'[2]$ зима'!ae408-'[2]$ зима'!ad408-'[2]$ зима'!ab408-'[2]$ зима'!aa408-'[2]$ зима'!z408-'[2]$ зима'!y408-'[2]$ зима'!x408-'[2]$ зима'!v408-'[2]$ зима'!u408-'[2]$ зима'!t408-'[2]$ зима'!s408-'[2]$ зима'!r408-'[2]$ зима'!p408-'[2]$ зима'!o408-'[2]$ зима'!n408-'[2]$ зима'!m408-'[2]$ зима'!l408+'[2]$ зима'!q408+'[2]$ зима'!w408+'[2]$ зима'!ac408+'[2]$ зима'!ai408+'[2]$ зима'!ao408+'[2]$ зима'!k408</f>
        <v>5</v>
      </c>
      <c r="I408" s="191" t="n">
        <f aca="false">'[2]$ зима'!ay408*1.1</f>
        <v>1718.2</v>
      </c>
      <c r="J408" s="171" t="n">
        <v>2018</v>
      </c>
    </row>
    <row r="409" customFormat="false" ht="15" hidden="false" customHeight="false" outlineLevel="0" collapsed="false">
      <c r="A409" s="188" t="s">
        <v>163</v>
      </c>
      <c r="B409" s="149" t="s">
        <v>564</v>
      </c>
      <c r="C409" s="148" t="s">
        <v>3308</v>
      </c>
      <c r="D409" s="148"/>
      <c r="E409" s="192"/>
      <c r="F409" s="192"/>
      <c r="G409" s="193"/>
      <c r="H409" s="105" t="n">
        <f aca="false">'[2]$ зима'!j409-'[2]$ зима'!au409-'[2]$ зима'!at409-'[2]$ зима'!as409-'[2]$ зима'!ar409-'[2]$ зима'!aq409-'[2]$ зима'!ap409-'[2]$ зима'!an409-'[2]$ зима'!am409-'[2]$ зима'!al409-'[2]$ зима'!ak409-'[2]$ зима'!aj409-'[2]$ зима'!ah409-'[2]$ зима'!ag409-'[2]$ зима'!af409-'[2]$ зима'!ae409-'[2]$ зима'!ad409-'[2]$ зима'!ab409-'[2]$ зима'!aa409-'[2]$ зима'!z409-'[2]$ зима'!y409-'[2]$ зима'!x409-'[2]$ зима'!v409-'[2]$ зима'!u409-'[2]$ зима'!t409-'[2]$ зима'!s409-'[2]$ зима'!r409-'[2]$ зима'!p409-'[2]$ зима'!o409-'[2]$ зима'!n409-'[2]$ зима'!m409-'[2]$ зима'!l409+'[2]$ зима'!q409+'[2]$ зима'!w409+'[2]$ зима'!ac409+'[2]$ зима'!ai409+'[2]$ зима'!ao409+'[2]$ зима'!k409</f>
        <v>8</v>
      </c>
      <c r="I409" s="191" t="n">
        <f aca="false">'[2]$ зима'!ay409*1.1</f>
        <v>1108.8</v>
      </c>
      <c r="J409" s="171" t="n">
        <v>2017</v>
      </c>
    </row>
    <row r="410" customFormat="false" ht="15" hidden="false" customHeight="false" outlineLevel="0" collapsed="false">
      <c r="A410" s="188" t="s">
        <v>163</v>
      </c>
      <c r="B410" s="149" t="s">
        <v>589</v>
      </c>
      <c r="C410" s="148" t="s">
        <v>3224</v>
      </c>
      <c r="D410" s="148"/>
      <c r="E410" s="192" t="n">
        <v>88</v>
      </c>
      <c r="F410" s="192" t="s">
        <v>562</v>
      </c>
      <c r="G410" s="193" t="s">
        <v>626</v>
      </c>
      <c r="H410" s="105" t="n">
        <f aca="false">'[2]$ зима'!j410-'[2]$ зима'!au410-'[2]$ зима'!at410-'[2]$ зима'!as410-'[2]$ зима'!ar410-'[2]$ зима'!aq410-'[2]$ зима'!ap410-'[2]$ зима'!an410-'[2]$ зима'!am410-'[2]$ зима'!al410-'[2]$ зима'!ak410-'[2]$ зима'!aj410-'[2]$ зима'!ah410-'[2]$ зима'!ag410-'[2]$ зима'!af410-'[2]$ зима'!ae410-'[2]$ зима'!ad410-'[2]$ зима'!ab410-'[2]$ зима'!aa410-'[2]$ зима'!z410-'[2]$ зима'!y410-'[2]$ зима'!x410-'[2]$ зима'!v410-'[2]$ зима'!u410-'[2]$ зима'!t410-'[2]$ зима'!s410-'[2]$ зима'!r410-'[2]$ зима'!p410-'[2]$ зима'!o410-'[2]$ зима'!n410-'[2]$ зима'!m410-'[2]$ зима'!l410+'[2]$ зима'!q410+'[2]$ зима'!w410+'[2]$ зима'!ac410+'[2]$ зима'!ai410+'[2]$ зима'!ao410+'[2]$ зима'!k410</f>
        <v>4</v>
      </c>
      <c r="I410" s="191" t="n">
        <f aca="false">'[2]$ зима'!ay410*1.1</f>
        <v>1499.52</v>
      </c>
    </row>
    <row r="411" customFormat="false" ht="15" hidden="false" customHeight="false" outlineLevel="0" collapsed="false">
      <c r="A411" s="196" t="s">
        <v>163</v>
      </c>
      <c r="B411" s="149" t="s">
        <v>1028</v>
      </c>
      <c r="C411" s="148" t="s">
        <v>3329</v>
      </c>
      <c r="D411" s="148" t="s">
        <v>3147</v>
      </c>
      <c r="E411" s="192"/>
      <c r="F411" s="192"/>
      <c r="G411" s="193"/>
      <c r="H411" s="105" t="n">
        <f aca="false">'[2]$ зима'!j411-'[2]$ зима'!au411-'[2]$ зима'!at411-'[2]$ зима'!as411-'[2]$ зима'!ar411-'[2]$ зима'!aq411-'[2]$ зима'!ap411-'[2]$ зима'!an411-'[2]$ зима'!am411-'[2]$ зима'!al411-'[2]$ зима'!ak411-'[2]$ зима'!aj411-'[2]$ зима'!ah411-'[2]$ зима'!ag411-'[2]$ зима'!af411-'[2]$ зима'!ae411-'[2]$ зима'!ad411-'[2]$ зима'!ab411-'[2]$ зима'!aa411-'[2]$ зима'!z411-'[2]$ зима'!y411-'[2]$ зима'!x411-'[2]$ зима'!v411-'[2]$ зима'!u411-'[2]$ зима'!t411-'[2]$ зима'!s411-'[2]$ зима'!r411-'[2]$ зима'!p411-'[2]$ зима'!o411-'[2]$ зима'!n411-'[2]$ зима'!m411-'[2]$ зима'!l411+'[2]$ зима'!q411+'[2]$ зима'!w411+'[2]$ зима'!ac411+'[2]$ зима'!ai411+'[2]$ зима'!ao411+'[2]$ зима'!k411</f>
        <v>2</v>
      </c>
      <c r="I411" s="191" t="n">
        <f aca="false">'[2]$ зима'!ay411*1.1</f>
        <v>1694</v>
      </c>
    </row>
    <row r="412" customFormat="false" ht="15" hidden="true" customHeight="false" outlineLevel="0" collapsed="false">
      <c r="A412" s="188" t="s">
        <v>170</v>
      </c>
      <c r="B412" s="149" t="s">
        <v>2705</v>
      </c>
      <c r="C412" s="148" t="s">
        <v>3330</v>
      </c>
      <c r="D412" s="148"/>
      <c r="E412" s="148"/>
      <c r="F412" s="148"/>
      <c r="G412" s="193"/>
      <c r="H412" s="105" t="n">
        <f aca="false">'[2]$ зима'!j412-'[2]$ зима'!au412-'[2]$ зима'!at412-'[2]$ зима'!as412-'[2]$ зима'!ar412-'[2]$ зима'!aq412-'[2]$ зима'!ap412-'[2]$ зима'!an412-'[2]$ зима'!am412-'[2]$ зима'!al412-'[2]$ зима'!ak412-'[2]$ зима'!aj412-'[2]$ зима'!ah412-'[2]$ зима'!ag412-'[2]$ зима'!af412-'[2]$ зима'!ae412-'[2]$ зима'!ad412-'[2]$ зима'!ab412-'[2]$ зима'!aa412-'[2]$ зима'!z412-'[2]$ зима'!y412-'[2]$ зима'!x412-'[2]$ зима'!v412-'[2]$ зима'!u412-'[2]$ зима'!t412-'[2]$ зима'!s412-'[2]$ зима'!r412-'[2]$ зима'!p412-'[2]$ зима'!o412-'[2]$ зима'!n412-'[2]$ зима'!m412-'[2]$ зима'!l412+'[2]$ зима'!q412+'[2]$ зима'!w412+'[2]$ зима'!ac412+'[2]$ зима'!ai412+'[2]$ зима'!ao412+'[2]$ зима'!k412</f>
        <v>0</v>
      </c>
      <c r="I412" s="191" t="n">
        <f aca="false">'[2]$ зима'!ay412*1.1</f>
        <v>1047.2</v>
      </c>
    </row>
    <row r="413" customFormat="false" ht="15" hidden="true" customHeight="false" outlineLevel="0" collapsed="false">
      <c r="A413" s="188" t="s">
        <v>170</v>
      </c>
      <c r="B413" s="149" t="s">
        <v>568</v>
      </c>
      <c r="C413" s="148" t="s">
        <v>3121</v>
      </c>
      <c r="D413" s="148"/>
      <c r="E413" s="148"/>
      <c r="F413" s="148"/>
      <c r="G413" s="193"/>
      <c r="H413" s="105" t="n">
        <f aca="false">'[2]$ зима'!j413-'[2]$ зима'!au413-'[2]$ зима'!at413-'[2]$ зима'!as413-'[2]$ зима'!ar413-'[2]$ зима'!aq413-'[2]$ зима'!ap413-'[2]$ зима'!an413-'[2]$ зима'!am413-'[2]$ зима'!al413-'[2]$ зима'!ak413-'[2]$ зима'!aj413-'[2]$ зима'!ah413-'[2]$ зима'!ag413-'[2]$ зима'!af413-'[2]$ зима'!ae413-'[2]$ зима'!ad413-'[2]$ зима'!ab413-'[2]$ зима'!aa413-'[2]$ зима'!z413-'[2]$ зима'!y413-'[2]$ зима'!x413-'[2]$ зима'!v413-'[2]$ зима'!u413-'[2]$ зима'!t413-'[2]$ зима'!s413-'[2]$ зима'!r413-'[2]$ зима'!p413-'[2]$ зима'!o413-'[2]$ зима'!n413-'[2]$ зима'!m413-'[2]$ зима'!l413+'[2]$ зима'!q413+'[2]$ зима'!w413+'[2]$ зима'!ac413+'[2]$ зима'!ai413+'[2]$ зима'!ao413+'[2]$ зима'!k413</f>
        <v>0</v>
      </c>
      <c r="I413" s="191" t="n">
        <f aca="false">'[2]$ зима'!ay413*1.1</f>
        <v>1047.2</v>
      </c>
    </row>
    <row r="414" customFormat="false" ht="15" hidden="false" customHeight="false" outlineLevel="0" collapsed="false">
      <c r="A414" s="188" t="s">
        <v>170</v>
      </c>
      <c r="B414" s="149" t="s">
        <v>601</v>
      </c>
      <c r="C414" s="148" t="s">
        <v>3331</v>
      </c>
      <c r="D414" s="148"/>
      <c r="E414" s="192" t="n">
        <v>91</v>
      </c>
      <c r="F414" s="192" t="s">
        <v>1455</v>
      </c>
      <c r="G414" s="193" t="s">
        <v>626</v>
      </c>
      <c r="H414" s="105" t="n">
        <f aca="false">'[2]$ зима'!j414-'[2]$ зима'!au414-'[2]$ зима'!at414-'[2]$ зима'!as414-'[2]$ зима'!ar414-'[2]$ зима'!aq414-'[2]$ зима'!ap414-'[2]$ зима'!an414-'[2]$ зима'!am414-'[2]$ зима'!al414-'[2]$ зима'!ak414-'[2]$ зима'!aj414-'[2]$ зима'!ah414-'[2]$ зима'!ag414-'[2]$ зима'!af414-'[2]$ зима'!ae414-'[2]$ зима'!ad414-'[2]$ зима'!ab414-'[2]$ зима'!aa414-'[2]$ зима'!z414-'[2]$ зима'!y414-'[2]$ зима'!x414-'[2]$ зима'!v414-'[2]$ зима'!u414-'[2]$ зима'!t414-'[2]$ зима'!s414-'[2]$ зима'!r414-'[2]$ зима'!p414-'[2]$ зима'!o414-'[2]$ зима'!n414-'[2]$ зима'!m414-'[2]$ зима'!l414+'[2]$ зима'!q414+'[2]$ зима'!w414+'[2]$ зима'!ac414+'[2]$ зима'!ai414+'[2]$ зима'!ao414+'[2]$ зима'!k414</f>
        <v>3</v>
      </c>
      <c r="I414" s="191" t="n">
        <f aca="false">'[2]$ зима'!ay414*1.1</f>
        <v>1724.8</v>
      </c>
      <c r="J414" s="171" t="n">
        <v>2015</v>
      </c>
    </row>
    <row r="415" customFormat="false" ht="15" hidden="true" customHeight="false" outlineLevel="0" collapsed="false">
      <c r="A415" s="188" t="s">
        <v>170</v>
      </c>
      <c r="B415" s="149" t="s">
        <v>601</v>
      </c>
      <c r="C415" s="148" t="s">
        <v>3332</v>
      </c>
      <c r="D415" s="148"/>
      <c r="E415" s="148" t="n">
        <v>91</v>
      </c>
      <c r="F415" s="148" t="s">
        <v>1455</v>
      </c>
      <c r="G415" s="193"/>
      <c r="H415" s="105" t="n">
        <f aca="false">'[2]$ зима'!j415-'[2]$ зима'!au415-'[2]$ зима'!at415-'[2]$ зима'!as415-'[2]$ зима'!ar415-'[2]$ зима'!aq415-'[2]$ зима'!ap415-'[2]$ зима'!an415-'[2]$ зима'!am415-'[2]$ зима'!al415-'[2]$ зима'!ak415-'[2]$ зима'!aj415-'[2]$ зима'!ah415-'[2]$ зима'!ag415-'[2]$ зима'!af415-'[2]$ зима'!ae415-'[2]$ зима'!ad415-'[2]$ зима'!ab415-'[2]$ зима'!aa415-'[2]$ зима'!z415-'[2]$ зима'!y415-'[2]$ зима'!x415-'[2]$ зима'!v415-'[2]$ зима'!u415-'[2]$ зима'!t415-'[2]$ зима'!s415-'[2]$ зима'!r415-'[2]$ зима'!p415-'[2]$ зима'!o415-'[2]$ зима'!n415-'[2]$ зима'!m415-'[2]$ зима'!l415+'[2]$ зима'!q415+'[2]$ зима'!w415+'[2]$ зима'!ac415+'[2]$ зима'!ai415+'[2]$ зима'!ao415+'[2]$ зима'!k415</f>
        <v>0</v>
      </c>
      <c r="I415" s="191" t="n">
        <f aca="false">'[2]$ зима'!ay415*1.1</f>
        <v>1940.4</v>
      </c>
    </row>
    <row r="416" customFormat="false" ht="15" hidden="false" customHeight="false" outlineLevel="0" collapsed="false">
      <c r="A416" s="217" t="s">
        <v>170</v>
      </c>
      <c r="B416" s="157" t="s">
        <v>601</v>
      </c>
      <c r="C416" s="158"/>
      <c r="D416" s="158"/>
      <c r="E416" s="224"/>
      <c r="F416" s="224"/>
      <c r="G416" s="218"/>
      <c r="H416" s="105" t="n">
        <f aca="false">'[2]$ зима'!j416-'[2]$ зима'!au416-'[2]$ зима'!at416-'[2]$ зима'!as416-'[2]$ зима'!ar416-'[2]$ зима'!aq416-'[2]$ зима'!ap416-'[2]$ зима'!an416-'[2]$ зима'!am416-'[2]$ зима'!al416-'[2]$ зима'!ak416-'[2]$ зима'!aj416-'[2]$ зима'!ah416-'[2]$ зима'!ag416-'[2]$ зима'!af416-'[2]$ зима'!ae416-'[2]$ зима'!ad416-'[2]$ зима'!ab416-'[2]$ зима'!aa416-'[2]$ зима'!z416-'[2]$ зима'!y416-'[2]$ зима'!x416-'[2]$ зима'!v416-'[2]$ зима'!u416-'[2]$ зима'!t416-'[2]$ зима'!s416-'[2]$ зима'!r416-'[2]$ зима'!p416-'[2]$ зима'!o416-'[2]$ зима'!n416-'[2]$ зима'!m416-'[2]$ зима'!l416+'[2]$ зима'!q416+'[2]$ зима'!w416+'[2]$ зима'!ac416+'[2]$ зима'!ai416+'[2]$ зима'!ao416+'[2]$ зима'!k416</f>
        <v>2</v>
      </c>
      <c r="I416" s="219" t="n">
        <f aca="false">'[2]$ зима'!ay416*1.1</f>
        <v>990</v>
      </c>
    </row>
    <row r="417" customFormat="false" ht="15" hidden="true" customHeight="false" outlineLevel="0" collapsed="false">
      <c r="A417" s="188" t="s">
        <v>170</v>
      </c>
      <c r="B417" s="149" t="s">
        <v>658</v>
      </c>
      <c r="C417" s="148" t="s">
        <v>3333</v>
      </c>
      <c r="D417" s="148"/>
      <c r="E417" s="148"/>
      <c r="F417" s="148"/>
      <c r="G417" s="193"/>
      <c r="H417" s="105" t="n">
        <f aca="false">'[2]$ зима'!j417-'[2]$ зима'!au417-'[2]$ зима'!at417-'[2]$ зима'!as417-'[2]$ зима'!ar417-'[2]$ зима'!aq417-'[2]$ зима'!ap417-'[2]$ зима'!an417-'[2]$ зима'!am417-'[2]$ зима'!al417-'[2]$ зима'!ak417-'[2]$ зима'!aj417-'[2]$ зима'!ah417-'[2]$ зима'!ag417-'[2]$ зима'!af417-'[2]$ зима'!ae417-'[2]$ зима'!ad417-'[2]$ зима'!ab417-'[2]$ зима'!aa417-'[2]$ зима'!z417-'[2]$ зима'!y417-'[2]$ зима'!x417-'[2]$ зима'!v417-'[2]$ зима'!u417-'[2]$ зима'!t417-'[2]$ зима'!s417-'[2]$ зима'!r417-'[2]$ зима'!p417-'[2]$ зима'!o417-'[2]$ зима'!n417-'[2]$ зима'!m417-'[2]$ зима'!l417+'[2]$ зима'!q417+'[2]$ зима'!w417+'[2]$ зима'!ac417+'[2]$ зима'!ai417+'[2]$ зима'!ao417+'[2]$ зима'!k417</f>
        <v>0</v>
      </c>
      <c r="I417" s="191" t="n">
        <f aca="false">'[2]$ зима'!ay417*1.1</f>
        <v>1601.6</v>
      </c>
      <c r="J417" s="171" t="n">
        <v>2017</v>
      </c>
    </row>
    <row r="418" customFormat="false" ht="15" hidden="true" customHeight="false" outlineLevel="0" collapsed="false">
      <c r="A418" s="188" t="s">
        <v>170</v>
      </c>
      <c r="B418" s="149" t="s">
        <v>3193</v>
      </c>
      <c r="C418" s="148" t="s">
        <v>3212</v>
      </c>
      <c r="D418" s="148"/>
      <c r="E418" s="148"/>
      <c r="F418" s="148"/>
      <c r="G418" s="193" t="s">
        <v>1062</v>
      </c>
      <c r="H418" s="105" t="n">
        <f aca="false">'[2]$ зима'!j418-'[2]$ зима'!au418-'[2]$ зима'!at418-'[2]$ зима'!as418-'[2]$ зима'!ar418-'[2]$ зима'!aq418-'[2]$ зима'!ap418-'[2]$ зима'!an418-'[2]$ зима'!am418-'[2]$ зима'!al418-'[2]$ зима'!ak418-'[2]$ зима'!aj418-'[2]$ зима'!ah418-'[2]$ зима'!ag418-'[2]$ зима'!af418-'[2]$ зима'!ae418-'[2]$ зима'!ad418-'[2]$ зима'!ab418-'[2]$ зима'!aa418-'[2]$ зима'!z418-'[2]$ зима'!y418-'[2]$ зима'!x418-'[2]$ зима'!v418-'[2]$ зима'!u418-'[2]$ зима'!t418-'[2]$ зима'!s418-'[2]$ зима'!r418-'[2]$ зима'!p418-'[2]$ зима'!o418-'[2]$ зима'!n418-'[2]$ зима'!m418-'[2]$ зима'!l418+'[2]$ зима'!q418+'[2]$ зима'!w418+'[2]$ зима'!ac418+'[2]$ зима'!ai418+'[2]$ зима'!ao418+'[2]$ зима'!k418</f>
        <v>0</v>
      </c>
      <c r="I418" s="191" t="n">
        <f aca="false">'[2]$ зима'!ay418*1.1</f>
        <v>1293.6</v>
      </c>
    </row>
    <row r="419" customFormat="false" ht="15" hidden="true" customHeight="false" outlineLevel="0" collapsed="false">
      <c r="A419" s="188" t="s">
        <v>170</v>
      </c>
      <c r="B419" s="149" t="s">
        <v>555</v>
      </c>
      <c r="C419" s="148" t="s">
        <v>3140</v>
      </c>
      <c r="D419" s="148"/>
      <c r="E419" s="148"/>
      <c r="F419" s="148"/>
      <c r="G419" s="193"/>
      <c r="H419" s="105" t="n">
        <f aca="false">'[2]$ зима'!j419-'[2]$ зима'!au419-'[2]$ зима'!at419-'[2]$ зима'!as419-'[2]$ зима'!ar419-'[2]$ зима'!aq419-'[2]$ зима'!ap419-'[2]$ зима'!an419-'[2]$ зима'!am419-'[2]$ зима'!al419-'[2]$ зима'!ak419-'[2]$ зима'!aj419-'[2]$ зима'!ah419-'[2]$ зима'!ag419-'[2]$ зима'!af419-'[2]$ зима'!ae419-'[2]$ зима'!ad419-'[2]$ зима'!ab419-'[2]$ зима'!aa419-'[2]$ зима'!z419-'[2]$ зима'!y419-'[2]$ зима'!x419-'[2]$ зима'!v419-'[2]$ зима'!u419-'[2]$ зима'!t419-'[2]$ зима'!s419-'[2]$ зима'!r419-'[2]$ зима'!p419-'[2]$ зима'!o419-'[2]$ зима'!n419-'[2]$ зима'!m419-'[2]$ зима'!l419+'[2]$ зима'!q419+'[2]$ зима'!w419+'[2]$ зима'!ac419+'[2]$ зима'!ai419+'[2]$ зима'!ao419+'[2]$ зима'!k419</f>
        <v>0</v>
      </c>
      <c r="I419" s="191" t="n">
        <f aca="false">'[2]$ зима'!ay419*1.1</f>
        <v>1016.4</v>
      </c>
      <c r="J419" s="225"/>
    </row>
    <row r="420" customFormat="false" ht="15" hidden="true" customHeight="false" outlineLevel="0" collapsed="false">
      <c r="A420" s="188" t="s">
        <v>170</v>
      </c>
      <c r="B420" s="149" t="s">
        <v>646</v>
      </c>
      <c r="C420" s="148" t="s">
        <v>3183</v>
      </c>
      <c r="D420" s="148"/>
      <c r="E420" s="148"/>
      <c r="F420" s="148"/>
      <c r="G420" s="193"/>
      <c r="H420" s="105" t="n">
        <f aca="false">'[2]$ зима'!j420-'[2]$ зима'!au420-'[2]$ зима'!at420-'[2]$ зима'!as420-'[2]$ зима'!ar420-'[2]$ зима'!aq420-'[2]$ зима'!ap420-'[2]$ зима'!an420-'[2]$ зима'!am420-'[2]$ зима'!al420-'[2]$ зима'!ak420-'[2]$ зима'!aj420-'[2]$ зима'!ah420-'[2]$ зима'!ag420-'[2]$ зима'!af420-'[2]$ зима'!ae420-'[2]$ зима'!ad420-'[2]$ зима'!ab420-'[2]$ зима'!aa420-'[2]$ зима'!z420-'[2]$ зима'!y420-'[2]$ зима'!x420-'[2]$ зима'!v420-'[2]$ зима'!u420-'[2]$ зима'!t420-'[2]$ зима'!s420-'[2]$ зима'!r420-'[2]$ зима'!p420-'[2]$ зима'!o420-'[2]$ зима'!n420-'[2]$ зима'!m420-'[2]$ зима'!l420+'[2]$ зима'!q420+'[2]$ зима'!w420+'[2]$ зима'!ac420+'[2]$ зима'!ai420+'[2]$ зима'!ao420+'[2]$ зима'!k420</f>
        <v>0</v>
      </c>
      <c r="I420" s="191" t="n">
        <f aca="false">'[2]$ зима'!ay420*1.1</f>
        <v>1201.2</v>
      </c>
      <c r="J420" s="225"/>
    </row>
    <row r="421" customFormat="false" ht="15" hidden="true" customHeight="false" outlineLevel="0" collapsed="false">
      <c r="A421" s="188" t="s">
        <v>170</v>
      </c>
      <c r="B421" s="149" t="s">
        <v>557</v>
      </c>
      <c r="C421" s="148" t="s">
        <v>3334</v>
      </c>
      <c r="D421" s="148" t="s">
        <v>3127</v>
      </c>
      <c r="E421" s="148" t="n">
        <v>95</v>
      </c>
      <c r="F421" s="148" t="s">
        <v>3216</v>
      </c>
      <c r="G421" s="193"/>
      <c r="H421" s="105" t="n">
        <f aca="false">'[2]$ зима'!j421-'[2]$ зима'!au421-'[2]$ зима'!at421-'[2]$ зима'!as421-'[2]$ зима'!ar421-'[2]$ зима'!aq421-'[2]$ зима'!ap421-'[2]$ зима'!an421-'[2]$ зима'!am421-'[2]$ зима'!al421-'[2]$ зима'!ak421-'[2]$ зима'!aj421-'[2]$ зима'!ah421-'[2]$ зима'!ag421-'[2]$ зима'!af421-'[2]$ зима'!ae421-'[2]$ зима'!ad421-'[2]$ зима'!ab421-'[2]$ зима'!aa421-'[2]$ зима'!z421-'[2]$ зима'!y421-'[2]$ зима'!x421-'[2]$ зима'!v421-'[2]$ зима'!u421-'[2]$ зима'!t421-'[2]$ зима'!s421-'[2]$ зима'!r421-'[2]$ зима'!p421-'[2]$ зима'!o421-'[2]$ зима'!n421-'[2]$ зима'!m421-'[2]$ зима'!l421+'[2]$ зима'!q421+'[2]$ зима'!w421+'[2]$ зима'!ac421+'[2]$ зима'!ai421+'[2]$ зима'!ao421+'[2]$ зима'!k421</f>
        <v>0</v>
      </c>
      <c r="I421" s="191" t="n">
        <f aca="false">'[2]$ зима'!ay421*1.1</f>
        <v>1386</v>
      </c>
    </row>
    <row r="422" customFormat="false" ht="15" hidden="false" customHeight="false" outlineLevel="0" collapsed="false">
      <c r="A422" s="188" t="s">
        <v>170</v>
      </c>
      <c r="B422" s="149" t="s">
        <v>604</v>
      </c>
      <c r="C422" s="148" t="s">
        <v>3152</v>
      </c>
      <c r="D422" s="148"/>
      <c r="E422" s="192" t="n">
        <v>91</v>
      </c>
      <c r="F422" s="192" t="s">
        <v>562</v>
      </c>
      <c r="G422" s="193"/>
      <c r="H422" s="105" t="n">
        <f aca="false">'[2]$ зима'!j422-'[2]$ зима'!au422-'[2]$ зима'!at422-'[2]$ зима'!as422-'[2]$ зима'!ar422-'[2]$ зима'!aq422-'[2]$ зима'!ap422-'[2]$ зима'!an422-'[2]$ зима'!am422-'[2]$ зима'!al422-'[2]$ зима'!ak422-'[2]$ зима'!aj422-'[2]$ зима'!ah422-'[2]$ зима'!ag422-'[2]$ зима'!af422-'[2]$ зима'!ae422-'[2]$ зима'!ad422-'[2]$ зима'!ab422-'[2]$ зима'!aa422-'[2]$ зима'!z422-'[2]$ зима'!y422-'[2]$ зима'!x422-'[2]$ зима'!v422-'[2]$ зима'!u422-'[2]$ зима'!t422-'[2]$ зима'!s422-'[2]$ зима'!r422-'[2]$ зима'!p422-'[2]$ зима'!o422-'[2]$ зима'!n422-'[2]$ зима'!m422-'[2]$ зима'!l422+'[2]$ зима'!q422+'[2]$ зима'!w422+'[2]$ зима'!ac422+'[2]$ зима'!ai422+'[2]$ зима'!ao422+'[2]$ зима'!k422</f>
        <v>1</v>
      </c>
      <c r="I422" s="191" t="n">
        <f aca="false">'[2]$ зима'!ay422*1.1</f>
        <v>1416.8</v>
      </c>
      <c r="J422" s="171" t="n">
        <v>2017</v>
      </c>
    </row>
    <row r="423" customFormat="false" ht="15" hidden="true" customHeight="false" outlineLevel="0" collapsed="false">
      <c r="A423" s="188" t="s">
        <v>170</v>
      </c>
      <c r="B423" s="149" t="s">
        <v>744</v>
      </c>
      <c r="C423" s="148" t="s">
        <v>3335</v>
      </c>
      <c r="D423" s="148"/>
      <c r="E423" s="148"/>
      <c r="F423" s="148"/>
      <c r="G423" s="193"/>
      <c r="H423" s="105" t="n">
        <f aca="false">'[2]$ зима'!j423-'[2]$ зима'!au423-'[2]$ зима'!at423-'[2]$ зима'!as423-'[2]$ зима'!ar423-'[2]$ зима'!aq423-'[2]$ зима'!ap423-'[2]$ зима'!an423-'[2]$ зима'!am423-'[2]$ зима'!al423-'[2]$ зима'!ak423-'[2]$ зима'!aj423-'[2]$ зима'!ah423-'[2]$ зима'!ag423-'[2]$ зима'!af423-'[2]$ зима'!ae423-'[2]$ зима'!ad423-'[2]$ зима'!ab423-'[2]$ зима'!aa423-'[2]$ зима'!z423-'[2]$ зима'!y423-'[2]$ зима'!x423-'[2]$ зима'!v423-'[2]$ зима'!u423-'[2]$ зима'!t423-'[2]$ зима'!s423-'[2]$ зима'!r423-'[2]$ зима'!p423-'[2]$ зима'!o423-'[2]$ зима'!n423-'[2]$ зима'!m423-'[2]$ зима'!l423+'[2]$ зима'!q423+'[2]$ зима'!w423+'[2]$ зима'!ac423+'[2]$ зима'!ai423+'[2]$ зима'!ao423+'[2]$ зима'!k423</f>
        <v>0</v>
      </c>
      <c r="I423" s="191" t="n">
        <f aca="false">'[2]$ зима'!ay423*1.1</f>
        <v>924</v>
      </c>
    </row>
    <row r="424" customFormat="false" ht="15" hidden="true" customHeight="false" outlineLevel="0" collapsed="false">
      <c r="A424" s="188" t="s">
        <v>170</v>
      </c>
      <c r="B424" s="149" t="s">
        <v>948</v>
      </c>
      <c r="C424" s="148" t="s">
        <v>3336</v>
      </c>
      <c r="D424" s="148"/>
      <c r="E424" s="148"/>
      <c r="F424" s="148"/>
      <c r="G424" s="193"/>
      <c r="H424" s="105" t="n">
        <f aca="false">'[2]$ зима'!j424-'[2]$ зима'!au424-'[2]$ зима'!at424-'[2]$ зима'!as424-'[2]$ зима'!ar424-'[2]$ зима'!aq424-'[2]$ зима'!ap424-'[2]$ зима'!an424-'[2]$ зима'!am424-'[2]$ зима'!al424-'[2]$ зима'!ak424-'[2]$ зима'!aj424-'[2]$ зима'!ah424-'[2]$ зима'!ag424-'[2]$ зима'!af424-'[2]$ зима'!ae424-'[2]$ зима'!ad424-'[2]$ зима'!ab424-'[2]$ зима'!aa424-'[2]$ зима'!z424-'[2]$ зима'!y424-'[2]$ зима'!x424-'[2]$ зима'!v424-'[2]$ зима'!u424-'[2]$ зима'!t424-'[2]$ зима'!s424-'[2]$ зима'!r424-'[2]$ зима'!p424-'[2]$ зима'!o424-'[2]$ зима'!n424-'[2]$ зима'!m424-'[2]$ зима'!l424+'[2]$ зима'!q424+'[2]$ зима'!w424+'[2]$ зима'!ac424+'[2]$ зима'!ai424+'[2]$ зима'!ao424+'[2]$ зима'!k424</f>
        <v>0</v>
      </c>
      <c r="I424" s="191" t="n">
        <f aca="false">'[2]$ зима'!ay424*1.1</f>
        <v>1232</v>
      </c>
    </row>
    <row r="425" customFormat="false" ht="15" hidden="false" customHeight="false" outlineLevel="0" collapsed="false">
      <c r="A425" s="188" t="s">
        <v>170</v>
      </c>
      <c r="B425" s="149" t="s">
        <v>606</v>
      </c>
      <c r="C425" s="148" t="s">
        <v>3155</v>
      </c>
      <c r="D425" s="148"/>
      <c r="E425" s="192" t="n">
        <v>91</v>
      </c>
      <c r="F425" s="192" t="s">
        <v>3216</v>
      </c>
      <c r="G425" s="193" t="s">
        <v>609</v>
      </c>
      <c r="H425" s="105" t="n">
        <f aca="false">'[2]$ зима'!j425-'[2]$ зима'!au425-'[2]$ зима'!at425-'[2]$ зима'!as425-'[2]$ зима'!ar425-'[2]$ зима'!aq425-'[2]$ зима'!ap425-'[2]$ зима'!an425-'[2]$ зима'!am425-'[2]$ зима'!al425-'[2]$ зима'!ak425-'[2]$ зима'!aj425-'[2]$ зима'!ah425-'[2]$ зима'!ag425-'[2]$ зима'!af425-'[2]$ зима'!ae425-'[2]$ зима'!ad425-'[2]$ зима'!ab425-'[2]$ зима'!aa425-'[2]$ зима'!z425-'[2]$ зима'!y425-'[2]$ зима'!x425-'[2]$ зима'!v425-'[2]$ зима'!u425-'[2]$ зима'!t425-'[2]$ зима'!s425-'[2]$ зима'!r425-'[2]$ зима'!p425-'[2]$ зима'!o425-'[2]$ зима'!n425-'[2]$ зима'!m425-'[2]$ зима'!l425+'[2]$ зима'!q425+'[2]$ зима'!w425+'[2]$ зима'!ac425+'[2]$ зима'!ai425+'[2]$ зима'!ao425+'[2]$ зима'!k425</f>
        <v>24</v>
      </c>
      <c r="I425" s="191" t="n">
        <f aca="false">'[2]$ зима'!ay425*1.1</f>
        <v>1447.6</v>
      </c>
      <c r="J425" s="171" t="n">
        <v>2018</v>
      </c>
    </row>
    <row r="426" customFormat="false" ht="15" hidden="false" customHeight="false" outlineLevel="0" collapsed="false">
      <c r="A426" s="188" t="s">
        <v>170</v>
      </c>
      <c r="B426" s="149" t="s">
        <v>606</v>
      </c>
      <c r="C426" s="148" t="s">
        <v>3156</v>
      </c>
      <c r="D426" s="148"/>
      <c r="E426" s="192" t="n">
        <v>95</v>
      </c>
      <c r="F426" s="192" t="s">
        <v>3216</v>
      </c>
      <c r="G426" s="193" t="s">
        <v>609</v>
      </c>
      <c r="H426" s="105" t="n">
        <f aca="false">'[2]$ зима'!j426-'[2]$ зима'!au426-'[2]$ зима'!at426-'[2]$ зима'!as426-'[2]$ зима'!ar426-'[2]$ зима'!aq426-'[2]$ зима'!ap426-'[2]$ зима'!an426-'[2]$ зима'!am426-'[2]$ зима'!al426-'[2]$ зима'!ak426-'[2]$ зима'!aj426-'[2]$ зима'!ah426-'[2]$ зима'!ag426-'[2]$ зима'!af426-'[2]$ зима'!ae426-'[2]$ зима'!ad426-'[2]$ зима'!ab426-'[2]$ зима'!aa426-'[2]$ зима'!z426-'[2]$ зима'!y426-'[2]$ зима'!x426-'[2]$ зима'!v426-'[2]$ зима'!u426-'[2]$ зима'!t426-'[2]$ зима'!s426-'[2]$ зима'!r426-'[2]$ зима'!p426-'[2]$ зима'!o426-'[2]$ зима'!n426-'[2]$ зима'!m426-'[2]$ зима'!l426+'[2]$ зима'!q426+'[2]$ зима'!w426+'[2]$ зима'!ac426+'[2]$ зима'!ai426+'[2]$ зима'!ao426+'[2]$ зима'!k426</f>
        <v>22</v>
      </c>
      <c r="I426" s="191" t="n">
        <f aca="false">'[2]$ зима'!ay426*1.1</f>
        <v>1447.6</v>
      </c>
      <c r="J426" s="171" t="n">
        <v>2018</v>
      </c>
    </row>
    <row r="427" customFormat="false" ht="15" hidden="false" customHeight="false" outlineLevel="0" collapsed="false">
      <c r="A427" s="188" t="s">
        <v>170</v>
      </c>
      <c r="B427" s="149" t="s">
        <v>606</v>
      </c>
      <c r="C427" s="148" t="s">
        <v>3337</v>
      </c>
      <c r="D427" s="148"/>
      <c r="E427" s="192"/>
      <c r="F427" s="192"/>
      <c r="G427" s="193"/>
      <c r="H427" s="105" t="n">
        <f aca="false">'[2]$ зима'!j427-'[2]$ зима'!au427-'[2]$ зима'!at427-'[2]$ зима'!as427-'[2]$ зима'!ar427-'[2]$ зима'!aq427-'[2]$ зима'!ap427-'[2]$ зима'!an427-'[2]$ зима'!am427-'[2]$ зима'!al427-'[2]$ зима'!ak427-'[2]$ зима'!aj427-'[2]$ зима'!ah427-'[2]$ зима'!ag427-'[2]$ зима'!af427-'[2]$ зима'!ae427-'[2]$ зима'!ad427-'[2]$ зима'!ab427-'[2]$ зима'!aa427-'[2]$ зима'!z427-'[2]$ зима'!y427-'[2]$ зима'!x427-'[2]$ зима'!v427-'[2]$ зима'!u427-'[2]$ зима'!t427-'[2]$ зима'!s427-'[2]$ зима'!r427-'[2]$ зима'!p427-'[2]$ зима'!o427-'[2]$ зима'!n427-'[2]$ зима'!m427-'[2]$ зима'!l427+'[2]$ зима'!q427+'[2]$ зима'!w427+'[2]$ зима'!ac427+'[2]$ зима'!ai427+'[2]$ зима'!ao427+'[2]$ зима'!k427</f>
        <v>3</v>
      </c>
      <c r="I427" s="191" t="n">
        <f aca="false">'[2]$ зима'!ay427*1.1</f>
        <v>1386</v>
      </c>
    </row>
    <row r="428" customFormat="false" ht="15" hidden="false" customHeight="false" outlineLevel="0" collapsed="false">
      <c r="A428" s="188" t="s">
        <v>170</v>
      </c>
      <c r="B428" s="149" t="s">
        <v>666</v>
      </c>
      <c r="C428" s="148" t="s">
        <v>3302</v>
      </c>
      <c r="D428" s="148"/>
      <c r="E428" s="192"/>
      <c r="F428" s="192"/>
      <c r="G428" s="193" t="s">
        <v>663</v>
      </c>
      <c r="H428" s="105" t="n">
        <f aca="false">'[2]$ зима'!j428-'[2]$ зима'!au428-'[2]$ зима'!at428-'[2]$ зима'!as428-'[2]$ зима'!ar428-'[2]$ зима'!aq428-'[2]$ зима'!ap428-'[2]$ зима'!an428-'[2]$ зима'!am428-'[2]$ зима'!al428-'[2]$ зима'!ak428-'[2]$ зима'!aj428-'[2]$ зима'!ah428-'[2]$ зима'!ag428-'[2]$ зима'!af428-'[2]$ зима'!ae428-'[2]$ зима'!ad428-'[2]$ зима'!ab428-'[2]$ зима'!aa428-'[2]$ зима'!z428-'[2]$ зима'!y428-'[2]$ зима'!x428-'[2]$ зима'!v428-'[2]$ зима'!u428-'[2]$ зима'!t428-'[2]$ зима'!s428-'[2]$ зима'!r428-'[2]$ зима'!p428-'[2]$ зима'!o428-'[2]$ зима'!n428-'[2]$ зима'!m428-'[2]$ зима'!l428+'[2]$ зима'!q428+'[2]$ зима'!w428+'[2]$ зима'!ac428+'[2]$ зима'!ai428+'[2]$ зима'!ao428+'[2]$ зима'!k428</f>
        <v>2</v>
      </c>
      <c r="I428" s="191" t="n">
        <f aca="false">'[2]$ зима'!ay428*1.1</f>
        <v>1386</v>
      </c>
      <c r="J428" s="171" t="n">
        <v>2017</v>
      </c>
    </row>
    <row r="429" customFormat="false" ht="15" hidden="false" customHeight="false" outlineLevel="0" collapsed="false">
      <c r="A429" s="188" t="s">
        <v>170</v>
      </c>
      <c r="B429" s="149" t="s">
        <v>572</v>
      </c>
      <c r="C429" s="148" t="s">
        <v>3338</v>
      </c>
      <c r="D429" s="148"/>
      <c r="E429" s="192" t="n">
        <v>91</v>
      </c>
      <c r="F429" s="192" t="s">
        <v>634</v>
      </c>
      <c r="G429" s="193"/>
      <c r="H429" s="105" t="n">
        <f aca="false">'[2]$ зима'!j429-'[2]$ зима'!au429-'[2]$ зима'!at429-'[2]$ зима'!as429-'[2]$ зима'!ar429-'[2]$ зима'!aq429-'[2]$ зима'!ap429-'[2]$ зима'!an429-'[2]$ зима'!am429-'[2]$ зима'!al429-'[2]$ зима'!ak429-'[2]$ зима'!aj429-'[2]$ зима'!ah429-'[2]$ зима'!ag429-'[2]$ зима'!af429-'[2]$ зима'!ae429-'[2]$ зима'!ad429-'[2]$ зима'!ab429-'[2]$ зима'!aa429-'[2]$ зима'!z429-'[2]$ зима'!y429-'[2]$ зима'!x429-'[2]$ зима'!v429-'[2]$ зима'!u429-'[2]$ зима'!t429-'[2]$ зима'!s429-'[2]$ зима'!r429-'[2]$ зима'!p429-'[2]$ зима'!o429-'[2]$ зима'!n429-'[2]$ зима'!m429-'[2]$ зима'!l429+'[2]$ зима'!q429+'[2]$ зима'!w429+'[2]$ зима'!ac429+'[2]$ зима'!ai429+'[2]$ зима'!ao429+'[2]$ зима'!k429</f>
        <v>12</v>
      </c>
      <c r="I429" s="191" t="n">
        <f aca="false">'[2]$ зима'!ay429*1.1</f>
        <v>1108.8</v>
      </c>
    </row>
    <row r="430" customFormat="false" ht="15" hidden="true" customHeight="false" outlineLevel="0" collapsed="false">
      <c r="A430" s="188" t="s">
        <v>170</v>
      </c>
      <c r="B430" s="149" t="s">
        <v>668</v>
      </c>
      <c r="C430" s="148" t="s">
        <v>3233</v>
      </c>
      <c r="D430" s="148"/>
      <c r="E430" s="148"/>
      <c r="F430" s="148"/>
      <c r="G430" s="193"/>
      <c r="H430" s="105" t="n">
        <f aca="false">'[2]$ зима'!j430-'[2]$ зима'!au430-'[2]$ зима'!at430-'[2]$ зима'!as430-'[2]$ зима'!ar430-'[2]$ зима'!aq430-'[2]$ зима'!ap430-'[2]$ зима'!an430-'[2]$ зима'!am430-'[2]$ зима'!al430-'[2]$ зима'!ak430-'[2]$ зима'!aj430-'[2]$ зима'!ah430-'[2]$ зима'!ag430-'[2]$ зима'!af430-'[2]$ зима'!ae430-'[2]$ зима'!ad430-'[2]$ зима'!ab430-'[2]$ зима'!aa430-'[2]$ зима'!z430-'[2]$ зима'!y430-'[2]$ зима'!x430-'[2]$ зима'!v430-'[2]$ зима'!u430-'[2]$ зима'!t430-'[2]$ зима'!s430-'[2]$ зима'!r430-'[2]$ зима'!p430-'[2]$ зима'!o430-'[2]$ зима'!n430-'[2]$ зима'!m430-'[2]$ зима'!l430+'[2]$ зима'!q430+'[2]$ зима'!w430+'[2]$ зима'!ac430+'[2]$ зима'!ai430+'[2]$ зима'!ao430+'[2]$ зима'!k430</f>
        <v>0</v>
      </c>
      <c r="I430" s="191" t="n">
        <f aca="false">'[2]$ зима'!ay430*1.1</f>
        <v>1078</v>
      </c>
    </row>
    <row r="431" customFormat="false" ht="15" hidden="false" customHeight="false" outlineLevel="0" collapsed="false">
      <c r="A431" s="188" t="s">
        <v>170</v>
      </c>
      <c r="B431" s="149" t="s">
        <v>668</v>
      </c>
      <c r="C431" s="194" t="s">
        <v>3182</v>
      </c>
      <c r="D431" s="148"/>
      <c r="E431" s="192"/>
      <c r="F431" s="192"/>
      <c r="G431" s="193" t="s">
        <v>609</v>
      </c>
      <c r="H431" s="105" t="n">
        <f aca="false">'[2]$ зима'!j431-'[2]$ зима'!au431-'[2]$ зима'!at431-'[2]$ зима'!as431-'[2]$ зима'!ar431-'[2]$ зима'!aq431-'[2]$ зима'!ap431-'[2]$ зима'!an431-'[2]$ зима'!am431-'[2]$ зима'!al431-'[2]$ зима'!ak431-'[2]$ зима'!aj431-'[2]$ зима'!ah431-'[2]$ зима'!ag431-'[2]$ зима'!af431-'[2]$ зима'!ae431-'[2]$ зима'!ad431-'[2]$ зима'!ab431-'[2]$ зима'!aa431-'[2]$ зима'!z431-'[2]$ зима'!y431-'[2]$ зима'!x431-'[2]$ зима'!v431-'[2]$ зима'!u431-'[2]$ зима'!t431-'[2]$ зима'!s431-'[2]$ зима'!r431-'[2]$ зима'!p431-'[2]$ зима'!o431-'[2]$ зима'!n431-'[2]$ зима'!m431-'[2]$ зима'!l431+'[2]$ зима'!q431+'[2]$ зима'!w431+'[2]$ зима'!ac431+'[2]$ зима'!ai431+'[2]$ зима'!ao431+'[2]$ зима'!k431</f>
        <v>12</v>
      </c>
      <c r="I431" s="191" t="n">
        <f aca="false">'[2]$ зима'!ay431*1.1</f>
        <v>1324.4</v>
      </c>
      <c r="J431" s="171" t="n">
        <v>2018</v>
      </c>
    </row>
    <row r="432" customFormat="false" ht="15" hidden="false" customHeight="false" outlineLevel="0" collapsed="false">
      <c r="A432" s="188" t="s">
        <v>170</v>
      </c>
      <c r="B432" s="149" t="s">
        <v>574</v>
      </c>
      <c r="C432" s="148" t="s">
        <v>3201</v>
      </c>
      <c r="D432" s="148"/>
      <c r="E432" s="192"/>
      <c r="F432" s="192"/>
      <c r="G432" s="193" t="s">
        <v>576</v>
      </c>
      <c r="H432" s="105" t="n">
        <f aca="false">'[2]$ зима'!j432-'[2]$ зима'!au432-'[2]$ зима'!at432-'[2]$ зима'!as432-'[2]$ зима'!ar432-'[2]$ зима'!aq432-'[2]$ зима'!ap432-'[2]$ зима'!an432-'[2]$ зима'!am432-'[2]$ зима'!al432-'[2]$ зима'!ak432-'[2]$ зима'!aj432-'[2]$ зима'!ah432-'[2]$ зима'!ag432-'[2]$ зима'!af432-'[2]$ зима'!ae432-'[2]$ зима'!ad432-'[2]$ зима'!ab432-'[2]$ зима'!aa432-'[2]$ зима'!z432-'[2]$ зима'!y432-'[2]$ зима'!x432-'[2]$ зима'!v432-'[2]$ зима'!u432-'[2]$ зима'!t432-'[2]$ зима'!s432-'[2]$ зима'!r432-'[2]$ зима'!p432-'[2]$ зима'!o432-'[2]$ зима'!n432-'[2]$ зима'!m432-'[2]$ зима'!l432+'[2]$ зима'!q432+'[2]$ зима'!w432+'[2]$ зима'!ac432+'[2]$ зима'!ai432+'[2]$ зима'!ao432+'[2]$ зима'!k432</f>
        <v>1</v>
      </c>
      <c r="I432" s="191" t="n">
        <f aca="false">'[2]$ зима'!ay432*1.1</f>
        <v>1249.6</v>
      </c>
      <c r="J432" s="171" t="n">
        <v>2016</v>
      </c>
    </row>
    <row r="433" customFormat="false" ht="15" hidden="false" customHeight="false" outlineLevel="0" collapsed="false">
      <c r="A433" s="188" t="s">
        <v>170</v>
      </c>
      <c r="B433" s="149" t="s">
        <v>574</v>
      </c>
      <c r="C433" s="148" t="s">
        <v>3163</v>
      </c>
      <c r="D433" s="148"/>
      <c r="E433" s="192" t="n">
        <v>91</v>
      </c>
      <c r="F433" s="192" t="s">
        <v>562</v>
      </c>
      <c r="G433" s="193" t="s">
        <v>576</v>
      </c>
      <c r="H433" s="105" t="n">
        <f aca="false">'[2]$ зима'!j433-'[2]$ зима'!au433-'[2]$ зима'!at433-'[2]$ зима'!as433-'[2]$ зима'!ar433-'[2]$ зима'!aq433-'[2]$ зима'!ap433-'[2]$ зима'!an433-'[2]$ зима'!am433-'[2]$ зима'!al433-'[2]$ зима'!ak433-'[2]$ зима'!aj433-'[2]$ зима'!ah433-'[2]$ зима'!ag433-'[2]$ зима'!af433-'[2]$ зима'!ae433-'[2]$ зима'!ad433-'[2]$ зима'!ab433-'[2]$ зима'!aa433-'[2]$ зима'!z433-'[2]$ зима'!y433-'[2]$ зима'!x433-'[2]$ зима'!v433-'[2]$ зима'!u433-'[2]$ зима'!t433-'[2]$ зима'!s433-'[2]$ зима'!r433-'[2]$ зима'!p433-'[2]$ зима'!o433-'[2]$ зима'!n433-'[2]$ зима'!m433-'[2]$ зима'!l433+'[2]$ зима'!q433+'[2]$ зима'!w433+'[2]$ зима'!ac433+'[2]$ зима'!ai433+'[2]$ зима'!ao433+'[2]$ зима'!k433</f>
        <v>20</v>
      </c>
      <c r="I433" s="191" t="n">
        <f aca="false">'[2]$ зима'!ay433*1.1</f>
        <v>1280.84</v>
      </c>
      <c r="J433" s="171" t="s">
        <v>1264</v>
      </c>
    </row>
    <row r="434" customFormat="false" ht="15" hidden="true" customHeight="false" outlineLevel="0" collapsed="false">
      <c r="A434" s="188" t="s">
        <v>170</v>
      </c>
      <c r="B434" s="149" t="s">
        <v>574</v>
      </c>
      <c r="C434" s="148" t="s">
        <v>3200</v>
      </c>
      <c r="D434" s="148"/>
      <c r="E434" s="148"/>
      <c r="F434" s="148"/>
      <c r="G434" s="193" t="s">
        <v>576</v>
      </c>
      <c r="H434" s="105" t="n">
        <f aca="false">'[2]$ зима'!j434-'[2]$ зима'!au434-'[2]$ зима'!at434-'[2]$ зима'!as434-'[2]$ зима'!ar434-'[2]$ зима'!aq434-'[2]$ зима'!ap434-'[2]$ зима'!an434-'[2]$ зима'!am434-'[2]$ зима'!al434-'[2]$ зима'!ak434-'[2]$ зима'!aj434-'[2]$ зима'!ah434-'[2]$ зима'!ag434-'[2]$ зима'!af434-'[2]$ зима'!ae434-'[2]$ зима'!ad434-'[2]$ зима'!ab434-'[2]$ зима'!aa434-'[2]$ зима'!z434-'[2]$ зима'!y434-'[2]$ зима'!x434-'[2]$ зима'!v434-'[2]$ зима'!u434-'[2]$ зима'!t434-'[2]$ зима'!s434-'[2]$ зима'!r434-'[2]$ зима'!p434-'[2]$ зима'!o434-'[2]$ зима'!n434-'[2]$ зима'!m434-'[2]$ зима'!l434+'[2]$ зима'!q434+'[2]$ зима'!w434+'[2]$ зима'!ac434+'[2]$ зима'!ai434+'[2]$ зима'!ao434+'[2]$ зима'!k434</f>
        <v>0</v>
      </c>
      <c r="I434" s="191" t="n">
        <f aca="false">'[2]$ зима'!ay434*1.1</f>
        <v>1276.33</v>
      </c>
    </row>
    <row r="435" customFormat="false" ht="15" hidden="false" customHeight="false" outlineLevel="0" collapsed="false">
      <c r="A435" s="188" t="s">
        <v>170</v>
      </c>
      <c r="B435" s="149" t="s">
        <v>577</v>
      </c>
      <c r="C435" s="148" t="s">
        <v>3164</v>
      </c>
      <c r="D435" s="148"/>
      <c r="E435" s="192" t="n">
        <v>91</v>
      </c>
      <c r="F435" s="192" t="s">
        <v>562</v>
      </c>
      <c r="G435" s="193" t="s">
        <v>563</v>
      </c>
      <c r="H435" s="105" t="n">
        <f aca="false">'[2]$ зима'!j435-'[2]$ зима'!au435-'[2]$ зима'!at435-'[2]$ зима'!as435-'[2]$ зима'!ar435-'[2]$ зима'!aq435-'[2]$ зима'!ap435-'[2]$ зима'!an435-'[2]$ зима'!am435-'[2]$ зима'!al435-'[2]$ зима'!ak435-'[2]$ зима'!aj435-'[2]$ зима'!ah435-'[2]$ зима'!ag435-'[2]$ зима'!af435-'[2]$ зима'!ae435-'[2]$ зима'!ad435-'[2]$ зима'!ab435-'[2]$ зима'!aa435-'[2]$ зима'!z435-'[2]$ зима'!y435-'[2]$ зима'!x435-'[2]$ зима'!v435-'[2]$ зима'!u435-'[2]$ зима'!t435-'[2]$ зима'!s435-'[2]$ зима'!r435-'[2]$ зима'!p435-'[2]$ зима'!o435-'[2]$ зима'!n435-'[2]$ зима'!m435-'[2]$ зима'!l435+'[2]$ зима'!q435+'[2]$ зима'!w435+'[2]$ зима'!ac435+'[2]$ зима'!ai435+'[2]$ зима'!ao435+'[2]$ зима'!k435</f>
        <v>7</v>
      </c>
      <c r="I435" s="191" t="n">
        <f aca="false">'[2]$ зима'!ay435*1.1</f>
        <v>1262.8</v>
      </c>
    </row>
    <row r="436" customFormat="false" ht="15" hidden="false" customHeight="false" outlineLevel="0" collapsed="false">
      <c r="A436" s="188" t="s">
        <v>170</v>
      </c>
      <c r="B436" s="149" t="s">
        <v>577</v>
      </c>
      <c r="C436" s="148" t="s">
        <v>3234</v>
      </c>
      <c r="D436" s="148"/>
      <c r="E436" s="192" t="n">
        <v>95</v>
      </c>
      <c r="F436" s="192" t="s">
        <v>3216</v>
      </c>
      <c r="G436" s="193" t="s">
        <v>563</v>
      </c>
      <c r="H436" s="105" t="n">
        <f aca="false">'[2]$ зима'!j436-'[2]$ зима'!au436-'[2]$ зима'!at436-'[2]$ зима'!as436-'[2]$ зима'!ar436-'[2]$ зима'!aq436-'[2]$ зима'!ap436-'[2]$ зима'!an436-'[2]$ зима'!am436-'[2]$ зима'!al436-'[2]$ зима'!ak436-'[2]$ зима'!aj436-'[2]$ зима'!ah436-'[2]$ зима'!ag436-'[2]$ зима'!af436-'[2]$ зима'!ae436-'[2]$ зима'!ad436-'[2]$ зима'!ab436-'[2]$ зима'!aa436-'[2]$ зима'!z436-'[2]$ зима'!y436-'[2]$ зима'!x436-'[2]$ зима'!v436-'[2]$ зима'!u436-'[2]$ зима'!t436-'[2]$ зима'!s436-'[2]$ зима'!r436-'[2]$ зима'!p436-'[2]$ зима'!o436-'[2]$ зима'!n436-'[2]$ зима'!m436-'[2]$ зима'!l436+'[2]$ зима'!q436+'[2]$ зима'!w436+'[2]$ зима'!ac436+'[2]$ зима'!ai436+'[2]$ зима'!ao436+'[2]$ зима'!k436</f>
        <v>4</v>
      </c>
      <c r="I436" s="191" t="n">
        <f aca="false">'[2]$ зима'!ay436*1.1</f>
        <v>1355.2</v>
      </c>
    </row>
    <row r="437" customFormat="false" ht="15" hidden="false" customHeight="false" outlineLevel="0" collapsed="false">
      <c r="A437" s="188" t="s">
        <v>170</v>
      </c>
      <c r="B437" s="149" t="s">
        <v>883</v>
      </c>
      <c r="C437" s="148" t="s">
        <v>3339</v>
      </c>
      <c r="D437" s="148" t="s">
        <v>3127</v>
      </c>
      <c r="E437" s="192"/>
      <c r="F437" s="192"/>
      <c r="G437" s="193"/>
      <c r="H437" s="105" t="n">
        <f aca="false">'[2]$ зима'!j437-'[2]$ зима'!au437-'[2]$ зима'!at437-'[2]$ зима'!as437-'[2]$ зима'!ar437-'[2]$ зима'!aq437-'[2]$ зима'!ap437-'[2]$ зима'!an437-'[2]$ зима'!am437-'[2]$ зима'!al437-'[2]$ зима'!ak437-'[2]$ зима'!aj437-'[2]$ зима'!ah437-'[2]$ зима'!ag437-'[2]$ зима'!af437-'[2]$ зима'!ae437-'[2]$ зима'!ad437-'[2]$ зима'!ab437-'[2]$ зима'!aa437-'[2]$ зима'!z437-'[2]$ зима'!y437-'[2]$ зима'!x437-'[2]$ зима'!v437-'[2]$ зима'!u437-'[2]$ зима'!t437-'[2]$ зима'!s437-'[2]$ зима'!r437-'[2]$ зима'!p437-'[2]$ зима'!o437-'[2]$ зима'!n437-'[2]$ зима'!m437-'[2]$ зима'!l437+'[2]$ зима'!q437+'[2]$ зима'!w437+'[2]$ зима'!ac437+'[2]$ зима'!ai437+'[2]$ зима'!ao437+'[2]$ зима'!k437</f>
        <v>1</v>
      </c>
      <c r="I437" s="191" t="n">
        <f aca="false">'[2]$ зима'!ay437*1.1</f>
        <v>616</v>
      </c>
    </row>
    <row r="438" customFormat="false" ht="15" hidden="false" customHeight="false" outlineLevel="0" collapsed="false">
      <c r="A438" s="188" t="s">
        <v>170</v>
      </c>
      <c r="B438" s="149" t="s">
        <v>1471</v>
      </c>
      <c r="C438" s="148" t="s">
        <v>3219</v>
      </c>
      <c r="D438" s="148"/>
      <c r="E438" s="192" t="n">
        <v>91</v>
      </c>
      <c r="F438" s="192" t="s">
        <v>3220</v>
      </c>
      <c r="G438" s="193" t="s">
        <v>609</v>
      </c>
      <c r="H438" s="105" t="n">
        <f aca="false">'[2]$ зима'!j438-'[2]$ зима'!au438-'[2]$ зима'!at438-'[2]$ зима'!as438-'[2]$ зима'!ar438-'[2]$ зима'!aq438-'[2]$ зима'!ap438-'[2]$ зима'!an438-'[2]$ зима'!am438-'[2]$ зима'!al438-'[2]$ зима'!ak438-'[2]$ зима'!aj438-'[2]$ зима'!ah438-'[2]$ зима'!ag438-'[2]$ зима'!af438-'[2]$ зима'!ae438-'[2]$ зима'!ad438-'[2]$ зима'!ab438-'[2]$ зима'!aa438-'[2]$ зима'!z438-'[2]$ зима'!y438-'[2]$ зима'!x438-'[2]$ зима'!v438-'[2]$ зима'!u438-'[2]$ зима'!t438-'[2]$ зима'!s438-'[2]$ зима'!r438-'[2]$ зима'!p438-'[2]$ зима'!o438-'[2]$ зима'!n438-'[2]$ зима'!m438-'[2]$ зима'!l438+'[2]$ зима'!q438+'[2]$ зима'!w438+'[2]$ зима'!ac438+'[2]$ зима'!ai438+'[2]$ зима'!ao438+'[2]$ зима'!k438</f>
        <v>16</v>
      </c>
      <c r="I438" s="191" t="n">
        <f aca="false">'[2]$ зима'!ay438*1.1</f>
        <v>1262.8</v>
      </c>
      <c r="J438" s="171" t="n">
        <v>2018</v>
      </c>
    </row>
    <row r="439" customFormat="false" ht="15" hidden="true" customHeight="false" outlineLevel="0" collapsed="false">
      <c r="A439" s="188" t="s">
        <v>170</v>
      </c>
      <c r="B439" s="149" t="s">
        <v>583</v>
      </c>
      <c r="C439" s="148" t="s">
        <v>3340</v>
      </c>
      <c r="D439" s="148"/>
      <c r="E439" s="148"/>
      <c r="F439" s="148"/>
      <c r="G439" s="193"/>
      <c r="H439" s="105" t="n">
        <f aca="false">'[2]$ зима'!j439-'[2]$ зима'!au439-'[2]$ зима'!at439-'[2]$ зима'!as439-'[2]$ зима'!ar439-'[2]$ зима'!aq439-'[2]$ зима'!ap439-'[2]$ зима'!an439-'[2]$ зима'!am439-'[2]$ зима'!al439-'[2]$ зима'!ak439-'[2]$ зима'!aj439-'[2]$ зима'!ah439-'[2]$ зима'!ag439-'[2]$ зима'!af439-'[2]$ зима'!ae439-'[2]$ зима'!ad439-'[2]$ зима'!ab439-'[2]$ зима'!aa439-'[2]$ зима'!z439-'[2]$ зима'!y439-'[2]$ зима'!x439-'[2]$ зима'!v439-'[2]$ зима'!u439-'[2]$ зима'!t439-'[2]$ зима'!s439-'[2]$ зима'!r439-'[2]$ зима'!p439-'[2]$ зима'!o439-'[2]$ зима'!n439-'[2]$ зима'!m439-'[2]$ зима'!l439+'[2]$ зима'!q439+'[2]$ зима'!w439+'[2]$ зима'!ac439+'[2]$ зима'!ai439+'[2]$ зима'!ao439+'[2]$ зима'!k439</f>
        <v>0</v>
      </c>
      <c r="I439" s="191" t="n">
        <f aca="false">'[2]$ зима'!ay439*1.1</f>
        <v>1232</v>
      </c>
    </row>
    <row r="440" customFormat="false" ht="15" hidden="true" customHeight="false" outlineLevel="0" collapsed="false">
      <c r="A440" s="188" t="s">
        <v>170</v>
      </c>
      <c r="B440" s="149" t="s">
        <v>613</v>
      </c>
      <c r="C440" s="148" t="s">
        <v>3341</v>
      </c>
      <c r="D440" s="148"/>
      <c r="E440" s="148" t="n">
        <v>95</v>
      </c>
      <c r="F440" s="148" t="s">
        <v>3216</v>
      </c>
      <c r="G440" s="193"/>
      <c r="H440" s="105" t="n">
        <f aca="false">'[2]$ зима'!j440-'[2]$ зима'!au440-'[2]$ зима'!at440-'[2]$ зима'!as440-'[2]$ зима'!ar440-'[2]$ зима'!aq440-'[2]$ зима'!ap440-'[2]$ зима'!an440-'[2]$ зима'!am440-'[2]$ зима'!al440-'[2]$ зима'!ak440-'[2]$ зима'!aj440-'[2]$ зима'!ah440-'[2]$ зима'!ag440-'[2]$ зима'!af440-'[2]$ зима'!ae440-'[2]$ зима'!ad440-'[2]$ зима'!ab440-'[2]$ зима'!aa440-'[2]$ зима'!z440-'[2]$ зима'!y440-'[2]$ зима'!x440-'[2]$ зима'!v440-'[2]$ зима'!u440-'[2]$ зима'!t440-'[2]$ зима'!s440-'[2]$ зима'!r440-'[2]$ зима'!p440-'[2]$ зима'!o440-'[2]$ зима'!n440-'[2]$ зима'!m440-'[2]$ зима'!l440+'[2]$ зима'!q440+'[2]$ зима'!w440+'[2]$ зима'!ac440+'[2]$ зима'!ai440+'[2]$ зима'!ao440+'[2]$ зима'!k440</f>
        <v>0</v>
      </c>
      <c r="I440" s="191" t="n">
        <f aca="false">'[2]$ зима'!ay440*1.1</f>
        <v>1016.4</v>
      </c>
    </row>
    <row r="441" customFormat="false" ht="15" hidden="false" customHeight="false" outlineLevel="0" collapsed="false">
      <c r="A441" s="188" t="s">
        <v>170</v>
      </c>
      <c r="B441" s="149" t="s">
        <v>593</v>
      </c>
      <c r="C441" s="148" t="s">
        <v>3342</v>
      </c>
      <c r="D441" s="148"/>
      <c r="E441" s="192" t="n">
        <v>91</v>
      </c>
      <c r="F441" s="192" t="s">
        <v>562</v>
      </c>
      <c r="G441" s="193" t="s">
        <v>911</v>
      </c>
      <c r="H441" s="105" t="n">
        <f aca="false">'[2]$ зима'!j441-'[2]$ зима'!au441-'[2]$ зима'!at441-'[2]$ зима'!as441-'[2]$ зима'!ar441-'[2]$ зима'!aq441-'[2]$ зима'!ap441-'[2]$ зима'!an441-'[2]$ зима'!am441-'[2]$ зима'!al441-'[2]$ зима'!ak441-'[2]$ зима'!aj441-'[2]$ зима'!ah441-'[2]$ зима'!ag441-'[2]$ зима'!af441-'[2]$ зима'!ae441-'[2]$ зима'!ad441-'[2]$ зима'!ab441-'[2]$ зима'!aa441-'[2]$ зима'!z441-'[2]$ зима'!y441-'[2]$ зима'!x441-'[2]$ зима'!v441-'[2]$ зима'!u441-'[2]$ зима'!t441-'[2]$ зима'!s441-'[2]$ зима'!r441-'[2]$ зима'!p441-'[2]$ зима'!o441-'[2]$ зима'!n441-'[2]$ зима'!m441-'[2]$ зима'!l441+'[2]$ зима'!q441+'[2]$ зима'!w441+'[2]$ зима'!ac441+'[2]$ зима'!ai441+'[2]$ зима'!ao441+'[2]$ зима'!k441</f>
        <v>14</v>
      </c>
      <c r="I441" s="191" t="n">
        <f aca="false">'[2]$ зима'!ay441*1.1</f>
        <v>1786.4</v>
      </c>
      <c r="J441" s="171" t="n">
        <v>2017</v>
      </c>
    </row>
    <row r="442" customFormat="false" ht="15" hidden="true" customHeight="false" outlineLevel="0" collapsed="false">
      <c r="A442" s="217" t="s">
        <v>170</v>
      </c>
      <c r="B442" s="157" t="s">
        <v>593</v>
      </c>
      <c r="C442" s="158" t="s">
        <v>3343</v>
      </c>
      <c r="D442" s="158"/>
      <c r="E442" s="158"/>
      <c r="F442" s="158"/>
      <c r="G442" s="218"/>
      <c r="H442" s="105" t="n">
        <f aca="false">'[2]$ зима'!j442-'[2]$ зима'!au442-'[2]$ зима'!at442-'[2]$ зима'!as442-'[2]$ зима'!ar442-'[2]$ зима'!aq442-'[2]$ зима'!ap442-'[2]$ зима'!an442-'[2]$ зима'!am442-'[2]$ зима'!al442-'[2]$ зима'!ak442-'[2]$ зима'!aj442-'[2]$ зима'!ah442-'[2]$ зима'!ag442-'[2]$ зима'!af442-'[2]$ зима'!ae442-'[2]$ зима'!ad442-'[2]$ зима'!ab442-'[2]$ зима'!aa442-'[2]$ зима'!z442-'[2]$ зима'!y442-'[2]$ зима'!x442-'[2]$ зима'!v442-'[2]$ зима'!u442-'[2]$ зима'!t442-'[2]$ зима'!s442-'[2]$ зима'!r442-'[2]$ зима'!p442-'[2]$ зима'!o442-'[2]$ зима'!n442-'[2]$ зима'!m442-'[2]$ зима'!l442+'[2]$ зима'!q442+'[2]$ зима'!w442+'[2]$ зима'!ac442+'[2]$ зима'!ai442+'[2]$ зима'!ao442+'[2]$ зима'!k442</f>
        <v>0</v>
      </c>
      <c r="I442" s="219" t="n">
        <f aca="false">'[2]$ зима'!ay442*1.1</f>
        <v>1375</v>
      </c>
    </row>
    <row r="443" customFormat="false" ht="15" hidden="false" customHeight="false" outlineLevel="0" collapsed="false">
      <c r="A443" s="188" t="s">
        <v>170</v>
      </c>
      <c r="B443" s="149" t="s">
        <v>593</v>
      </c>
      <c r="C443" s="148" t="s">
        <v>3344</v>
      </c>
      <c r="D443" s="148"/>
      <c r="E443" s="192" t="n">
        <v>95</v>
      </c>
      <c r="F443" s="192" t="s">
        <v>3216</v>
      </c>
      <c r="G443" s="193" t="s">
        <v>911</v>
      </c>
      <c r="H443" s="105" t="n">
        <f aca="false">'[2]$ зима'!j443-'[2]$ зима'!au443-'[2]$ зима'!at443-'[2]$ зима'!as443-'[2]$ зима'!ar443-'[2]$ зима'!aq443-'[2]$ зима'!ap443-'[2]$ зима'!an443-'[2]$ зима'!am443-'[2]$ зима'!al443-'[2]$ зима'!ak443-'[2]$ зима'!aj443-'[2]$ зима'!ah443-'[2]$ зима'!ag443-'[2]$ зима'!af443-'[2]$ зима'!ae443-'[2]$ зима'!ad443-'[2]$ зима'!ab443-'[2]$ зима'!aa443-'[2]$ зима'!z443-'[2]$ зима'!y443-'[2]$ зима'!x443-'[2]$ зима'!v443-'[2]$ зима'!u443-'[2]$ зима'!t443-'[2]$ зима'!s443-'[2]$ зима'!r443-'[2]$ зима'!p443-'[2]$ зима'!o443-'[2]$ зима'!n443-'[2]$ зима'!m443-'[2]$ зима'!l443+'[2]$ зима'!q443+'[2]$ зима'!w443+'[2]$ зима'!ac443+'[2]$ зима'!ai443+'[2]$ зима'!ao443+'[2]$ зима'!k443</f>
        <v>20</v>
      </c>
      <c r="I443" s="191" t="n">
        <f aca="false">'[2]$ зима'!ay443*1.1</f>
        <v>1870</v>
      </c>
    </row>
    <row r="444" customFormat="false" ht="15" hidden="true" customHeight="false" outlineLevel="0" collapsed="false">
      <c r="A444" s="188" t="s">
        <v>170</v>
      </c>
      <c r="B444" s="149" t="s">
        <v>593</v>
      </c>
      <c r="C444" s="148" t="s">
        <v>3188</v>
      </c>
      <c r="D444" s="148"/>
      <c r="E444" s="148"/>
      <c r="F444" s="148"/>
      <c r="G444" s="193"/>
      <c r="H444" s="105" t="n">
        <f aca="false">'[2]$ зима'!j444-'[2]$ зима'!au444-'[2]$ зима'!at444-'[2]$ зима'!as444-'[2]$ зима'!ar444-'[2]$ зима'!aq444-'[2]$ зима'!ap444-'[2]$ зима'!an444-'[2]$ зима'!am444-'[2]$ зима'!al444-'[2]$ зима'!ak444-'[2]$ зима'!aj444-'[2]$ зима'!ah444-'[2]$ зима'!ag444-'[2]$ зима'!af444-'[2]$ зима'!ae444-'[2]$ зима'!ad444-'[2]$ зима'!ab444-'[2]$ зима'!aa444-'[2]$ зима'!z444-'[2]$ зима'!y444-'[2]$ зима'!x444-'[2]$ зима'!v444-'[2]$ зима'!u444-'[2]$ зима'!t444-'[2]$ зима'!s444-'[2]$ зима'!r444-'[2]$ зима'!p444-'[2]$ зима'!o444-'[2]$ зима'!n444-'[2]$ зима'!m444-'[2]$ зима'!l444+'[2]$ зима'!q444+'[2]$ зима'!w444+'[2]$ зима'!ac444+'[2]$ зима'!ai444+'[2]$ зима'!ao444+'[2]$ зима'!k444</f>
        <v>0</v>
      </c>
      <c r="I444" s="191" t="n">
        <f aca="false">'[2]$ зима'!ay444*1.1</f>
        <v>1601.6</v>
      </c>
    </row>
    <row r="445" customFormat="false" ht="15" hidden="true" customHeight="false" outlineLevel="0" collapsed="false">
      <c r="A445" s="188" t="s">
        <v>170</v>
      </c>
      <c r="B445" s="149" t="s">
        <v>3142</v>
      </c>
      <c r="C445" s="148" t="s">
        <v>3255</v>
      </c>
      <c r="D445" s="148" t="s">
        <v>3127</v>
      </c>
      <c r="E445" s="148"/>
      <c r="F445" s="148"/>
      <c r="G445" s="193"/>
      <c r="H445" s="105" t="n">
        <f aca="false">'[2]$ зима'!j445-'[2]$ зима'!au445-'[2]$ зима'!at445-'[2]$ зима'!as445-'[2]$ зима'!ar445-'[2]$ зима'!aq445-'[2]$ зима'!ap445-'[2]$ зима'!an445-'[2]$ зима'!am445-'[2]$ зима'!al445-'[2]$ зима'!ak445-'[2]$ зима'!aj445-'[2]$ зима'!ah445-'[2]$ зима'!ag445-'[2]$ зима'!af445-'[2]$ зима'!ae445-'[2]$ зима'!ad445-'[2]$ зима'!ab445-'[2]$ зима'!aa445-'[2]$ зима'!z445-'[2]$ зима'!y445-'[2]$ зима'!x445-'[2]$ зима'!v445-'[2]$ зима'!u445-'[2]$ зима'!t445-'[2]$ зима'!s445-'[2]$ зима'!r445-'[2]$ зима'!p445-'[2]$ зима'!o445-'[2]$ зима'!n445-'[2]$ зима'!m445-'[2]$ зима'!l445+'[2]$ зима'!q445+'[2]$ зима'!w445+'[2]$ зима'!ac445+'[2]$ зима'!ai445+'[2]$ зима'!ao445+'[2]$ зима'!k445</f>
        <v>0</v>
      </c>
      <c r="I445" s="191" t="n">
        <f aca="false">'[2]$ зима'!ay445*1.1</f>
        <v>1078</v>
      </c>
    </row>
    <row r="446" customFormat="false" ht="15" hidden="true" customHeight="false" outlineLevel="0" collapsed="false">
      <c r="A446" s="188" t="s">
        <v>170</v>
      </c>
      <c r="B446" s="149" t="s">
        <v>762</v>
      </c>
      <c r="C446" s="148" t="s">
        <v>3345</v>
      </c>
      <c r="D446" s="148"/>
      <c r="E446" s="148" t="n">
        <v>91</v>
      </c>
      <c r="F446" s="148" t="s">
        <v>562</v>
      </c>
      <c r="G446" s="193" t="s">
        <v>1075</v>
      </c>
      <c r="H446" s="105" t="n">
        <f aca="false">'[2]$ зима'!j446-'[2]$ зима'!au446-'[2]$ зима'!at446-'[2]$ зима'!as446-'[2]$ зима'!ar446-'[2]$ зима'!aq446-'[2]$ зима'!ap446-'[2]$ зима'!an446-'[2]$ зима'!am446-'[2]$ зима'!al446-'[2]$ зима'!ak446-'[2]$ зима'!aj446-'[2]$ зима'!ah446-'[2]$ зима'!ag446-'[2]$ зима'!af446-'[2]$ зима'!ae446-'[2]$ зима'!ad446-'[2]$ зима'!ab446-'[2]$ зима'!aa446-'[2]$ зима'!z446-'[2]$ зима'!y446-'[2]$ зима'!x446-'[2]$ зима'!v446-'[2]$ зима'!u446-'[2]$ зима'!t446-'[2]$ зима'!s446-'[2]$ зима'!r446-'[2]$ зима'!p446-'[2]$ зима'!o446-'[2]$ зима'!n446-'[2]$ зима'!m446-'[2]$ зима'!l446+'[2]$ зима'!q446+'[2]$ зима'!w446+'[2]$ зима'!ac446+'[2]$ зима'!ai446+'[2]$ зима'!ao446+'[2]$ зима'!k446</f>
        <v>0</v>
      </c>
      <c r="I446" s="191" t="n">
        <f aca="false">'[2]$ зима'!ay446*1.1</f>
        <v>1170.4</v>
      </c>
      <c r="J446" s="171" t="n">
        <v>2017</v>
      </c>
    </row>
    <row r="447" customFormat="false" ht="15" hidden="false" customHeight="false" outlineLevel="0" collapsed="false">
      <c r="A447" s="188" t="s">
        <v>170</v>
      </c>
      <c r="B447" s="149" t="s">
        <v>617</v>
      </c>
      <c r="C447" s="148" t="s">
        <v>3171</v>
      </c>
      <c r="D447" s="148"/>
      <c r="E447" s="192"/>
      <c r="F447" s="192"/>
      <c r="G447" s="193"/>
      <c r="H447" s="105" t="n">
        <f aca="false">'[2]$ зима'!j447-'[2]$ зима'!au447-'[2]$ зима'!at447-'[2]$ зима'!as447-'[2]$ зима'!ar447-'[2]$ зима'!aq447-'[2]$ зима'!ap447-'[2]$ зима'!an447-'[2]$ зима'!am447-'[2]$ зима'!al447-'[2]$ зима'!ak447-'[2]$ зима'!aj447-'[2]$ зима'!ah447-'[2]$ зима'!ag447-'[2]$ зима'!af447-'[2]$ зима'!ae447-'[2]$ зима'!ad447-'[2]$ зима'!ab447-'[2]$ зима'!aa447-'[2]$ зима'!z447-'[2]$ зима'!y447-'[2]$ зима'!x447-'[2]$ зима'!v447-'[2]$ зима'!u447-'[2]$ зима'!t447-'[2]$ зима'!s447-'[2]$ зима'!r447-'[2]$ зима'!p447-'[2]$ зима'!o447-'[2]$ зима'!n447-'[2]$ зима'!m447-'[2]$ зима'!l447+'[2]$ зима'!q447+'[2]$ зима'!w447+'[2]$ зима'!ac447+'[2]$ зима'!ai447+'[2]$ зима'!ao447+'[2]$ зима'!k447</f>
        <v>8</v>
      </c>
      <c r="I447" s="191" t="n">
        <f aca="false">'[2]$ зима'!ay447*1.1</f>
        <v>1201.2</v>
      </c>
      <c r="J447" s="171" t="n">
        <v>2017</v>
      </c>
    </row>
    <row r="448" customFormat="false" ht="15" hidden="false" customHeight="false" outlineLevel="0" collapsed="false">
      <c r="A448" s="188" t="s">
        <v>170</v>
      </c>
      <c r="B448" s="149" t="s">
        <v>3346</v>
      </c>
      <c r="C448" s="148" t="s">
        <v>3261</v>
      </c>
      <c r="D448" s="148"/>
      <c r="E448" s="192" t="n">
        <v>91</v>
      </c>
      <c r="F448" s="192" t="s">
        <v>562</v>
      </c>
      <c r="G448" s="193" t="s">
        <v>911</v>
      </c>
      <c r="H448" s="105" t="n">
        <f aca="false">'[2]$ зима'!j448-'[2]$ зима'!au448-'[2]$ зима'!at448-'[2]$ зима'!as448-'[2]$ зима'!ar448-'[2]$ зима'!aq448-'[2]$ зима'!ap448-'[2]$ зима'!an448-'[2]$ зима'!am448-'[2]$ зима'!al448-'[2]$ зима'!ak448-'[2]$ зима'!aj448-'[2]$ зима'!ah448-'[2]$ зима'!ag448-'[2]$ зима'!af448-'[2]$ зима'!ae448-'[2]$ зима'!ad448-'[2]$ зима'!ab448-'[2]$ зима'!aa448-'[2]$ зима'!z448-'[2]$ зима'!y448-'[2]$ зима'!x448-'[2]$ зима'!v448-'[2]$ зима'!u448-'[2]$ зима'!t448-'[2]$ зима'!s448-'[2]$ зима'!r448-'[2]$ зима'!p448-'[2]$ зима'!o448-'[2]$ зима'!n448-'[2]$ зима'!m448-'[2]$ зима'!l448+'[2]$ зима'!q448+'[2]$ зима'!w448+'[2]$ зима'!ac448+'[2]$ зима'!ai448+'[2]$ зима'!ao448+'[2]$ зима'!k448</f>
        <v>8</v>
      </c>
      <c r="I448" s="191" t="n">
        <f aca="false">'[2]$ зима'!ay448*1.1</f>
        <v>1201.2</v>
      </c>
      <c r="J448" s="171" t="n">
        <v>2017</v>
      </c>
    </row>
    <row r="449" customFormat="false" ht="15" hidden="false" customHeight="false" outlineLevel="0" collapsed="false">
      <c r="A449" s="188" t="s">
        <v>170</v>
      </c>
      <c r="B449" s="149" t="s">
        <v>677</v>
      </c>
      <c r="C449" s="194" t="s">
        <v>3136</v>
      </c>
      <c r="D449" s="202"/>
      <c r="E449" s="211" t="n">
        <v>91</v>
      </c>
      <c r="F449" s="211" t="s">
        <v>562</v>
      </c>
      <c r="G449" s="203" t="s">
        <v>520</v>
      </c>
      <c r="H449" s="105" t="n">
        <f aca="false">'[2]$ зима'!j449-'[2]$ зима'!au449-'[2]$ зима'!at449-'[2]$ зима'!as449-'[2]$ зима'!ar449-'[2]$ зима'!aq449-'[2]$ зима'!ap449-'[2]$ зима'!an449-'[2]$ зима'!am449-'[2]$ зима'!al449-'[2]$ зима'!ak449-'[2]$ зима'!aj449-'[2]$ зима'!ah449-'[2]$ зима'!ag449-'[2]$ зима'!af449-'[2]$ зима'!ae449-'[2]$ зима'!ad449-'[2]$ зима'!ab449-'[2]$ зима'!aa449-'[2]$ зима'!z449-'[2]$ зима'!y449-'[2]$ зима'!x449-'[2]$ зима'!v449-'[2]$ зима'!u449-'[2]$ зима'!t449-'[2]$ зима'!s449-'[2]$ зима'!r449-'[2]$ зима'!p449-'[2]$ зима'!o449-'[2]$ зима'!n449-'[2]$ зима'!m449-'[2]$ зима'!l449+'[2]$ зима'!q449+'[2]$ зима'!w449+'[2]$ зима'!ac449+'[2]$ зима'!ai449+'[2]$ зима'!ao449+'[2]$ зима'!k449</f>
        <v>4</v>
      </c>
      <c r="I449" s="191" t="n">
        <f aca="false">'[2]$ зима'!ay449*1.1</f>
        <v>1139.6</v>
      </c>
      <c r="J449" s="171" t="n">
        <v>2017</v>
      </c>
    </row>
    <row r="450" customFormat="false" ht="15" hidden="false" customHeight="false" outlineLevel="0" collapsed="false">
      <c r="A450" s="188" t="s">
        <v>170</v>
      </c>
      <c r="B450" s="149" t="s">
        <v>677</v>
      </c>
      <c r="C450" s="148" t="s">
        <v>3347</v>
      </c>
      <c r="D450" s="148"/>
      <c r="E450" s="192" t="n">
        <v>95</v>
      </c>
      <c r="F450" s="192" t="s">
        <v>3216</v>
      </c>
      <c r="G450" s="203" t="s">
        <v>520</v>
      </c>
      <c r="H450" s="105" t="n">
        <f aca="false">'[2]$ зима'!j450-'[2]$ зима'!au450-'[2]$ зима'!at450-'[2]$ зима'!as450-'[2]$ зима'!ar450-'[2]$ зима'!aq450-'[2]$ зима'!ap450-'[2]$ зима'!an450-'[2]$ зима'!am450-'[2]$ зима'!al450-'[2]$ зима'!ak450-'[2]$ зима'!aj450-'[2]$ зима'!ah450-'[2]$ зима'!ag450-'[2]$ зима'!af450-'[2]$ зима'!ae450-'[2]$ зима'!ad450-'[2]$ зима'!ab450-'[2]$ зима'!aa450-'[2]$ зима'!z450-'[2]$ зима'!y450-'[2]$ зима'!x450-'[2]$ зима'!v450-'[2]$ зима'!u450-'[2]$ зима'!t450-'[2]$ зима'!s450-'[2]$ зима'!r450-'[2]$ зима'!p450-'[2]$ зима'!o450-'[2]$ зима'!n450-'[2]$ зима'!m450-'[2]$ зима'!l450+'[2]$ зима'!q450+'[2]$ зима'!w450+'[2]$ зима'!ac450+'[2]$ зима'!ai450+'[2]$ зима'!ao450+'[2]$ зима'!k450</f>
        <v>20</v>
      </c>
      <c r="I450" s="191" t="n">
        <f aca="false">'[2]$ зима'!ay450*1.1</f>
        <v>1170.4</v>
      </c>
      <c r="J450" s="171" t="n">
        <v>2017</v>
      </c>
    </row>
    <row r="451" customFormat="false" ht="15" hidden="false" customHeight="false" outlineLevel="0" collapsed="false">
      <c r="A451" s="188" t="s">
        <v>170</v>
      </c>
      <c r="B451" s="149" t="s">
        <v>677</v>
      </c>
      <c r="C451" s="194" t="s">
        <v>3135</v>
      </c>
      <c r="D451" s="148"/>
      <c r="E451" s="192"/>
      <c r="F451" s="192"/>
      <c r="G451" s="203" t="s">
        <v>520</v>
      </c>
      <c r="H451" s="105" t="n">
        <f aca="false">'[2]$ зима'!j451-'[2]$ зима'!au451-'[2]$ зима'!at451-'[2]$ зима'!as451-'[2]$ зима'!ar451-'[2]$ зима'!aq451-'[2]$ зима'!ap451-'[2]$ зима'!an451-'[2]$ зима'!am451-'[2]$ зима'!al451-'[2]$ зима'!ak451-'[2]$ зима'!aj451-'[2]$ зима'!ah451-'[2]$ зима'!ag451-'[2]$ зима'!af451-'[2]$ зима'!ae451-'[2]$ зима'!ad451-'[2]$ зима'!ab451-'[2]$ зима'!aa451-'[2]$ зима'!z451-'[2]$ зима'!y451-'[2]$ зима'!x451-'[2]$ зима'!v451-'[2]$ зима'!u451-'[2]$ зима'!t451-'[2]$ зима'!s451-'[2]$ зима'!r451-'[2]$ зима'!p451-'[2]$ зима'!o451-'[2]$ зима'!n451-'[2]$ зима'!m451-'[2]$ зима'!l451+'[2]$ зима'!q451+'[2]$ зима'!w451+'[2]$ зима'!ac451+'[2]$ зима'!ai451+'[2]$ зима'!ao451+'[2]$ зима'!k451</f>
        <v>4</v>
      </c>
      <c r="I451" s="191" t="n">
        <f aca="false">'[2]$ зима'!ay451*1.1</f>
        <v>1139.6</v>
      </c>
      <c r="J451" s="171" t="n">
        <v>2017</v>
      </c>
    </row>
    <row r="452" customFormat="false" ht="15" hidden="false" customHeight="false" outlineLevel="0" collapsed="false">
      <c r="A452" s="188" t="s">
        <v>170</v>
      </c>
      <c r="B452" s="149" t="s">
        <v>621</v>
      </c>
      <c r="C452" s="148" t="s">
        <v>3293</v>
      </c>
      <c r="D452" s="148"/>
      <c r="E452" s="192" t="n">
        <v>91</v>
      </c>
      <c r="F452" s="192" t="s">
        <v>562</v>
      </c>
      <c r="G452" s="203" t="s">
        <v>520</v>
      </c>
      <c r="H452" s="105" t="n">
        <f aca="false">'[2]$ зима'!j452-'[2]$ зима'!au452-'[2]$ зима'!at452-'[2]$ зима'!as452-'[2]$ зима'!ar452-'[2]$ зима'!aq452-'[2]$ зима'!ap452-'[2]$ зима'!an452-'[2]$ зима'!am452-'[2]$ зима'!al452-'[2]$ зима'!ak452-'[2]$ зима'!aj452-'[2]$ зима'!ah452-'[2]$ зима'!ag452-'[2]$ зима'!af452-'[2]$ зима'!ae452-'[2]$ зима'!ad452-'[2]$ зима'!ab452-'[2]$ зима'!aa452-'[2]$ зима'!z452-'[2]$ зима'!y452-'[2]$ зима'!x452-'[2]$ зима'!v452-'[2]$ зима'!u452-'[2]$ зима'!t452-'[2]$ зима'!s452-'[2]$ зима'!r452-'[2]$ зима'!p452-'[2]$ зима'!o452-'[2]$ зима'!n452-'[2]$ зима'!m452-'[2]$ зима'!l452+'[2]$ зима'!q452+'[2]$ зима'!w452+'[2]$ зима'!ac452+'[2]$ зима'!ai452+'[2]$ зима'!ao452+'[2]$ зима'!k452</f>
        <v>2</v>
      </c>
      <c r="I452" s="191" t="n">
        <f aca="false">'[2]$ зима'!ay452*1.1</f>
        <v>1201.2</v>
      </c>
      <c r="J452" s="171" t="n">
        <v>2017</v>
      </c>
    </row>
    <row r="453" customFormat="false" ht="15" hidden="false" customHeight="false" outlineLevel="0" collapsed="false">
      <c r="A453" s="188" t="s">
        <v>170</v>
      </c>
      <c r="B453" s="149" t="s">
        <v>589</v>
      </c>
      <c r="C453" s="148" t="s">
        <v>3208</v>
      </c>
      <c r="D453" s="24" t="s">
        <v>3147</v>
      </c>
      <c r="E453" s="192" t="n">
        <v>91</v>
      </c>
      <c r="F453" s="192" t="s">
        <v>562</v>
      </c>
      <c r="G453" s="193" t="s">
        <v>626</v>
      </c>
      <c r="H453" s="105" t="n">
        <f aca="false">'[2]$ зима'!j453-'[2]$ зима'!au453-'[2]$ зима'!at453-'[2]$ зима'!as453-'[2]$ зима'!ar453-'[2]$ зима'!aq453-'[2]$ зима'!ap453-'[2]$ зима'!an453-'[2]$ зима'!am453-'[2]$ зима'!al453-'[2]$ зима'!ak453-'[2]$ зима'!aj453-'[2]$ зима'!ah453-'[2]$ зима'!ag453-'[2]$ зима'!af453-'[2]$ зима'!ae453-'[2]$ зима'!ad453-'[2]$ зима'!ab453-'[2]$ зима'!aa453-'[2]$ зима'!z453-'[2]$ зима'!y453-'[2]$ зима'!x453-'[2]$ зима'!v453-'[2]$ зима'!u453-'[2]$ зима'!t453-'[2]$ зима'!s453-'[2]$ зима'!r453-'[2]$ зима'!p453-'[2]$ зима'!o453-'[2]$ зима'!n453-'[2]$ зима'!m453-'[2]$ зима'!l453+'[2]$ зима'!q453+'[2]$ зима'!w453+'[2]$ зима'!ac453+'[2]$ зима'!ai453+'[2]$ зима'!ao453+'[2]$ зима'!k453</f>
        <v>4</v>
      </c>
      <c r="I453" s="191" t="n">
        <f aca="false">'[2]$ зима'!ay453*1.1</f>
        <v>1718.2</v>
      </c>
      <c r="J453" s="226"/>
    </row>
    <row r="454" customFormat="false" ht="15" hidden="false" customHeight="false" outlineLevel="0" collapsed="false">
      <c r="A454" s="188" t="s">
        <v>170</v>
      </c>
      <c r="B454" s="149" t="s">
        <v>589</v>
      </c>
      <c r="C454" s="148" t="s">
        <v>3225</v>
      </c>
      <c r="D454" s="148"/>
      <c r="E454" s="192" t="n">
        <v>91</v>
      </c>
      <c r="F454" s="192" t="s">
        <v>3207</v>
      </c>
      <c r="G454" s="193" t="s">
        <v>626</v>
      </c>
      <c r="H454" s="105" t="n">
        <f aca="false">'[2]$ зима'!j454-'[2]$ зима'!au454-'[2]$ зима'!at454-'[2]$ зима'!as454-'[2]$ зима'!ar454-'[2]$ зима'!aq454-'[2]$ зима'!ap454-'[2]$ зима'!an454-'[2]$ зима'!am454-'[2]$ зима'!al454-'[2]$ зима'!ak454-'[2]$ зима'!aj454-'[2]$ зима'!ah454-'[2]$ зима'!ag454-'[2]$ зима'!af454-'[2]$ зима'!ae454-'[2]$ зима'!ad454-'[2]$ зима'!ab454-'[2]$ зима'!aa454-'[2]$ зима'!z454-'[2]$ зима'!y454-'[2]$ зима'!x454-'[2]$ зима'!v454-'[2]$ зима'!u454-'[2]$ зима'!t454-'[2]$ зима'!s454-'[2]$ зима'!r454-'[2]$ зима'!p454-'[2]$ зима'!o454-'[2]$ зима'!n454-'[2]$ зима'!m454-'[2]$ зима'!l454+'[2]$ зима'!q454+'[2]$ зима'!w454+'[2]$ зима'!ac454+'[2]$ зима'!ai454+'[2]$ зима'!ao454+'[2]$ зима'!k454</f>
        <v>40</v>
      </c>
      <c r="I454" s="191" t="n">
        <f aca="false">'[2]$ зима'!ay454*1.1</f>
        <v>1686.96</v>
      </c>
      <c r="J454" s="226" t="n">
        <v>2018</v>
      </c>
    </row>
    <row r="455" customFormat="false" ht="15" hidden="true" customHeight="false" outlineLevel="0" collapsed="false">
      <c r="A455" s="188" t="s">
        <v>170</v>
      </c>
      <c r="B455" s="149" t="s">
        <v>589</v>
      </c>
      <c r="C455" s="148" t="s">
        <v>3209</v>
      </c>
      <c r="D455" s="148"/>
      <c r="E455" s="192"/>
      <c r="F455" s="192"/>
      <c r="G455" s="193" t="s">
        <v>626</v>
      </c>
      <c r="H455" s="105" t="n">
        <f aca="false">'[2]$ зима'!j455-'[2]$ зима'!au455-'[2]$ зима'!at455-'[2]$ зима'!as455-'[2]$ зима'!ar455-'[2]$ зима'!aq455-'[2]$ зима'!ap455-'[2]$ зима'!an455-'[2]$ зима'!am455-'[2]$ зима'!al455-'[2]$ зима'!ak455-'[2]$ зима'!aj455-'[2]$ зима'!ah455-'[2]$ зима'!ag455-'[2]$ зима'!af455-'[2]$ зима'!ae455-'[2]$ зима'!ad455-'[2]$ зима'!ab455-'[2]$ зима'!aa455-'[2]$ зима'!z455-'[2]$ зима'!y455-'[2]$ зима'!x455-'[2]$ зима'!v455-'[2]$ зима'!u455-'[2]$ зима'!t455-'[2]$ зима'!s455-'[2]$ зима'!r455-'[2]$ зима'!p455-'[2]$ зима'!o455-'[2]$ зима'!n455-'[2]$ зима'!m455-'[2]$ зима'!l455+'[2]$ зима'!q455+'[2]$ зима'!w455+'[2]$ зима'!ac455+'[2]$ зима'!ai455+'[2]$ зима'!ao455+'[2]$ зима'!k455</f>
        <v>0</v>
      </c>
      <c r="I455" s="191" t="n">
        <f aca="false">'[2]$ зима'!ay455*1.1</f>
        <v>1655.72</v>
      </c>
      <c r="J455" s="226" t="n">
        <v>2017</v>
      </c>
    </row>
    <row r="456" customFormat="false" ht="15" hidden="true" customHeight="false" outlineLevel="0" collapsed="false">
      <c r="A456" s="188" t="s">
        <v>170</v>
      </c>
      <c r="B456" s="149" t="s">
        <v>564</v>
      </c>
      <c r="C456" s="148" t="s">
        <v>3348</v>
      </c>
      <c r="D456" s="148"/>
      <c r="E456" s="148"/>
      <c r="F456" s="148"/>
      <c r="G456" s="227"/>
      <c r="H456" s="105" t="n">
        <f aca="false">'[2]$ зима'!j456-'[2]$ зима'!au456-'[2]$ зима'!at456-'[2]$ зима'!as456-'[2]$ зима'!ar456-'[2]$ зима'!aq456-'[2]$ зима'!ap456-'[2]$ зима'!an456-'[2]$ зима'!am456-'[2]$ зима'!al456-'[2]$ зима'!ak456-'[2]$ зима'!aj456-'[2]$ зима'!ah456-'[2]$ зима'!ag456-'[2]$ зима'!af456-'[2]$ зима'!ae456-'[2]$ зима'!ad456-'[2]$ зима'!ab456-'[2]$ зима'!aa456-'[2]$ зима'!z456-'[2]$ зима'!y456-'[2]$ зима'!x456-'[2]$ зима'!v456-'[2]$ зима'!u456-'[2]$ зима'!t456-'[2]$ зима'!s456-'[2]$ зима'!r456-'[2]$ зима'!p456-'[2]$ зима'!o456-'[2]$ зима'!n456-'[2]$ зима'!m456-'[2]$ зима'!l456+'[2]$ зима'!q456+'[2]$ зима'!w456+'[2]$ зима'!ac456+'[2]$ зима'!ai456+'[2]$ зима'!ao456+'[2]$ зима'!k456</f>
        <v>0</v>
      </c>
      <c r="I456" s="191" t="n">
        <f aca="false">'[2]$ зима'!ay456*1.1</f>
        <v>1108.8</v>
      </c>
      <c r="J456" s="226"/>
    </row>
    <row r="457" customFormat="false" ht="15" hidden="true" customHeight="false" outlineLevel="0" collapsed="false">
      <c r="A457" s="188" t="s">
        <v>170</v>
      </c>
      <c r="B457" s="149" t="s">
        <v>1028</v>
      </c>
      <c r="C457" s="148" t="s">
        <v>3349</v>
      </c>
      <c r="D457" s="148"/>
      <c r="E457" s="148"/>
      <c r="F457" s="148"/>
      <c r="G457" s="227" t="s">
        <v>1188</v>
      </c>
      <c r="H457" s="105" t="n">
        <f aca="false">'[2]$ зима'!j457-'[2]$ зима'!au457-'[2]$ зима'!at457-'[2]$ зима'!as457-'[2]$ зима'!ar457-'[2]$ зима'!aq457-'[2]$ зима'!ap457-'[2]$ зима'!an457-'[2]$ зима'!am457-'[2]$ зима'!al457-'[2]$ зима'!ak457-'[2]$ зима'!aj457-'[2]$ зима'!ah457-'[2]$ зима'!ag457-'[2]$ зима'!af457-'[2]$ зима'!ae457-'[2]$ зима'!ad457-'[2]$ зима'!ab457-'[2]$ зима'!aa457-'[2]$ зима'!z457-'[2]$ зима'!y457-'[2]$ зима'!x457-'[2]$ зима'!v457-'[2]$ зима'!u457-'[2]$ зима'!t457-'[2]$ зима'!s457-'[2]$ зима'!r457-'[2]$ зима'!p457-'[2]$ зима'!o457-'[2]$ зима'!n457-'[2]$ зима'!m457-'[2]$ зима'!l457+'[2]$ зима'!q457+'[2]$ зима'!w457+'[2]$ зима'!ac457+'[2]$ зима'!ai457+'[2]$ зима'!ao457+'[2]$ зима'!k457</f>
        <v>0</v>
      </c>
      <c r="I457" s="191" t="n">
        <f aca="false">'[2]$ зима'!ay457*1.1</f>
        <v>1694</v>
      </c>
      <c r="J457" s="226" t="n">
        <v>2017</v>
      </c>
    </row>
    <row r="458" customFormat="false" ht="15" hidden="false" customHeight="false" outlineLevel="0" collapsed="false">
      <c r="A458" s="188" t="s">
        <v>170</v>
      </c>
      <c r="B458" s="149" t="s">
        <v>1028</v>
      </c>
      <c r="C458" s="148" t="s">
        <v>3350</v>
      </c>
      <c r="D458" s="148"/>
      <c r="E458" s="192"/>
      <c r="F458" s="192"/>
      <c r="G458" s="193"/>
      <c r="H458" s="105" t="n">
        <f aca="false">'[2]$ зима'!j458-'[2]$ зима'!au458-'[2]$ зима'!at458-'[2]$ зима'!as458-'[2]$ зима'!ar458-'[2]$ зима'!aq458-'[2]$ зима'!ap458-'[2]$ зима'!an458-'[2]$ зима'!am458-'[2]$ зима'!al458-'[2]$ зима'!ak458-'[2]$ зима'!aj458-'[2]$ зима'!ah458-'[2]$ зима'!ag458-'[2]$ зима'!af458-'[2]$ зима'!ae458-'[2]$ зима'!ad458-'[2]$ зима'!ab458-'[2]$ зима'!aa458-'[2]$ зима'!z458-'[2]$ зима'!y458-'[2]$ зима'!x458-'[2]$ зима'!v458-'[2]$ зима'!u458-'[2]$ зима'!t458-'[2]$ зима'!s458-'[2]$ зима'!r458-'[2]$ зима'!p458-'[2]$ зима'!o458-'[2]$ зима'!n458-'[2]$ зима'!m458-'[2]$ зима'!l458+'[2]$ зима'!q458+'[2]$ зима'!w458+'[2]$ зима'!ac458+'[2]$ зима'!ai458+'[2]$ зима'!ao458+'[2]$ зима'!k458</f>
        <v>2</v>
      </c>
      <c r="I458" s="191" t="n">
        <f aca="false">'[2]$ зима'!ay458*1.1</f>
        <v>1139.6</v>
      </c>
    </row>
    <row r="459" customFormat="false" ht="15" hidden="true" customHeight="false" outlineLevel="0" collapsed="false">
      <c r="A459" s="188" t="s">
        <v>170</v>
      </c>
      <c r="B459" s="149" t="s">
        <v>3351</v>
      </c>
      <c r="C459" s="148" t="s">
        <v>3352</v>
      </c>
      <c r="D459" s="148"/>
      <c r="E459" s="148"/>
      <c r="F459" s="148"/>
      <c r="G459" s="193"/>
      <c r="H459" s="105" t="n">
        <f aca="false">'[2]$ зима'!j459-'[2]$ зима'!au459-'[2]$ зима'!at459-'[2]$ зима'!as459-'[2]$ зима'!ar459-'[2]$ зима'!aq459-'[2]$ зима'!ap459-'[2]$ зима'!an459-'[2]$ зима'!am459-'[2]$ зима'!al459-'[2]$ зима'!ak459-'[2]$ зима'!aj459-'[2]$ зима'!ah459-'[2]$ зима'!ag459-'[2]$ зима'!af459-'[2]$ зима'!ae459-'[2]$ зима'!ad459-'[2]$ зима'!ab459-'[2]$ зима'!aa459-'[2]$ зима'!z459-'[2]$ зима'!y459-'[2]$ зима'!x459-'[2]$ зима'!v459-'[2]$ зима'!u459-'[2]$ зима'!t459-'[2]$ зима'!s459-'[2]$ зима'!r459-'[2]$ зима'!p459-'[2]$ зима'!o459-'[2]$ зима'!n459-'[2]$ зима'!m459-'[2]$ зима'!l459+'[2]$ зима'!q459+'[2]$ зима'!w459+'[2]$ зима'!ac459+'[2]$ зима'!ai459+'[2]$ зима'!ao459+'[2]$ зима'!k459</f>
        <v>0</v>
      </c>
      <c r="I459" s="191" t="n">
        <f aca="false">'[2]$ зима'!ay459*1.1</f>
        <v>1601.6</v>
      </c>
    </row>
    <row r="460" customFormat="false" ht="15" hidden="true" customHeight="false" outlineLevel="0" collapsed="false">
      <c r="A460" s="188" t="s">
        <v>984</v>
      </c>
      <c r="B460" s="149" t="s">
        <v>568</v>
      </c>
      <c r="C460" s="148" t="s">
        <v>3353</v>
      </c>
      <c r="D460" s="148" t="s">
        <v>3354</v>
      </c>
      <c r="E460" s="148"/>
      <c r="F460" s="148"/>
      <c r="G460" s="193" t="s">
        <v>570</v>
      </c>
      <c r="H460" s="105" t="n">
        <f aca="false">'[2]$ зима'!j460-'[2]$ зима'!au460-'[2]$ зима'!at460-'[2]$ зима'!as460-'[2]$ зима'!ar460-'[2]$ зима'!aq460-'[2]$ зима'!ap460-'[2]$ зима'!an460-'[2]$ зима'!am460-'[2]$ зима'!al460-'[2]$ зима'!ak460-'[2]$ зима'!aj460-'[2]$ зима'!ah460-'[2]$ зима'!ag460-'[2]$ зима'!af460-'[2]$ зима'!ae460-'[2]$ зима'!ad460-'[2]$ зима'!ab460-'[2]$ зима'!aa460-'[2]$ зима'!z460-'[2]$ зима'!y460-'[2]$ зима'!x460-'[2]$ зима'!v460-'[2]$ зима'!u460-'[2]$ зима'!t460-'[2]$ зима'!s460-'[2]$ зима'!r460-'[2]$ зима'!p460-'[2]$ зима'!o460-'[2]$ зима'!n460-'[2]$ зима'!m460-'[2]$ зима'!l460+'[2]$ зима'!q460+'[2]$ зима'!w460+'[2]$ зима'!ac460+'[2]$ зима'!ai460+'[2]$ зима'!ao460+'[2]$ зима'!k460</f>
        <v>0</v>
      </c>
      <c r="I460" s="191" t="n">
        <f aca="false">'[2]$ зима'!ay460*1.1</f>
        <v>1601.6</v>
      </c>
      <c r="J460" s="171" t="n">
        <v>2017</v>
      </c>
    </row>
    <row r="461" customFormat="false" ht="15" hidden="true" customHeight="false" outlineLevel="0" collapsed="false">
      <c r="A461" s="188" t="s">
        <v>984</v>
      </c>
      <c r="B461" s="149" t="s">
        <v>658</v>
      </c>
      <c r="C461" s="148" t="s">
        <v>3355</v>
      </c>
      <c r="D461" s="148" t="s">
        <v>3354</v>
      </c>
      <c r="E461" s="148"/>
      <c r="F461" s="148"/>
      <c r="G461" s="193"/>
      <c r="H461" s="105" t="n">
        <f aca="false">'[2]$ зима'!j461-'[2]$ зима'!au461-'[2]$ зима'!at461-'[2]$ зима'!as461-'[2]$ зима'!ar461-'[2]$ зима'!aq461-'[2]$ зима'!ap461-'[2]$ зима'!an461-'[2]$ зима'!am461-'[2]$ зима'!al461-'[2]$ зима'!ak461-'[2]$ зима'!aj461-'[2]$ зима'!ah461-'[2]$ зима'!ag461-'[2]$ зима'!af461-'[2]$ зима'!ae461-'[2]$ зима'!ad461-'[2]$ зима'!ab461-'[2]$ зима'!aa461-'[2]$ зима'!z461-'[2]$ зима'!y461-'[2]$ зима'!x461-'[2]$ зима'!v461-'[2]$ зима'!u461-'[2]$ зима'!t461-'[2]$ зима'!s461-'[2]$ зима'!r461-'[2]$ зима'!p461-'[2]$ зима'!o461-'[2]$ зима'!n461-'[2]$ зима'!m461-'[2]$ зима'!l461+'[2]$ зима'!q461+'[2]$ зима'!w461+'[2]$ зима'!ac461+'[2]$ зима'!ai461+'[2]$ зима'!ao461+'[2]$ зима'!k461</f>
        <v>0</v>
      </c>
      <c r="I461" s="191" t="n">
        <f aca="false">'[2]$ зима'!ay461*1.1</f>
        <v>1694</v>
      </c>
    </row>
    <row r="462" customFormat="false" ht="15" hidden="true" customHeight="false" outlineLevel="0" collapsed="false">
      <c r="A462" s="188" t="s">
        <v>984</v>
      </c>
      <c r="B462" s="149" t="s">
        <v>606</v>
      </c>
      <c r="C462" s="148" t="s">
        <v>3356</v>
      </c>
      <c r="D462" s="148"/>
      <c r="E462" s="148" t="n">
        <v>97</v>
      </c>
      <c r="F462" s="148" t="s">
        <v>3216</v>
      </c>
      <c r="G462" s="193"/>
      <c r="H462" s="105" t="n">
        <f aca="false">'[2]$ зима'!j462-'[2]$ зима'!au462-'[2]$ зима'!at462-'[2]$ зима'!as462-'[2]$ зима'!ar462-'[2]$ зима'!aq462-'[2]$ зима'!ap462-'[2]$ зима'!an462-'[2]$ зима'!am462-'[2]$ зима'!al462-'[2]$ зима'!ak462-'[2]$ зима'!aj462-'[2]$ зима'!ah462-'[2]$ зима'!ag462-'[2]$ зима'!af462-'[2]$ зима'!ae462-'[2]$ зима'!ad462-'[2]$ зима'!ab462-'[2]$ зима'!aa462-'[2]$ зима'!z462-'[2]$ зима'!y462-'[2]$ зима'!x462-'[2]$ зима'!v462-'[2]$ зима'!u462-'[2]$ зима'!t462-'[2]$ зима'!s462-'[2]$ зима'!r462-'[2]$ зима'!p462-'[2]$ зима'!o462-'[2]$ зима'!n462-'[2]$ зима'!m462-'[2]$ зима'!l462+'[2]$ зима'!q462+'[2]$ зима'!w462+'[2]$ зима'!ac462+'[2]$ зима'!ai462+'[2]$ зима'!ao462+'[2]$ зима'!k462</f>
        <v>0</v>
      </c>
      <c r="I462" s="191" t="n">
        <f aca="false">'[2]$ зима'!ay462*1.1</f>
        <v>1694</v>
      </c>
    </row>
    <row r="463" customFormat="false" ht="15" hidden="true" customHeight="false" outlineLevel="0" collapsed="false">
      <c r="A463" s="188" t="s">
        <v>984</v>
      </c>
      <c r="B463" s="149" t="s">
        <v>3142</v>
      </c>
      <c r="C463" s="148" t="s">
        <v>3357</v>
      </c>
      <c r="D463" s="148"/>
      <c r="E463" s="148"/>
      <c r="F463" s="148"/>
      <c r="G463" s="193"/>
      <c r="H463" s="105" t="n">
        <f aca="false">'[2]$ зима'!j463-'[2]$ зима'!au463-'[2]$ зима'!at463-'[2]$ зима'!as463-'[2]$ зима'!ar463-'[2]$ зима'!aq463-'[2]$ зима'!ap463-'[2]$ зима'!an463-'[2]$ зима'!am463-'[2]$ зима'!al463-'[2]$ зима'!ak463-'[2]$ зима'!aj463-'[2]$ зима'!ah463-'[2]$ зима'!ag463-'[2]$ зима'!af463-'[2]$ зима'!ae463-'[2]$ зима'!ad463-'[2]$ зима'!ab463-'[2]$ зима'!aa463-'[2]$ зима'!z463-'[2]$ зима'!y463-'[2]$ зима'!x463-'[2]$ зима'!v463-'[2]$ зима'!u463-'[2]$ зима'!t463-'[2]$ зима'!s463-'[2]$ зима'!r463-'[2]$ зима'!p463-'[2]$ зима'!o463-'[2]$ зима'!n463-'[2]$ зима'!m463-'[2]$ зима'!l463+'[2]$ зима'!q463+'[2]$ зима'!w463+'[2]$ зима'!ac463+'[2]$ зима'!ai463+'[2]$ зима'!ao463+'[2]$ зима'!k463</f>
        <v>0</v>
      </c>
      <c r="I463" s="191" t="n">
        <f aca="false">'[2]$ зима'!ay463*1.1</f>
        <v>1386</v>
      </c>
    </row>
    <row r="464" customFormat="false" ht="15" hidden="false" customHeight="false" outlineLevel="0" collapsed="false">
      <c r="A464" s="210" t="s">
        <v>984</v>
      </c>
      <c r="B464" s="198" t="s">
        <v>652</v>
      </c>
      <c r="C464" s="194" t="s">
        <v>3137</v>
      </c>
      <c r="D464" s="194" t="s">
        <v>3354</v>
      </c>
      <c r="E464" s="195"/>
      <c r="F464" s="195"/>
      <c r="G464" s="200"/>
      <c r="H464" s="105" t="n">
        <f aca="false">'[2]$ зима'!j464-'[2]$ зима'!au464-'[2]$ зима'!at464-'[2]$ зима'!as464-'[2]$ зима'!ar464-'[2]$ зима'!aq464-'[2]$ зима'!ap464-'[2]$ зима'!an464-'[2]$ зима'!am464-'[2]$ зима'!al464-'[2]$ зима'!ak464-'[2]$ зима'!aj464-'[2]$ зима'!ah464-'[2]$ зима'!ag464-'[2]$ зима'!af464-'[2]$ зима'!ae464-'[2]$ зима'!ad464-'[2]$ зима'!ab464-'[2]$ зима'!aa464-'[2]$ зима'!z464-'[2]$ зима'!y464-'[2]$ зима'!x464-'[2]$ зима'!v464-'[2]$ зима'!u464-'[2]$ зима'!t464-'[2]$ зима'!s464-'[2]$ зима'!r464-'[2]$ зима'!p464-'[2]$ зима'!o464-'[2]$ зима'!n464-'[2]$ зима'!m464-'[2]$ зима'!l464+'[2]$ зима'!q464+'[2]$ зима'!w464+'[2]$ зима'!ac464+'[2]$ зима'!ai464+'[2]$ зима'!ao464+'[2]$ зима'!k464</f>
        <v>1</v>
      </c>
      <c r="I464" s="191" t="n">
        <f aca="false">'[2]$ зима'!ay464*1.1</f>
        <v>924</v>
      </c>
      <c r="J464" s="201"/>
    </row>
    <row r="465" customFormat="false" ht="15" hidden="true" customHeight="false" outlineLevel="0" collapsed="false">
      <c r="A465" s="210" t="s">
        <v>984</v>
      </c>
      <c r="B465" s="198" t="s">
        <v>589</v>
      </c>
      <c r="C465" s="194" t="s">
        <v>3173</v>
      </c>
      <c r="D465" s="194"/>
      <c r="E465" s="194"/>
      <c r="F465" s="194"/>
      <c r="G465" s="193" t="s">
        <v>626</v>
      </c>
      <c r="H465" s="105" t="n">
        <f aca="false">'[2]$ зима'!j465-'[2]$ зима'!au465-'[2]$ зима'!at465-'[2]$ зима'!as465-'[2]$ зима'!ar465-'[2]$ зима'!aq465-'[2]$ зима'!ap465-'[2]$ зима'!an465-'[2]$ зима'!am465-'[2]$ зима'!al465-'[2]$ зима'!ak465-'[2]$ зима'!aj465-'[2]$ зима'!ah465-'[2]$ зима'!ag465-'[2]$ зима'!af465-'[2]$ зима'!ae465-'[2]$ зима'!ad465-'[2]$ зима'!ab465-'[2]$ зима'!aa465-'[2]$ зима'!z465-'[2]$ зима'!y465-'[2]$ зима'!x465-'[2]$ зима'!v465-'[2]$ зима'!u465-'[2]$ зима'!t465-'[2]$ зима'!s465-'[2]$ зима'!r465-'[2]$ зима'!p465-'[2]$ зима'!o465-'[2]$ зима'!n465-'[2]$ зима'!m465-'[2]$ зима'!l465+'[2]$ зима'!q465+'[2]$ зима'!w465+'[2]$ зима'!ac465+'[2]$ зима'!ai465+'[2]$ зима'!ao465+'[2]$ зима'!k465</f>
        <v>0</v>
      </c>
      <c r="I465" s="191" t="n">
        <f aca="false">'[2]$ зима'!ay465*1.1</f>
        <v>2179.1</v>
      </c>
      <c r="J465" s="201"/>
    </row>
    <row r="466" customFormat="false" ht="15" hidden="true" customHeight="false" outlineLevel="0" collapsed="false">
      <c r="A466" s="210" t="s">
        <v>984</v>
      </c>
      <c r="B466" s="198" t="s">
        <v>1028</v>
      </c>
      <c r="C466" s="194" t="s">
        <v>3358</v>
      </c>
      <c r="D466" s="194"/>
      <c r="E466" s="194"/>
      <c r="F466" s="194"/>
      <c r="G466" s="200"/>
      <c r="H466" s="105" t="n">
        <f aca="false">'[2]$ зима'!j466-'[2]$ зима'!au466-'[2]$ зима'!at466-'[2]$ зима'!as466-'[2]$ зима'!ar466-'[2]$ зима'!aq466-'[2]$ зима'!ap466-'[2]$ зима'!an466-'[2]$ зима'!am466-'[2]$ зима'!al466-'[2]$ зима'!ak466-'[2]$ зима'!aj466-'[2]$ зима'!ah466-'[2]$ зима'!ag466-'[2]$ зима'!af466-'[2]$ зима'!ae466-'[2]$ зима'!ad466-'[2]$ зима'!ab466-'[2]$ зима'!aa466-'[2]$ зима'!z466-'[2]$ зима'!y466-'[2]$ зима'!x466-'[2]$ зима'!v466-'[2]$ зима'!u466-'[2]$ зима'!t466-'[2]$ зима'!s466-'[2]$ зима'!r466-'[2]$ зима'!p466-'[2]$ зима'!o466-'[2]$ зима'!n466-'[2]$ зима'!m466-'[2]$ зима'!l466+'[2]$ зима'!q466+'[2]$ зима'!w466+'[2]$ зима'!ac466+'[2]$ зима'!ai466+'[2]$ зима'!ao466+'[2]$ зима'!k466</f>
        <v>0</v>
      </c>
      <c r="I466" s="191" t="n">
        <f aca="false">'[2]$ зима'!ay466*1.1</f>
        <v>1694</v>
      </c>
      <c r="J466" s="201"/>
    </row>
    <row r="467" customFormat="false" ht="15" hidden="true" customHeight="false" outlineLevel="0" collapsed="false">
      <c r="A467" s="188" t="s">
        <v>185</v>
      </c>
      <c r="B467" s="149" t="s">
        <v>601</v>
      </c>
      <c r="C467" s="148" t="s">
        <v>3319</v>
      </c>
      <c r="D467" s="148"/>
      <c r="E467" s="148"/>
      <c r="F467" s="148"/>
      <c r="G467" s="193"/>
      <c r="H467" s="105" t="n">
        <f aca="false">'[2]$ зима'!j467-'[2]$ зима'!au467-'[2]$ зима'!at467-'[2]$ зима'!as467-'[2]$ зима'!ar467-'[2]$ зима'!aq467-'[2]$ зима'!ap467-'[2]$ зима'!an467-'[2]$ зима'!am467-'[2]$ зима'!al467-'[2]$ зима'!ak467-'[2]$ зима'!aj467-'[2]$ зима'!ah467-'[2]$ зима'!ag467-'[2]$ зима'!af467-'[2]$ зима'!ae467-'[2]$ зима'!ad467-'[2]$ зима'!ab467-'[2]$ зима'!aa467-'[2]$ зима'!z467-'[2]$ зима'!y467-'[2]$ зима'!x467-'[2]$ зима'!v467-'[2]$ зима'!u467-'[2]$ зима'!t467-'[2]$ зима'!s467-'[2]$ зима'!r467-'[2]$ зима'!p467-'[2]$ зима'!o467-'[2]$ зима'!n467-'[2]$ зима'!m467-'[2]$ зима'!l467+'[2]$ зима'!q467+'[2]$ зима'!w467+'[2]$ зима'!ac467+'[2]$ зима'!ai467+'[2]$ зима'!ao467+'[2]$ зима'!k467</f>
        <v>0</v>
      </c>
      <c r="I467" s="191" t="n">
        <f aca="false">'[2]$ зима'!ay467*1.1</f>
        <v>1540</v>
      </c>
    </row>
    <row r="468" customFormat="false" ht="15" hidden="true" customHeight="false" outlineLevel="0" collapsed="false">
      <c r="A468" s="188" t="s">
        <v>185</v>
      </c>
      <c r="B468" s="149" t="s">
        <v>557</v>
      </c>
      <c r="C468" s="148" t="s">
        <v>3196</v>
      </c>
      <c r="D468" s="148" t="s">
        <v>3127</v>
      </c>
      <c r="E468" s="148"/>
      <c r="F468" s="148"/>
      <c r="G468" s="193"/>
      <c r="H468" s="105" t="n">
        <f aca="false">'[2]$ зима'!j468-'[2]$ зима'!au468-'[2]$ зима'!at468-'[2]$ зима'!as468-'[2]$ зима'!ar468-'[2]$ зима'!aq468-'[2]$ зима'!ap468-'[2]$ зима'!an468-'[2]$ зима'!am468-'[2]$ зима'!al468-'[2]$ зима'!ak468-'[2]$ зима'!aj468-'[2]$ зима'!ah468-'[2]$ зима'!ag468-'[2]$ зима'!af468-'[2]$ зима'!ae468-'[2]$ зима'!ad468-'[2]$ зима'!ab468-'[2]$ зима'!aa468-'[2]$ зима'!z468-'[2]$ зима'!y468-'[2]$ зима'!x468-'[2]$ зима'!v468-'[2]$ зима'!u468-'[2]$ зима'!t468-'[2]$ зима'!s468-'[2]$ зима'!r468-'[2]$ зима'!p468-'[2]$ зима'!o468-'[2]$ зима'!n468-'[2]$ зима'!m468-'[2]$ зима'!l468+'[2]$ зима'!q468+'[2]$ зима'!w468+'[2]$ зима'!ac468+'[2]$ зима'!ai468+'[2]$ зима'!ao468+'[2]$ зима'!k468</f>
        <v>0</v>
      </c>
      <c r="I468" s="191" t="n">
        <f aca="false">'[2]$ зима'!ay468*1.1</f>
        <v>1232</v>
      </c>
    </row>
    <row r="469" customFormat="false" ht="15" hidden="true" customHeight="false" outlineLevel="0" collapsed="false">
      <c r="A469" s="188" t="s">
        <v>185</v>
      </c>
      <c r="B469" s="149" t="s">
        <v>741</v>
      </c>
      <c r="C469" s="148" t="s">
        <v>3276</v>
      </c>
      <c r="D469" s="148"/>
      <c r="E469" s="148"/>
      <c r="F469" s="148"/>
      <c r="G469" s="193"/>
      <c r="H469" s="105" t="n">
        <f aca="false">'[2]$ зима'!j469-'[2]$ зима'!au469-'[2]$ зима'!at469-'[2]$ зима'!as469-'[2]$ зима'!ar469-'[2]$ зима'!aq469-'[2]$ зима'!ap469-'[2]$ зима'!an469-'[2]$ зима'!am469-'[2]$ зима'!al469-'[2]$ зима'!ak469-'[2]$ зима'!aj469-'[2]$ зима'!ah469-'[2]$ зима'!ag469-'[2]$ зима'!af469-'[2]$ зима'!ae469-'[2]$ зима'!ad469-'[2]$ зима'!ab469-'[2]$ зима'!aa469-'[2]$ зима'!z469-'[2]$ зима'!y469-'[2]$ зима'!x469-'[2]$ зима'!v469-'[2]$ зима'!u469-'[2]$ зима'!t469-'[2]$ зима'!s469-'[2]$ зима'!r469-'[2]$ зима'!p469-'[2]$ зима'!o469-'[2]$ зима'!n469-'[2]$ зима'!m469-'[2]$ зима'!l469+'[2]$ зима'!q469+'[2]$ зима'!w469+'[2]$ зима'!ac469+'[2]$ зима'!ai469+'[2]$ зима'!ao469+'[2]$ зима'!k469</f>
        <v>0</v>
      </c>
      <c r="I469" s="191" t="n">
        <f aca="false">'[2]$ зима'!ay469*1.1</f>
        <v>924</v>
      </c>
    </row>
    <row r="470" customFormat="false" ht="15" hidden="true" customHeight="false" outlineLevel="0" collapsed="false">
      <c r="A470" s="188" t="s">
        <v>185</v>
      </c>
      <c r="B470" s="149" t="s">
        <v>604</v>
      </c>
      <c r="C470" s="148" t="s">
        <v>3322</v>
      </c>
      <c r="D470" s="148"/>
      <c r="E470" s="148"/>
      <c r="F470" s="148"/>
      <c r="G470" s="193"/>
      <c r="H470" s="105" t="n">
        <f aca="false">'[2]$ зима'!j470-'[2]$ зима'!au470-'[2]$ зима'!at470-'[2]$ зима'!as470-'[2]$ зима'!ar470-'[2]$ зима'!aq470-'[2]$ зима'!ap470-'[2]$ зима'!an470-'[2]$ зима'!am470-'[2]$ зима'!al470-'[2]$ зима'!ak470-'[2]$ зима'!aj470-'[2]$ зима'!ah470-'[2]$ зима'!ag470-'[2]$ зима'!af470-'[2]$ зима'!ae470-'[2]$ зима'!ad470-'[2]$ зима'!ab470-'[2]$ зима'!aa470-'[2]$ зима'!z470-'[2]$ зима'!y470-'[2]$ зима'!x470-'[2]$ зима'!v470-'[2]$ зима'!u470-'[2]$ зима'!t470-'[2]$ зима'!s470-'[2]$ зима'!r470-'[2]$ зима'!p470-'[2]$ зима'!o470-'[2]$ зима'!n470-'[2]$ зима'!m470-'[2]$ зима'!l470+'[2]$ зима'!q470+'[2]$ зима'!w470+'[2]$ зима'!ac470+'[2]$ зима'!ai470+'[2]$ зима'!ao470+'[2]$ зима'!k470</f>
        <v>0</v>
      </c>
      <c r="I470" s="191" t="n">
        <f aca="false">'[2]$ зима'!ay470*1.1</f>
        <v>1694</v>
      </c>
    </row>
    <row r="471" customFormat="false" ht="15" hidden="true" customHeight="false" outlineLevel="0" collapsed="false">
      <c r="A471" s="188" t="s">
        <v>185</v>
      </c>
      <c r="B471" s="149" t="s">
        <v>948</v>
      </c>
      <c r="C471" s="148" t="s">
        <v>3359</v>
      </c>
      <c r="D471" s="148"/>
      <c r="E471" s="148"/>
      <c r="F471" s="148"/>
      <c r="G471" s="193"/>
      <c r="H471" s="105" t="n">
        <f aca="false">'[2]$ зима'!j471-'[2]$ зима'!au471-'[2]$ зима'!at471-'[2]$ зима'!as471-'[2]$ зима'!ar471-'[2]$ зима'!aq471-'[2]$ зима'!ap471-'[2]$ зима'!an471-'[2]$ зима'!am471-'[2]$ зима'!al471-'[2]$ зима'!ak471-'[2]$ зима'!aj471-'[2]$ зима'!ah471-'[2]$ зима'!ag471-'[2]$ зима'!af471-'[2]$ зима'!ae471-'[2]$ зима'!ad471-'[2]$ зима'!ab471-'[2]$ зима'!aa471-'[2]$ зима'!z471-'[2]$ зима'!y471-'[2]$ зима'!x471-'[2]$ зима'!v471-'[2]$ зима'!u471-'[2]$ зима'!t471-'[2]$ зима'!s471-'[2]$ зима'!r471-'[2]$ зима'!p471-'[2]$ зима'!o471-'[2]$ зима'!n471-'[2]$ зима'!m471-'[2]$ зима'!l471+'[2]$ зима'!q471+'[2]$ зима'!w471+'[2]$ зима'!ac471+'[2]$ зима'!ai471+'[2]$ зима'!ao471+'[2]$ зима'!k471</f>
        <v>0</v>
      </c>
      <c r="I471" s="191" t="n">
        <f aca="false">'[2]$ зима'!ay471*1.1</f>
        <v>1232</v>
      </c>
    </row>
    <row r="472" customFormat="false" ht="15" hidden="false" customHeight="false" outlineLevel="0" collapsed="false">
      <c r="A472" s="188" t="s">
        <v>185</v>
      </c>
      <c r="B472" s="149" t="s">
        <v>606</v>
      </c>
      <c r="C472" s="148" t="s">
        <v>3125</v>
      </c>
      <c r="D472" s="148"/>
      <c r="E472" s="192" t="n">
        <v>91</v>
      </c>
      <c r="F472" s="192" t="s">
        <v>562</v>
      </c>
      <c r="G472" s="193"/>
      <c r="H472" s="105" t="n">
        <f aca="false">'[2]$ зима'!j472-'[2]$ зима'!au472-'[2]$ зима'!at472-'[2]$ зима'!as472-'[2]$ зима'!ar472-'[2]$ зима'!aq472-'[2]$ зима'!ap472-'[2]$ зима'!an472-'[2]$ зима'!am472-'[2]$ зима'!al472-'[2]$ зима'!ak472-'[2]$ зима'!aj472-'[2]$ зима'!ah472-'[2]$ зима'!ag472-'[2]$ зима'!af472-'[2]$ зима'!ae472-'[2]$ зима'!ad472-'[2]$ зима'!ab472-'[2]$ зима'!aa472-'[2]$ зима'!z472-'[2]$ зима'!y472-'[2]$ зима'!x472-'[2]$ зима'!v472-'[2]$ зима'!u472-'[2]$ зима'!t472-'[2]$ зима'!s472-'[2]$ зима'!r472-'[2]$ зима'!p472-'[2]$ зима'!o472-'[2]$ зима'!n472-'[2]$ зима'!m472-'[2]$ зима'!l472+'[2]$ зима'!q472+'[2]$ зима'!w472+'[2]$ зима'!ac472+'[2]$ зима'!ai472+'[2]$ зима'!ao472+'[2]$ зима'!k472</f>
        <v>4</v>
      </c>
      <c r="I472" s="191" t="n">
        <f aca="false">'[2]$ зима'!ay472*1.1</f>
        <v>1694</v>
      </c>
    </row>
    <row r="473" customFormat="false" ht="15" hidden="false" customHeight="false" outlineLevel="0" collapsed="false">
      <c r="A473" s="188" t="s">
        <v>185</v>
      </c>
      <c r="B473" s="149" t="s">
        <v>593</v>
      </c>
      <c r="C473" s="148" t="s">
        <v>3324</v>
      </c>
      <c r="D473" s="148"/>
      <c r="E473" s="192" t="n">
        <v>95</v>
      </c>
      <c r="F473" s="192" t="s">
        <v>832</v>
      </c>
      <c r="G473" s="193" t="s">
        <v>935</v>
      </c>
      <c r="H473" s="105" t="n">
        <f aca="false">'[2]$ зима'!j473-'[2]$ зима'!au473-'[2]$ зима'!at473-'[2]$ зима'!as473-'[2]$ зима'!ar473-'[2]$ зима'!aq473-'[2]$ зима'!ap473-'[2]$ зима'!an473-'[2]$ зима'!am473-'[2]$ зима'!al473-'[2]$ зима'!ak473-'[2]$ зима'!aj473-'[2]$ зима'!ah473-'[2]$ зима'!ag473-'[2]$ зима'!af473-'[2]$ зима'!ae473-'[2]$ зима'!ad473-'[2]$ зима'!ab473-'[2]$ зима'!aa473-'[2]$ зима'!z473-'[2]$ зима'!y473-'[2]$ зима'!x473-'[2]$ зима'!v473-'[2]$ зима'!u473-'[2]$ зима'!t473-'[2]$ зима'!s473-'[2]$ зима'!r473-'[2]$ зима'!p473-'[2]$ зима'!o473-'[2]$ зима'!n473-'[2]$ зима'!m473-'[2]$ зима'!l473+'[2]$ зима'!q473+'[2]$ зима'!w473+'[2]$ зима'!ac473+'[2]$ зима'!ai473+'[2]$ зима'!ao473+'[2]$ зима'!k473</f>
        <v>4</v>
      </c>
      <c r="I473" s="191" t="n">
        <f aca="false">'[2]$ зима'!ay473*1.1</f>
        <v>1848</v>
      </c>
    </row>
    <row r="474" customFormat="false" ht="15" hidden="true" customHeight="false" outlineLevel="0" collapsed="false">
      <c r="A474" s="188" t="s">
        <v>185</v>
      </c>
      <c r="B474" s="149" t="s">
        <v>3142</v>
      </c>
      <c r="C474" s="148" t="s">
        <v>3360</v>
      </c>
      <c r="D474" s="148"/>
      <c r="E474" s="148"/>
      <c r="F474" s="148"/>
      <c r="G474" s="193"/>
      <c r="H474" s="105" t="n">
        <f aca="false">'[2]$ зима'!j474-'[2]$ зима'!au474-'[2]$ зима'!at474-'[2]$ зима'!as474-'[2]$ зима'!ar474-'[2]$ зима'!aq474-'[2]$ зима'!ap474-'[2]$ зима'!an474-'[2]$ зима'!am474-'[2]$ зима'!al474-'[2]$ зима'!ak474-'[2]$ зима'!aj474-'[2]$ зима'!ah474-'[2]$ зима'!ag474-'[2]$ зима'!af474-'[2]$ зима'!ae474-'[2]$ зима'!ad474-'[2]$ зима'!ab474-'[2]$ зима'!aa474-'[2]$ зима'!z474-'[2]$ зима'!y474-'[2]$ зима'!x474-'[2]$ зима'!v474-'[2]$ зима'!u474-'[2]$ зима'!t474-'[2]$ зима'!s474-'[2]$ зима'!r474-'[2]$ зима'!p474-'[2]$ зима'!o474-'[2]$ зима'!n474-'[2]$ зима'!m474-'[2]$ зима'!l474+'[2]$ зима'!q474+'[2]$ зима'!w474+'[2]$ зима'!ac474+'[2]$ зима'!ai474+'[2]$ зима'!ao474+'[2]$ зима'!k474</f>
        <v>0</v>
      </c>
      <c r="I474" s="191" t="n">
        <f aca="false">'[2]$ зима'!ay474*1.1</f>
        <v>1078</v>
      </c>
    </row>
    <row r="475" customFormat="false" ht="15" hidden="true" customHeight="false" outlineLevel="0" collapsed="false">
      <c r="A475" s="188" t="s">
        <v>185</v>
      </c>
      <c r="B475" s="149" t="s">
        <v>652</v>
      </c>
      <c r="C475" s="148" t="s">
        <v>3144</v>
      </c>
      <c r="D475" s="148"/>
      <c r="E475" s="148"/>
      <c r="F475" s="148"/>
      <c r="G475" s="193"/>
      <c r="H475" s="105" t="n">
        <f aca="false">'[2]$ зима'!j475-'[2]$ зима'!au475-'[2]$ зима'!at475-'[2]$ зима'!as475-'[2]$ зима'!ar475-'[2]$ зима'!aq475-'[2]$ зима'!ap475-'[2]$ зима'!an475-'[2]$ зима'!am475-'[2]$ зима'!al475-'[2]$ зима'!ak475-'[2]$ зима'!aj475-'[2]$ зима'!ah475-'[2]$ зима'!ag475-'[2]$ зима'!af475-'[2]$ зима'!ae475-'[2]$ зима'!ad475-'[2]$ зима'!ab475-'[2]$ зима'!aa475-'[2]$ зима'!z475-'[2]$ зима'!y475-'[2]$ зима'!x475-'[2]$ зима'!v475-'[2]$ зима'!u475-'[2]$ зима'!t475-'[2]$ зима'!s475-'[2]$ зима'!r475-'[2]$ зима'!p475-'[2]$ зима'!o475-'[2]$ зима'!n475-'[2]$ зима'!m475-'[2]$ зима'!l475+'[2]$ зима'!q475+'[2]$ зима'!w475+'[2]$ зима'!ac475+'[2]$ зима'!ai475+'[2]$ зима'!ao475+'[2]$ зима'!k475</f>
        <v>0</v>
      </c>
      <c r="I475" s="191" t="n">
        <f aca="false">'[2]$ зима'!ay475*1.1</f>
        <v>1078</v>
      </c>
    </row>
    <row r="476" customFormat="false" ht="15" hidden="true" customHeight="false" outlineLevel="0" collapsed="false">
      <c r="A476" s="188" t="s">
        <v>185</v>
      </c>
      <c r="B476" s="149" t="s">
        <v>589</v>
      </c>
      <c r="C476" s="148" t="s">
        <v>3257</v>
      </c>
      <c r="D476" s="148"/>
      <c r="E476" s="148"/>
      <c r="F476" s="148"/>
      <c r="G476" s="193" t="s">
        <v>626</v>
      </c>
      <c r="H476" s="105" t="n">
        <f aca="false">'[2]$ зима'!j476-'[2]$ зима'!au476-'[2]$ зима'!at476-'[2]$ зима'!as476-'[2]$ зима'!ar476-'[2]$ зима'!aq476-'[2]$ зима'!ap476-'[2]$ зима'!an476-'[2]$ зима'!am476-'[2]$ зима'!al476-'[2]$ зима'!ak476-'[2]$ зима'!aj476-'[2]$ зима'!ah476-'[2]$ зима'!ag476-'[2]$ зима'!af476-'[2]$ зима'!ae476-'[2]$ зима'!ad476-'[2]$ зима'!ab476-'[2]$ зима'!aa476-'[2]$ зима'!z476-'[2]$ зима'!y476-'[2]$ зима'!x476-'[2]$ зима'!v476-'[2]$ зима'!u476-'[2]$ зима'!t476-'[2]$ зима'!s476-'[2]$ зима'!r476-'[2]$ зима'!p476-'[2]$ зима'!o476-'[2]$ зима'!n476-'[2]$ зима'!m476-'[2]$ зима'!l476+'[2]$ зима'!q476+'[2]$ зима'!w476+'[2]$ зима'!ac476+'[2]$ зима'!ai476+'[2]$ зима'!ao476+'[2]$ зима'!k476</f>
        <v>0</v>
      </c>
      <c r="I476" s="191" t="n">
        <f aca="false">'[2]$ зима'!ay476*1.1</f>
        <v>1245.2</v>
      </c>
    </row>
    <row r="477" customFormat="false" ht="15" hidden="true" customHeight="false" outlineLevel="0" collapsed="false">
      <c r="A477" s="188" t="s">
        <v>186</v>
      </c>
      <c r="B477" s="149" t="s">
        <v>2705</v>
      </c>
      <c r="C477" s="148" t="s">
        <v>3145</v>
      </c>
      <c r="D477" s="148"/>
      <c r="E477" s="148"/>
      <c r="F477" s="148"/>
      <c r="G477" s="193"/>
      <c r="H477" s="105" t="n">
        <f aca="false">'[2]$ зима'!j477-'[2]$ зима'!au477-'[2]$ зима'!at477-'[2]$ зима'!as477-'[2]$ зима'!ar477-'[2]$ зима'!aq477-'[2]$ зима'!ap477-'[2]$ зима'!an477-'[2]$ зима'!am477-'[2]$ зима'!al477-'[2]$ зима'!ak477-'[2]$ зима'!aj477-'[2]$ зима'!ah477-'[2]$ зима'!ag477-'[2]$ зима'!af477-'[2]$ зима'!ae477-'[2]$ зима'!ad477-'[2]$ зима'!ab477-'[2]$ зима'!aa477-'[2]$ зима'!z477-'[2]$ зима'!y477-'[2]$ зима'!x477-'[2]$ зима'!v477-'[2]$ зима'!u477-'[2]$ зима'!t477-'[2]$ зима'!s477-'[2]$ зима'!r477-'[2]$ зима'!p477-'[2]$ зима'!o477-'[2]$ зима'!n477-'[2]$ зима'!m477-'[2]$ зима'!l477+'[2]$ зима'!q477+'[2]$ зима'!w477+'[2]$ зима'!ac477+'[2]$ зима'!ai477+'[2]$ зима'!ao477+'[2]$ зима'!k477</f>
        <v>0</v>
      </c>
      <c r="I477" s="191" t="n">
        <f aca="false">'[2]$ зима'!ay477*1.1</f>
        <v>1170.4</v>
      </c>
      <c r="J477" s="171" t="n">
        <v>2017</v>
      </c>
    </row>
    <row r="478" customFormat="false" ht="15" hidden="false" customHeight="false" outlineLevel="0" collapsed="false">
      <c r="A478" s="188" t="s">
        <v>186</v>
      </c>
      <c r="B478" s="149" t="s">
        <v>844</v>
      </c>
      <c r="C478" s="148" t="s">
        <v>3192</v>
      </c>
      <c r="D478" s="148"/>
      <c r="E478" s="192"/>
      <c r="F478" s="192"/>
      <c r="G478" s="193"/>
      <c r="H478" s="105" t="n">
        <f aca="false">'[2]$ зима'!j478-'[2]$ зима'!au478-'[2]$ зима'!at478-'[2]$ зима'!as478-'[2]$ зима'!ar478-'[2]$ зима'!aq478-'[2]$ зима'!ap478-'[2]$ зима'!an478-'[2]$ зима'!am478-'[2]$ зима'!al478-'[2]$ зима'!ak478-'[2]$ зима'!aj478-'[2]$ зима'!ah478-'[2]$ зима'!ag478-'[2]$ зима'!af478-'[2]$ зима'!ae478-'[2]$ зима'!ad478-'[2]$ зима'!ab478-'[2]$ зима'!aa478-'[2]$ зима'!z478-'[2]$ зима'!y478-'[2]$ зима'!x478-'[2]$ зима'!v478-'[2]$ зима'!u478-'[2]$ зима'!t478-'[2]$ зима'!s478-'[2]$ зима'!r478-'[2]$ зима'!p478-'[2]$ зима'!o478-'[2]$ зима'!n478-'[2]$ зима'!m478-'[2]$ зима'!l478+'[2]$ зима'!q478+'[2]$ зима'!w478+'[2]$ зима'!ac478+'[2]$ зима'!ai478+'[2]$ зима'!ao478+'[2]$ зима'!k478</f>
        <v>4</v>
      </c>
      <c r="I478" s="191" t="n">
        <f aca="false">'[2]$ зима'!ay478*1.1</f>
        <v>1540</v>
      </c>
    </row>
    <row r="479" customFormat="false" ht="15" hidden="true" customHeight="false" outlineLevel="0" collapsed="false">
      <c r="A479" s="188" t="s">
        <v>186</v>
      </c>
      <c r="B479" s="149" t="s">
        <v>601</v>
      </c>
      <c r="C479" s="148" t="s">
        <v>3361</v>
      </c>
      <c r="D479" s="148"/>
      <c r="E479" s="148" t="n">
        <v>94</v>
      </c>
      <c r="F479" s="148" t="s">
        <v>1455</v>
      </c>
      <c r="G479" s="193"/>
      <c r="H479" s="105" t="n">
        <f aca="false">'[2]$ зима'!j479-'[2]$ зима'!au479-'[2]$ зима'!at479-'[2]$ зима'!as479-'[2]$ зима'!ar479-'[2]$ зима'!aq479-'[2]$ зима'!ap479-'[2]$ зима'!an479-'[2]$ зима'!am479-'[2]$ зима'!al479-'[2]$ зима'!ak479-'[2]$ зима'!aj479-'[2]$ зима'!ah479-'[2]$ зима'!ag479-'[2]$ зима'!af479-'[2]$ зима'!ae479-'[2]$ зима'!ad479-'[2]$ зима'!ab479-'[2]$ зима'!aa479-'[2]$ зима'!z479-'[2]$ зима'!y479-'[2]$ зима'!x479-'[2]$ зима'!v479-'[2]$ зима'!u479-'[2]$ зима'!t479-'[2]$ зима'!s479-'[2]$ зима'!r479-'[2]$ зима'!p479-'[2]$ зима'!o479-'[2]$ зима'!n479-'[2]$ зима'!m479-'[2]$ зима'!l479+'[2]$ зима'!q479+'[2]$ зима'!w479+'[2]$ зима'!ac479+'[2]$ зима'!ai479+'[2]$ зима'!ao479+'[2]$ зима'!k479</f>
        <v>0</v>
      </c>
      <c r="I479" s="191" t="n">
        <f aca="false">'[2]$ зима'!ay479*1.1</f>
        <v>1878.8</v>
      </c>
    </row>
    <row r="480" customFormat="false" ht="15" hidden="true" customHeight="false" outlineLevel="0" collapsed="false">
      <c r="A480" s="188" t="s">
        <v>186</v>
      </c>
      <c r="B480" s="149" t="s">
        <v>601</v>
      </c>
      <c r="C480" s="148" t="s">
        <v>3150</v>
      </c>
      <c r="D480" s="202"/>
      <c r="E480" s="202"/>
      <c r="F480" s="202"/>
      <c r="G480" s="203"/>
      <c r="H480" s="105" t="n">
        <f aca="false">'[2]$ зима'!j480-'[2]$ зима'!au480-'[2]$ зима'!at480-'[2]$ зима'!as480-'[2]$ зима'!ar480-'[2]$ зима'!aq480-'[2]$ зима'!ap480-'[2]$ зима'!an480-'[2]$ зима'!am480-'[2]$ зима'!al480-'[2]$ зима'!ak480-'[2]$ зима'!aj480-'[2]$ зима'!ah480-'[2]$ зима'!ag480-'[2]$ зима'!af480-'[2]$ зима'!ae480-'[2]$ зима'!ad480-'[2]$ зима'!ab480-'[2]$ зима'!aa480-'[2]$ зима'!z480-'[2]$ зима'!y480-'[2]$ зима'!x480-'[2]$ зима'!v480-'[2]$ зима'!u480-'[2]$ зима'!t480-'[2]$ зима'!s480-'[2]$ зима'!r480-'[2]$ зима'!p480-'[2]$ зима'!o480-'[2]$ зима'!n480-'[2]$ зима'!m480-'[2]$ зима'!l480+'[2]$ зима'!q480+'[2]$ зима'!w480+'[2]$ зима'!ac480+'[2]$ зима'!ai480+'[2]$ зима'!ao480+'[2]$ зима'!k480</f>
        <v>0</v>
      </c>
      <c r="I480" s="191" t="n">
        <f aca="false">'[2]$ зима'!ay480*1.1</f>
        <v>2002</v>
      </c>
    </row>
    <row r="481" customFormat="false" ht="15" hidden="true" customHeight="false" outlineLevel="0" collapsed="false">
      <c r="A481" s="188" t="s">
        <v>186</v>
      </c>
      <c r="B481" s="149" t="s">
        <v>557</v>
      </c>
      <c r="C481" s="148" t="s">
        <v>3362</v>
      </c>
      <c r="D481" s="148" t="s">
        <v>3127</v>
      </c>
      <c r="E481" s="148" t="n">
        <v>99</v>
      </c>
      <c r="F481" s="148" t="s">
        <v>3216</v>
      </c>
      <c r="G481" s="193"/>
      <c r="H481" s="105" t="n">
        <f aca="false">'[2]$ зима'!j481-'[2]$ зима'!au481-'[2]$ зима'!at481-'[2]$ зима'!as481-'[2]$ зима'!ar481-'[2]$ зима'!aq481-'[2]$ зима'!ap481-'[2]$ зима'!an481-'[2]$ зима'!am481-'[2]$ зима'!al481-'[2]$ зима'!ak481-'[2]$ зима'!aj481-'[2]$ зима'!ah481-'[2]$ зима'!ag481-'[2]$ зима'!af481-'[2]$ зима'!ae481-'[2]$ зима'!ad481-'[2]$ зима'!ab481-'[2]$ зима'!aa481-'[2]$ зима'!z481-'[2]$ зима'!y481-'[2]$ зима'!x481-'[2]$ зима'!v481-'[2]$ зима'!u481-'[2]$ зима'!t481-'[2]$ зима'!s481-'[2]$ зима'!r481-'[2]$ зима'!p481-'[2]$ зима'!o481-'[2]$ зима'!n481-'[2]$ зима'!m481-'[2]$ зима'!l481+'[2]$ зима'!q481+'[2]$ зима'!w481+'[2]$ зима'!ac481+'[2]$ зима'!ai481+'[2]$ зима'!ao481+'[2]$ зима'!k481</f>
        <v>0</v>
      </c>
      <c r="I481" s="191" t="n">
        <f aca="false">'[2]$ зима'!ay481*1.1</f>
        <v>1540</v>
      </c>
    </row>
    <row r="482" customFormat="false" ht="15" hidden="true" customHeight="false" outlineLevel="0" collapsed="false">
      <c r="A482" s="188" t="s">
        <v>186</v>
      </c>
      <c r="B482" s="149" t="s">
        <v>606</v>
      </c>
      <c r="C482" s="148" t="s">
        <v>3125</v>
      </c>
      <c r="D482" s="148"/>
      <c r="E482" s="148"/>
      <c r="F482" s="148"/>
      <c r="G482" s="193" t="s">
        <v>857</v>
      </c>
      <c r="H482" s="105" t="n">
        <f aca="false">'[2]$ зима'!j482-'[2]$ зима'!au482-'[2]$ зима'!at482-'[2]$ зима'!as482-'[2]$ зима'!ar482-'[2]$ зима'!aq482-'[2]$ зима'!ap482-'[2]$ зима'!an482-'[2]$ зима'!am482-'[2]$ зима'!al482-'[2]$ зима'!ak482-'[2]$ зима'!aj482-'[2]$ зима'!ah482-'[2]$ зима'!ag482-'[2]$ зима'!af482-'[2]$ зима'!ae482-'[2]$ зима'!ad482-'[2]$ зима'!ab482-'[2]$ зима'!aa482-'[2]$ зима'!z482-'[2]$ зима'!y482-'[2]$ зима'!x482-'[2]$ зима'!v482-'[2]$ зима'!u482-'[2]$ зима'!t482-'[2]$ зима'!s482-'[2]$ зима'!r482-'[2]$ зима'!p482-'[2]$ зима'!o482-'[2]$ зима'!n482-'[2]$ зима'!m482-'[2]$ зима'!l482+'[2]$ зима'!q482+'[2]$ зима'!w482+'[2]$ зима'!ac482+'[2]$ зима'!ai482+'[2]$ зима'!ao482+'[2]$ зима'!k482</f>
        <v>0</v>
      </c>
      <c r="I482" s="191" t="n">
        <f aca="false">'[2]$ зима'!ay482*1.1</f>
        <v>1570.8</v>
      </c>
      <c r="J482" s="171" t="n">
        <v>2017</v>
      </c>
    </row>
    <row r="483" customFormat="false" ht="15" hidden="false" customHeight="false" outlineLevel="0" collapsed="false">
      <c r="A483" s="188" t="s">
        <v>186</v>
      </c>
      <c r="B483" s="149" t="s">
        <v>606</v>
      </c>
      <c r="C483" s="148" t="s">
        <v>3231</v>
      </c>
      <c r="D483" s="148"/>
      <c r="E483" s="192" t="n">
        <v>99</v>
      </c>
      <c r="F483" s="192" t="s">
        <v>3216</v>
      </c>
      <c r="G483" s="193" t="s">
        <v>609</v>
      </c>
      <c r="H483" s="105" t="n">
        <f aca="false">'[2]$ зима'!j483-'[2]$ зима'!au483-'[2]$ зима'!at483-'[2]$ зима'!as483-'[2]$ зима'!ar483-'[2]$ зима'!aq483-'[2]$ зима'!ap483-'[2]$ зима'!an483-'[2]$ зима'!am483-'[2]$ зима'!al483-'[2]$ зима'!ak483-'[2]$ зима'!aj483-'[2]$ зима'!ah483-'[2]$ зима'!ag483-'[2]$ зима'!af483-'[2]$ зима'!ae483-'[2]$ зима'!ad483-'[2]$ зима'!ab483-'[2]$ зима'!aa483-'[2]$ зима'!z483-'[2]$ зима'!y483-'[2]$ зима'!x483-'[2]$ зима'!v483-'[2]$ зима'!u483-'[2]$ зима'!t483-'[2]$ зима'!s483-'[2]$ зима'!r483-'[2]$ зима'!p483-'[2]$ зима'!o483-'[2]$ зима'!n483-'[2]$ зима'!m483-'[2]$ зима'!l483+'[2]$ зима'!q483+'[2]$ зима'!w483+'[2]$ зима'!ac483+'[2]$ зима'!ai483+'[2]$ зима'!ao483+'[2]$ зима'!k483</f>
        <v>8</v>
      </c>
      <c r="I483" s="191" t="n">
        <f aca="false">'[2]$ зима'!ay483*1.1</f>
        <v>1601.6</v>
      </c>
      <c r="J483" s="171" t="n">
        <v>2018</v>
      </c>
    </row>
    <row r="484" customFormat="false" ht="15" hidden="true" customHeight="false" outlineLevel="0" collapsed="false">
      <c r="A484" s="188" t="s">
        <v>186</v>
      </c>
      <c r="B484" s="149" t="s">
        <v>606</v>
      </c>
      <c r="C484" s="148" t="s">
        <v>3363</v>
      </c>
      <c r="D484" s="148"/>
      <c r="E484" s="148" t="n">
        <v>94</v>
      </c>
      <c r="F484" s="148" t="s">
        <v>634</v>
      </c>
      <c r="G484" s="193"/>
      <c r="H484" s="105" t="n">
        <f aca="false">'[2]$ зима'!j484-'[2]$ зима'!au484-'[2]$ зима'!at484-'[2]$ зима'!as484-'[2]$ зима'!ar484-'[2]$ зима'!aq484-'[2]$ зима'!ap484-'[2]$ зима'!an484-'[2]$ зима'!am484-'[2]$ зима'!al484-'[2]$ зима'!ak484-'[2]$ зима'!aj484-'[2]$ зима'!ah484-'[2]$ зима'!ag484-'[2]$ зима'!af484-'[2]$ зима'!ae484-'[2]$ зима'!ad484-'[2]$ зима'!ab484-'[2]$ зима'!aa484-'[2]$ зима'!z484-'[2]$ зима'!y484-'[2]$ зима'!x484-'[2]$ зима'!v484-'[2]$ зима'!u484-'[2]$ зима'!t484-'[2]$ зима'!s484-'[2]$ зима'!r484-'[2]$ зима'!p484-'[2]$ зима'!o484-'[2]$ зима'!n484-'[2]$ зима'!m484-'[2]$ зима'!l484+'[2]$ зима'!q484+'[2]$ зима'!w484+'[2]$ зима'!ac484+'[2]$ зима'!ai484+'[2]$ зима'!ao484+'[2]$ зима'!k484</f>
        <v>0</v>
      </c>
      <c r="I484" s="191" t="n">
        <f aca="false">'[2]$ зима'!ay484*1.1</f>
        <v>1632.4</v>
      </c>
    </row>
    <row r="485" customFormat="false" ht="15" hidden="false" customHeight="false" outlineLevel="0" collapsed="false">
      <c r="A485" s="188" t="s">
        <v>186</v>
      </c>
      <c r="B485" s="149" t="s">
        <v>668</v>
      </c>
      <c r="C485" s="194" t="s">
        <v>3182</v>
      </c>
      <c r="D485" s="148"/>
      <c r="E485" s="148"/>
      <c r="F485" s="192"/>
      <c r="G485" s="193" t="s">
        <v>609</v>
      </c>
      <c r="H485" s="105" t="n">
        <f aca="false">'[2]$ зима'!j485-'[2]$ зима'!au485-'[2]$ зима'!at485-'[2]$ зима'!as485-'[2]$ зима'!ar485-'[2]$ зима'!aq485-'[2]$ зима'!ap485-'[2]$ зима'!an485-'[2]$ зима'!am485-'[2]$ зима'!al485-'[2]$ зима'!ak485-'[2]$ зима'!aj485-'[2]$ зима'!ah485-'[2]$ зима'!ag485-'[2]$ зима'!af485-'[2]$ зима'!ae485-'[2]$ зима'!ad485-'[2]$ зима'!ab485-'[2]$ зима'!aa485-'[2]$ зима'!z485-'[2]$ зима'!y485-'[2]$ зима'!x485-'[2]$ зима'!v485-'[2]$ зима'!u485-'[2]$ зима'!t485-'[2]$ зима'!s485-'[2]$ зима'!r485-'[2]$ зима'!p485-'[2]$ зима'!o485-'[2]$ зима'!n485-'[2]$ зима'!m485-'[2]$ зима'!l485+'[2]$ зима'!q485+'[2]$ зима'!w485+'[2]$ зима'!ac485+'[2]$ зима'!ai485+'[2]$ зима'!ao485+'[2]$ зима'!k485</f>
        <v>8</v>
      </c>
      <c r="I485" s="191" t="n">
        <f aca="false">'[2]$ зима'!ay485*1.1</f>
        <v>1509.2</v>
      </c>
      <c r="J485" s="171" t="n">
        <v>2018</v>
      </c>
    </row>
    <row r="486" customFormat="false" ht="15" hidden="false" customHeight="false" outlineLevel="0" collapsed="false">
      <c r="A486" s="188" t="s">
        <v>186</v>
      </c>
      <c r="B486" s="149" t="s">
        <v>574</v>
      </c>
      <c r="C486" s="148" t="s">
        <v>3364</v>
      </c>
      <c r="D486" s="148"/>
      <c r="E486" s="192" t="n">
        <v>94</v>
      </c>
      <c r="F486" s="192" t="s">
        <v>562</v>
      </c>
      <c r="G486" s="193" t="s">
        <v>576</v>
      </c>
      <c r="H486" s="105" t="n">
        <f aca="false">'[2]$ зима'!j486-'[2]$ зима'!au486-'[2]$ зима'!at486-'[2]$ зима'!as486-'[2]$ зима'!ar486-'[2]$ зима'!aq486-'[2]$ зима'!ap486-'[2]$ зима'!an486-'[2]$ зима'!am486-'[2]$ зима'!al486-'[2]$ зима'!ak486-'[2]$ зима'!aj486-'[2]$ зима'!ah486-'[2]$ зима'!ag486-'[2]$ зима'!af486-'[2]$ зима'!ae486-'[2]$ зима'!ad486-'[2]$ зима'!ab486-'[2]$ зима'!aa486-'[2]$ зима'!z486-'[2]$ зима'!y486-'[2]$ зима'!x486-'[2]$ зима'!v486-'[2]$ зима'!u486-'[2]$ зима'!t486-'[2]$ зима'!s486-'[2]$ зима'!r486-'[2]$ зима'!p486-'[2]$ зима'!o486-'[2]$ зима'!n486-'[2]$ зима'!m486-'[2]$ зима'!l486+'[2]$ зима'!q486+'[2]$ зима'!w486+'[2]$ зима'!ac486+'[2]$ зима'!ai486+'[2]$ зима'!ao486+'[2]$ зима'!k486</f>
        <v>4</v>
      </c>
      <c r="I486" s="191" t="n">
        <f aca="false">'[2]$ зима'!ay486*1.1</f>
        <v>1624.48</v>
      </c>
      <c r="J486" s="171" t="n">
        <v>2017</v>
      </c>
    </row>
    <row r="487" customFormat="false" ht="15" hidden="false" customHeight="false" outlineLevel="0" collapsed="false">
      <c r="A487" s="188" t="s">
        <v>186</v>
      </c>
      <c r="B487" s="149" t="s">
        <v>574</v>
      </c>
      <c r="C487" s="148" t="s">
        <v>3201</v>
      </c>
      <c r="D487" s="148"/>
      <c r="E487" s="192"/>
      <c r="F487" s="192"/>
      <c r="G487" s="193" t="s">
        <v>576</v>
      </c>
      <c r="H487" s="105" t="n">
        <f aca="false">'[2]$ зима'!j487-'[2]$ зима'!au487-'[2]$ зима'!at487-'[2]$ зима'!as487-'[2]$ зима'!ar487-'[2]$ зима'!aq487-'[2]$ зима'!ap487-'[2]$ зима'!an487-'[2]$ зима'!am487-'[2]$ зима'!al487-'[2]$ зима'!ak487-'[2]$ зима'!aj487-'[2]$ зима'!ah487-'[2]$ зима'!ag487-'[2]$ зима'!af487-'[2]$ зима'!ae487-'[2]$ зима'!ad487-'[2]$ зима'!ab487-'[2]$ зима'!aa487-'[2]$ зима'!z487-'[2]$ зима'!y487-'[2]$ зима'!x487-'[2]$ зима'!v487-'[2]$ зима'!u487-'[2]$ зима'!t487-'[2]$ зима'!s487-'[2]$ зима'!r487-'[2]$ зима'!p487-'[2]$ зима'!o487-'[2]$ зима'!n487-'[2]$ зима'!m487-'[2]$ зима'!l487+'[2]$ зима'!q487+'[2]$ зима'!w487+'[2]$ зима'!ac487+'[2]$ зима'!ai487+'[2]$ зима'!ao487+'[2]$ зима'!k487</f>
        <v>1</v>
      </c>
      <c r="I487" s="191" t="n">
        <f aca="false">'[2]$ зима'!ay487*1.1</f>
        <v>1530.76</v>
      </c>
    </row>
    <row r="488" customFormat="false" ht="15" hidden="true" customHeight="false" outlineLevel="0" collapsed="false">
      <c r="A488" s="188" t="s">
        <v>186</v>
      </c>
      <c r="B488" s="149" t="s">
        <v>574</v>
      </c>
      <c r="C488" s="148" t="s">
        <v>3365</v>
      </c>
      <c r="D488" s="148"/>
      <c r="E488" s="148" t="n">
        <v>94</v>
      </c>
      <c r="F488" s="148" t="s">
        <v>562</v>
      </c>
      <c r="G488" s="193" t="s">
        <v>576</v>
      </c>
      <c r="H488" s="105" t="n">
        <f aca="false">'[2]$ зима'!j488-'[2]$ зима'!au488-'[2]$ зима'!at488-'[2]$ зима'!as488-'[2]$ зима'!ar488-'[2]$ зима'!aq488-'[2]$ зима'!ap488-'[2]$ зима'!an488-'[2]$ зима'!am488-'[2]$ зима'!al488-'[2]$ зима'!ak488-'[2]$ зима'!aj488-'[2]$ зима'!ah488-'[2]$ зима'!ag488-'[2]$ зима'!af488-'[2]$ зима'!ae488-'[2]$ зима'!ad488-'[2]$ зима'!ab488-'[2]$ зима'!aa488-'[2]$ зима'!z488-'[2]$ зима'!y488-'[2]$ зима'!x488-'[2]$ зима'!v488-'[2]$ зима'!u488-'[2]$ зима'!t488-'[2]$ зима'!s488-'[2]$ зима'!r488-'[2]$ зима'!p488-'[2]$ зима'!o488-'[2]$ зима'!n488-'[2]$ зима'!m488-'[2]$ зима'!l488+'[2]$ зима'!q488+'[2]$ зима'!w488+'[2]$ зима'!ac488+'[2]$ зима'!ai488+'[2]$ зима'!ao488+'[2]$ зима'!k488</f>
        <v>0</v>
      </c>
      <c r="I488" s="191" t="n">
        <f aca="false">'[2]$ зима'!ay488*1.1</f>
        <v>1618.76</v>
      </c>
    </row>
    <row r="489" customFormat="false" ht="15" hidden="true" customHeight="false" outlineLevel="0" collapsed="false">
      <c r="A489" s="188" t="s">
        <v>186</v>
      </c>
      <c r="B489" s="149" t="s">
        <v>577</v>
      </c>
      <c r="C489" s="148" t="s">
        <v>3366</v>
      </c>
      <c r="D489" s="148"/>
      <c r="E489" s="148" t="n">
        <v>94</v>
      </c>
      <c r="F489" s="148" t="s">
        <v>562</v>
      </c>
      <c r="G489" s="193" t="s">
        <v>563</v>
      </c>
      <c r="H489" s="105" t="n">
        <f aca="false">'[2]$ зима'!j489-'[2]$ зима'!au489-'[2]$ зима'!at489-'[2]$ зима'!as489-'[2]$ зима'!ar489-'[2]$ зима'!aq489-'[2]$ зима'!ap489-'[2]$ зима'!an489-'[2]$ зима'!am489-'[2]$ зима'!al489-'[2]$ зима'!ak489-'[2]$ зима'!aj489-'[2]$ зима'!ah489-'[2]$ зима'!ag489-'[2]$ зима'!af489-'[2]$ зима'!ae489-'[2]$ зима'!ad489-'[2]$ зима'!ab489-'[2]$ зима'!aa489-'[2]$ зима'!z489-'[2]$ зима'!y489-'[2]$ зима'!x489-'[2]$ зима'!v489-'[2]$ зима'!u489-'[2]$ зима'!t489-'[2]$ зима'!s489-'[2]$ зима'!r489-'[2]$ зима'!p489-'[2]$ зима'!o489-'[2]$ зима'!n489-'[2]$ зима'!m489-'[2]$ зима'!l489+'[2]$ зима'!q489+'[2]$ зима'!w489+'[2]$ зима'!ac489+'[2]$ зима'!ai489+'[2]$ зима'!ao489+'[2]$ зима'!k489</f>
        <v>0</v>
      </c>
      <c r="I489" s="191" t="n">
        <f aca="false">'[2]$ зима'!ay489*1.1</f>
        <v>1293.6</v>
      </c>
    </row>
    <row r="490" customFormat="false" ht="15" hidden="false" customHeight="false" outlineLevel="0" collapsed="false">
      <c r="A490" s="188" t="s">
        <v>186</v>
      </c>
      <c r="B490" s="149" t="s">
        <v>1471</v>
      </c>
      <c r="C490" s="148" t="s">
        <v>3367</v>
      </c>
      <c r="D490" s="148" t="s">
        <v>3127</v>
      </c>
      <c r="E490" s="192"/>
      <c r="F490" s="192"/>
      <c r="G490" s="193"/>
      <c r="H490" s="105" t="n">
        <f aca="false">'[2]$ зима'!j490-'[2]$ зима'!au490-'[2]$ зима'!at490-'[2]$ зима'!as490-'[2]$ зима'!ar490-'[2]$ зима'!aq490-'[2]$ зима'!ap490-'[2]$ зима'!an490-'[2]$ зима'!am490-'[2]$ зима'!al490-'[2]$ зима'!ak490-'[2]$ зима'!aj490-'[2]$ зима'!ah490-'[2]$ зима'!ag490-'[2]$ зима'!af490-'[2]$ зима'!ae490-'[2]$ зима'!ad490-'[2]$ зима'!ab490-'[2]$ зима'!aa490-'[2]$ зима'!z490-'[2]$ зима'!y490-'[2]$ зима'!x490-'[2]$ зима'!v490-'[2]$ зима'!u490-'[2]$ зима'!t490-'[2]$ зима'!s490-'[2]$ зима'!r490-'[2]$ зима'!p490-'[2]$ зима'!o490-'[2]$ зима'!n490-'[2]$ зима'!m490-'[2]$ зима'!l490+'[2]$ зима'!q490+'[2]$ зима'!w490+'[2]$ зима'!ac490+'[2]$ зима'!ai490+'[2]$ зима'!ao490+'[2]$ зима'!k490</f>
        <v>2</v>
      </c>
      <c r="I490" s="191" t="n">
        <f aca="false">'[2]$ зима'!ay490*1.1</f>
        <v>1540</v>
      </c>
      <c r="J490" s="171" t="n">
        <v>2017</v>
      </c>
    </row>
    <row r="491" customFormat="false" ht="15" hidden="true" customHeight="false" outlineLevel="0" collapsed="false">
      <c r="A491" s="188" t="s">
        <v>186</v>
      </c>
      <c r="B491" s="149" t="s">
        <v>583</v>
      </c>
      <c r="C491" s="148" t="s">
        <v>3282</v>
      </c>
      <c r="D491" s="148"/>
      <c r="E491" s="148"/>
      <c r="F491" s="148"/>
      <c r="G491" s="193"/>
      <c r="H491" s="105" t="n">
        <f aca="false">'[2]$ зима'!j491-'[2]$ зима'!au491-'[2]$ зима'!at491-'[2]$ зима'!as491-'[2]$ зима'!ar491-'[2]$ зима'!aq491-'[2]$ зима'!ap491-'[2]$ зима'!an491-'[2]$ зима'!am491-'[2]$ зима'!al491-'[2]$ зима'!ak491-'[2]$ зима'!aj491-'[2]$ зима'!ah491-'[2]$ зима'!ag491-'[2]$ зима'!af491-'[2]$ зима'!ae491-'[2]$ зима'!ad491-'[2]$ зима'!ab491-'[2]$ зима'!aa491-'[2]$ зима'!z491-'[2]$ зима'!y491-'[2]$ зима'!x491-'[2]$ зима'!v491-'[2]$ зима'!u491-'[2]$ зима'!t491-'[2]$ зима'!s491-'[2]$ зима'!r491-'[2]$ зима'!p491-'[2]$ зима'!o491-'[2]$ зима'!n491-'[2]$ зима'!m491-'[2]$ зима'!l491+'[2]$ зима'!q491+'[2]$ зима'!w491+'[2]$ зима'!ac491+'[2]$ зима'!ai491+'[2]$ зима'!ao491+'[2]$ зима'!k491</f>
        <v>0</v>
      </c>
      <c r="I491" s="191" t="n">
        <f aca="false">'[2]$ зима'!ay491*1.1</f>
        <v>1694</v>
      </c>
    </row>
    <row r="492" customFormat="false" ht="15" hidden="false" customHeight="false" outlineLevel="0" collapsed="false">
      <c r="A492" s="188" t="s">
        <v>186</v>
      </c>
      <c r="B492" s="149" t="s">
        <v>583</v>
      </c>
      <c r="C492" s="148" t="s">
        <v>3313</v>
      </c>
      <c r="D492" s="148"/>
      <c r="E492" s="192"/>
      <c r="F492" s="192"/>
      <c r="G492" s="193" t="s">
        <v>585</v>
      </c>
      <c r="H492" s="105" t="n">
        <f aca="false">'[2]$ зима'!j492-'[2]$ зима'!au492-'[2]$ зима'!at492-'[2]$ зима'!as492-'[2]$ зима'!ar492-'[2]$ зима'!aq492-'[2]$ зима'!ap492-'[2]$ зима'!an492-'[2]$ зима'!am492-'[2]$ зима'!al492-'[2]$ зима'!ak492-'[2]$ зима'!aj492-'[2]$ зима'!ah492-'[2]$ зима'!ag492-'[2]$ зима'!af492-'[2]$ зима'!ae492-'[2]$ зима'!ad492-'[2]$ зима'!ab492-'[2]$ зима'!aa492-'[2]$ зима'!z492-'[2]$ зима'!y492-'[2]$ зима'!x492-'[2]$ зима'!v492-'[2]$ зима'!u492-'[2]$ зима'!t492-'[2]$ зима'!s492-'[2]$ зима'!r492-'[2]$ зима'!p492-'[2]$ зима'!o492-'[2]$ зима'!n492-'[2]$ зима'!m492-'[2]$ зима'!l492+'[2]$ зима'!q492+'[2]$ зима'!w492+'[2]$ зима'!ac492+'[2]$ зима'!ai492+'[2]$ зима'!ao492+'[2]$ зима'!k492</f>
        <v>4</v>
      </c>
      <c r="I492" s="191" t="n">
        <f aca="false">'[2]$ зима'!ay492*1.1</f>
        <v>1478.4</v>
      </c>
      <c r="J492" s="171" t="n">
        <v>2016</v>
      </c>
    </row>
    <row r="493" customFormat="false" ht="15" hidden="true" customHeight="false" outlineLevel="0" collapsed="false">
      <c r="A493" s="188" t="s">
        <v>186</v>
      </c>
      <c r="B493" s="149" t="s">
        <v>593</v>
      </c>
      <c r="C493" s="148" t="s">
        <v>3188</v>
      </c>
      <c r="D493" s="148"/>
      <c r="E493" s="148"/>
      <c r="F493" s="148"/>
      <c r="G493" s="193"/>
      <c r="H493" s="105" t="n">
        <f aca="false">'[2]$ зима'!j493-'[2]$ зима'!au493-'[2]$ зима'!at493-'[2]$ зима'!as493-'[2]$ зима'!ar493-'[2]$ зима'!aq493-'[2]$ зима'!ap493-'[2]$ зима'!an493-'[2]$ зима'!am493-'[2]$ зима'!al493-'[2]$ зима'!ak493-'[2]$ зима'!aj493-'[2]$ зима'!ah493-'[2]$ зима'!ag493-'[2]$ зима'!af493-'[2]$ зима'!ae493-'[2]$ зима'!ad493-'[2]$ зима'!ab493-'[2]$ зима'!aa493-'[2]$ зима'!z493-'[2]$ зима'!y493-'[2]$ зима'!x493-'[2]$ зима'!v493-'[2]$ зима'!u493-'[2]$ зима'!t493-'[2]$ зима'!s493-'[2]$ зима'!r493-'[2]$ зима'!p493-'[2]$ зима'!o493-'[2]$ зима'!n493-'[2]$ зима'!m493-'[2]$ зима'!l493+'[2]$ зима'!q493+'[2]$ зима'!w493+'[2]$ зима'!ac493+'[2]$ зима'!ai493+'[2]$ зима'!ao493+'[2]$ зима'!k493</f>
        <v>0</v>
      </c>
      <c r="I493" s="191" t="n">
        <f aca="false">'[2]$ зима'!ay493*1.1</f>
        <v>1940.4</v>
      </c>
      <c r="J493" s="171" t="s">
        <v>3368</v>
      </c>
    </row>
    <row r="494" customFormat="false" ht="15" hidden="false" customHeight="false" outlineLevel="0" collapsed="false">
      <c r="A494" s="188" t="s">
        <v>186</v>
      </c>
      <c r="B494" s="149" t="s">
        <v>3142</v>
      </c>
      <c r="C494" s="148" t="s">
        <v>3369</v>
      </c>
      <c r="D494" s="148" t="s">
        <v>3127</v>
      </c>
      <c r="E494" s="192"/>
      <c r="F494" s="192"/>
      <c r="G494" s="193"/>
      <c r="H494" s="105" t="n">
        <f aca="false">'[2]$ зима'!j494-'[2]$ зима'!au494-'[2]$ зима'!at494-'[2]$ зима'!as494-'[2]$ зима'!ar494-'[2]$ зима'!aq494-'[2]$ зима'!ap494-'[2]$ зима'!an494-'[2]$ зима'!am494-'[2]$ зима'!al494-'[2]$ зима'!ak494-'[2]$ зима'!aj494-'[2]$ зима'!ah494-'[2]$ зима'!ag494-'[2]$ зима'!af494-'[2]$ зима'!ae494-'[2]$ зима'!ad494-'[2]$ зима'!ab494-'[2]$ зима'!aa494-'[2]$ зима'!z494-'[2]$ зима'!y494-'[2]$ зима'!x494-'[2]$ зима'!v494-'[2]$ зима'!u494-'[2]$ зима'!t494-'[2]$ зима'!s494-'[2]$ зима'!r494-'[2]$ зима'!p494-'[2]$ зима'!o494-'[2]$ зима'!n494-'[2]$ зима'!m494-'[2]$ зима'!l494+'[2]$ зима'!q494+'[2]$ зима'!w494+'[2]$ зима'!ac494+'[2]$ зима'!ai494+'[2]$ зима'!ao494+'[2]$ зима'!k494</f>
        <v>2</v>
      </c>
      <c r="I494" s="191" t="n">
        <f aca="false">'[2]$ зима'!ay494*1.1</f>
        <v>1540</v>
      </c>
    </row>
    <row r="495" customFormat="false" ht="15" hidden="true" customHeight="false" outlineLevel="0" collapsed="false">
      <c r="A495" s="188" t="s">
        <v>186</v>
      </c>
      <c r="B495" s="149" t="s">
        <v>3142</v>
      </c>
      <c r="C495" s="148" t="s">
        <v>3370</v>
      </c>
      <c r="D495" s="148"/>
      <c r="E495" s="148" t="n">
        <v>99</v>
      </c>
      <c r="F495" s="148" t="s">
        <v>562</v>
      </c>
      <c r="G495" s="148"/>
      <c r="H495" s="105" t="n">
        <f aca="false">'[2]$ зима'!j495-'[2]$ зима'!au495-'[2]$ зима'!at495-'[2]$ зима'!as495-'[2]$ зима'!ar495-'[2]$ зима'!aq495-'[2]$ зима'!ap495-'[2]$ зима'!an495-'[2]$ зима'!am495-'[2]$ зима'!al495-'[2]$ зима'!ak495-'[2]$ зима'!aj495-'[2]$ зима'!ah495-'[2]$ зима'!ag495-'[2]$ зима'!af495-'[2]$ зима'!ae495-'[2]$ зима'!ad495-'[2]$ зима'!ab495-'[2]$ зима'!aa495-'[2]$ зима'!z495-'[2]$ зима'!y495-'[2]$ зима'!x495-'[2]$ зима'!v495-'[2]$ зима'!u495-'[2]$ зима'!t495-'[2]$ зима'!s495-'[2]$ зима'!r495-'[2]$ зима'!p495-'[2]$ зима'!o495-'[2]$ зима'!n495-'[2]$ зима'!m495-'[2]$ зима'!l495+'[2]$ зима'!q495+'[2]$ зима'!w495+'[2]$ зима'!ac495+'[2]$ зима'!ai495+'[2]$ зима'!ao495+'[2]$ зима'!k495</f>
        <v>0</v>
      </c>
      <c r="I495" s="191" t="n">
        <f aca="false">'[2]$ зима'!ay495*1.1</f>
        <v>1293.6</v>
      </c>
    </row>
    <row r="496" customFormat="false" ht="15" hidden="true" customHeight="false" outlineLevel="0" collapsed="false">
      <c r="A496" s="188" t="s">
        <v>186</v>
      </c>
      <c r="B496" s="149" t="s">
        <v>1149</v>
      </c>
      <c r="C496" s="148" t="s">
        <v>3371</v>
      </c>
      <c r="D496" s="148"/>
      <c r="E496" s="148"/>
      <c r="F496" s="148"/>
      <c r="G496" s="193"/>
      <c r="H496" s="105" t="n">
        <f aca="false">'[2]$ зима'!j496-'[2]$ зима'!au496-'[2]$ зима'!at496-'[2]$ зима'!as496-'[2]$ зима'!ar496-'[2]$ зима'!aq496-'[2]$ зима'!ap496-'[2]$ зима'!an496-'[2]$ зима'!am496-'[2]$ зима'!al496-'[2]$ зима'!ak496-'[2]$ зима'!aj496-'[2]$ зима'!ah496-'[2]$ зима'!ag496-'[2]$ зима'!af496-'[2]$ зима'!ae496-'[2]$ зима'!ad496-'[2]$ зима'!ab496-'[2]$ зима'!aa496-'[2]$ зима'!z496-'[2]$ зима'!y496-'[2]$ зима'!x496-'[2]$ зима'!v496-'[2]$ зима'!u496-'[2]$ зима'!t496-'[2]$ зима'!s496-'[2]$ зима'!r496-'[2]$ зима'!p496-'[2]$ зима'!o496-'[2]$ зима'!n496-'[2]$ зима'!m496-'[2]$ зима'!l496+'[2]$ зима'!q496+'[2]$ зима'!w496+'[2]$ зима'!ac496+'[2]$ зима'!ai496+'[2]$ зима'!ao496+'[2]$ зима'!k496</f>
        <v>0</v>
      </c>
      <c r="I496" s="191" t="n">
        <f aca="false">'[2]$ зима'!ay496*1.1</f>
        <v>2217.6</v>
      </c>
    </row>
    <row r="497" customFormat="false" ht="15" hidden="true" customHeight="false" outlineLevel="0" collapsed="false">
      <c r="A497" s="188" t="s">
        <v>186</v>
      </c>
      <c r="B497" s="149" t="s">
        <v>1149</v>
      </c>
      <c r="C497" s="148" t="s">
        <v>3372</v>
      </c>
      <c r="D497" s="148"/>
      <c r="E497" s="148"/>
      <c r="F497" s="148"/>
      <c r="G497" s="193"/>
      <c r="H497" s="105" t="n">
        <f aca="false">'[2]$ зима'!j497-'[2]$ зима'!au497-'[2]$ зима'!at497-'[2]$ зима'!as497-'[2]$ зима'!ar497-'[2]$ зима'!aq497-'[2]$ зима'!ap497-'[2]$ зима'!an497-'[2]$ зима'!am497-'[2]$ зима'!al497-'[2]$ зима'!ak497-'[2]$ зима'!aj497-'[2]$ зима'!ah497-'[2]$ зима'!ag497-'[2]$ зима'!af497-'[2]$ зима'!ae497-'[2]$ зима'!ad497-'[2]$ зима'!ab497-'[2]$ зима'!aa497-'[2]$ зима'!z497-'[2]$ зима'!y497-'[2]$ зима'!x497-'[2]$ зима'!v497-'[2]$ зима'!u497-'[2]$ зима'!t497-'[2]$ зима'!s497-'[2]$ зима'!r497-'[2]$ зима'!p497-'[2]$ зима'!o497-'[2]$ зима'!n497-'[2]$ зима'!m497-'[2]$ зима'!l497+'[2]$ зима'!q497+'[2]$ зима'!w497+'[2]$ зима'!ac497+'[2]$ зима'!ai497+'[2]$ зима'!ao497+'[2]$ зима'!k497</f>
        <v>0</v>
      </c>
      <c r="I497" s="191" t="n">
        <f aca="false">'[2]$ зима'!ay497*1.1</f>
        <v>2525.6</v>
      </c>
    </row>
    <row r="498" customFormat="false" ht="15" hidden="true" customHeight="false" outlineLevel="0" collapsed="false">
      <c r="A498" s="188" t="s">
        <v>186</v>
      </c>
      <c r="B498" s="149" t="s">
        <v>652</v>
      </c>
      <c r="C498" s="148" t="s">
        <v>3373</v>
      </c>
      <c r="D498" s="148"/>
      <c r="E498" s="148"/>
      <c r="F498" s="148"/>
      <c r="G498" s="193"/>
      <c r="H498" s="105" t="n">
        <f aca="false">'[2]$ зима'!j498-'[2]$ зима'!au498-'[2]$ зима'!at498-'[2]$ зима'!as498-'[2]$ зима'!ar498-'[2]$ зима'!aq498-'[2]$ зима'!ap498-'[2]$ зима'!an498-'[2]$ зима'!am498-'[2]$ зима'!al498-'[2]$ зима'!ak498-'[2]$ зима'!aj498-'[2]$ зима'!ah498-'[2]$ зима'!ag498-'[2]$ зима'!af498-'[2]$ зима'!ae498-'[2]$ зима'!ad498-'[2]$ зима'!ab498-'[2]$ зима'!aa498-'[2]$ зима'!z498-'[2]$ зима'!y498-'[2]$ зима'!x498-'[2]$ зима'!v498-'[2]$ зима'!u498-'[2]$ зима'!t498-'[2]$ зима'!s498-'[2]$ зима'!r498-'[2]$ зима'!p498-'[2]$ зима'!o498-'[2]$ зима'!n498-'[2]$ зима'!m498-'[2]$ зима'!l498+'[2]$ зима'!q498+'[2]$ зима'!w498+'[2]$ зима'!ac498+'[2]$ зима'!ai498+'[2]$ зима'!ao498+'[2]$ зима'!k498</f>
        <v>0</v>
      </c>
      <c r="I498" s="191" t="n">
        <f aca="false">'[2]$ зима'!ay498*1.1</f>
        <v>1293.6</v>
      </c>
    </row>
    <row r="499" customFormat="false" ht="15" hidden="false" customHeight="false" outlineLevel="0" collapsed="false">
      <c r="A499" s="188" t="s">
        <v>186</v>
      </c>
      <c r="B499" s="149" t="s">
        <v>621</v>
      </c>
      <c r="C499" s="148" t="s">
        <v>3293</v>
      </c>
      <c r="D499" s="148"/>
      <c r="E499" s="192" t="n">
        <v>94</v>
      </c>
      <c r="F499" s="192" t="s">
        <v>634</v>
      </c>
      <c r="G499" s="193"/>
      <c r="H499" s="105" t="n">
        <f aca="false">'[2]$ зима'!j499-'[2]$ зима'!au499-'[2]$ зима'!at499-'[2]$ зима'!as499-'[2]$ зима'!ar499-'[2]$ зима'!aq499-'[2]$ зима'!ap499-'[2]$ зима'!an499-'[2]$ зима'!am499-'[2]$ зима'!al499-'[2]$ зима'!ak499-'[2]$ зима'!aj499-'[2]$ зима'!ah499-'[2]$ зима'!ag499-'[2]$ зима'!af499-'[2]$ зима'!ae499-'[2]$ зима'!ad499-'[2]$ зима'!ab499-'[2]$ зима'!aa499-'[2]$ зима'!z499-'[2]$ зима'!y499-'[2]$ зима'!x499-'[2]$ зима'!v499-'[2]$ зима'!u499-'[2]$ зима'!t499-'[2]$ зима'!s499-'[2]$ зима'!r499-'[2]$ зима'!p499-'[2]$ зима'!o499-'[2]$ зима'!n499-'[2]$ зима'!m499-'[2]$ зима'!l499+'[2]$ зима'!q499+'[2]$ зима'!w499+'[2]$ зима'!ac499+'[2]$ зима'!ai499+'[2]$ зима'!ao499+'[2]$ зима'!k499</f>
        <v>12</v>
      </c>
      <c r="I499" s="191" t="n">
        <f aca="false">'[2]$ зима'!ay499*1.1</f>
        <v>1293.6</v>
      </c>
      <c r="J499" s="171" t="n">
        <v>2018</v>
      </c>
    </row>
    <row r="500" customFormat="false" ht="15" hidden="true" customHeight="false" outlineLevel="0" collapsed="false">
      <c r="A500" s="188" t="s">
        <v>186</v>
      </c>
      <c r="B500" s="149" t="s">
        <v>623</v>
      </c>
      <c r="C500" s="148" t="s">
        <v>3374</v>
      </c>
      <c r="D500" s="148"/>
      <c r="E500" s="148"/>
      <c r="F500" s="148"/>
      <c r="G500" s="193"/>
      <c r="H500" s="105" t="n">
        <f aca="false">'[2]$ зима'!j500-'[2]$ зима'!au500-'[2]$ зима'!at500-'[2]$ зима'!as500-'[2]$ зима'!ar500-'[2]$ зима'!aq500-'[2]$ зима'!ap500-'[2]$ зима'!an500-'[2]$ зима'!am500-'[2]$ зима'!al500-'[2]$ зима'!ak500-'[2]$ зима'!aj500-'[2]$ зима'!ah500-'[2]$ зима'!ag500-'[2]$ зима'!af500-'[2]$ зима'!ae500-'[2]$ зима'!ad500-'[2]$ зима'!ab500-'[2]$ зима'!aa500-'[2]$ зима'!z500-'[2]$ зима'!y500-'[2]$ зима'!x500-'[2]$ зима'!v500-'[2]$ зима'!u500-'[2]$ зима'!t500-'[2]$ зима'!s500-'[2]$ зима'!r500-'[2]$ зима'!p500-'[2]$ зима'!o500-'[2]$ зима'!n500-'[2]$ зима'!m500-'[2]$ зима'!l500+'[2]$ зима'!q500+'[2]$ зима'!w500+'[2]$ зима'!ac500+'[2]$ зима'!ai500+'[2]$ зима'!ao500+'[2]$ зима'!k500</f>
        <v>0</v>
      </c>
      <c r="I500" s="191" t="n">
        <f aca="false">'[2]$ зима'!ay500*1.1</f>
        <v>1386</v>
      </c>
    </row>
    <row r="501" customFormat="false" ht="15" hidden="false" customHeight="false" outlineLevel="0" collapsed="false">
      <c r="A501" s="188" t="s">
        <v>186</v>
      </c>
      <c r="B501" s="149" t="s">
        <v>589</v>
      </c>
      <c r="C501" s="148" t="s">
        <v>3225</v>
      </c>
      <c r="D501" s="148"/>
      <c r="E501" s="192" t="n">
        <v>95</v>
      </c>
      <c r="F501" s="192" t="s">
        <v>3207</v>
      </c>
      <c r="G501" s="193" t="s">
        <v>626</v>
      </c>
      <c r="H501" s="105" t="n">
        <f aca="false">'[2]$ зима'!j501-'[2]$ зима'!au501-'[2]$ зима'!at501-'[2]$ зима'!as501-'[2]$ зима'!ar501-'[2]$ зима'!aq501-'[2]$ зима'!ap501-'[2]$ зима'!an501-'[2]$ зима'!am501-'[2]$ зима'!al501-'[2]$ зима'!ak501-'[2]$ зима'!aj501-'[2]$ зима'!ah501-'[2]$ зима'!ag501-'[2]$ зима'!af501-'[2]$ зима'!ae501-'[2]$ зима'!ad501-'[2]$ зима'!ab501-'[2]$ зима'!aa501-'[2]$ зима'!z501-'[2]$ зима'!y501-'[2]$ зима'!x501-'[2]$ зима'!v501-'[2]$ зима'!u501-'[2]$ зима'!t501-'[2]$ зима'!s501-'[2]$ зима'!r501-'[2]$ зима'!p501-'[2]$ зима'!o501-'[2]$ зима'!n501-'[2]$ зима'!m501-'[2]$ зима'!l501+'[2]$ зима'!q501+'[2]$ зима'!w501+'[2]$ зима'!ac501+'[2]$ зима'!ai501+'[2]$ зима'!ao501+'[2]$ зима'!k501</f>
        <v>4</v>
      </c>
      <c r="I501" s="191" t="n">
        <f aca="false">'[2]$ зима'!ay501*1.1</f>
        <v>2655.4</v>
      </c>
      <c r="J501" s="171" t="n">
        <v>2018</v>
      </c>
    </row>
    <row r="502" customFormat="false" ht="15" hidden="false" customHeight="false" outlineLevel="0" collapsed="false">
      <c r="A502" s="188" t="s">
        <v>186</v>
      </c>
      <c r="B502" s="149" t="s">
        <v>589</v>
      </c>
      <c r="C502" s="148" t="s">
        <v>3209</v>
      </c>
      <c r="D502" s="148"/>
      <c r="E502" s="192" t="n">
        <v>94</v>
      </c>
      <c r="F502" s="192" t="s">
        <v>3207</v>
      </c>
      <c r="G502" s="193" t="s">
        <v>626</v>
      </c>
      <c r="H502" s="105" t="n">
        <f aca="false">'[2]$ зима'!j502-'[2]$ зима'!au502-'[2]$ зима'!at502-'[2]$ зима'!as502-'[2]$ зима'!ar502-'[2]$ зима'!aq502-'[2]$ зима'!ap502-'[2]$ зима'!an502-'[2]$ зима'!am502-'[2]$ зима'!al502-'[2]$ зима'!ak502-'[2]$ зима'!aj502-'[2]$ зима'!ah502-'[2]$ зима'!ag502-'[2]$ зима'!af502-'[2]$ зима'!ae502-'[2]$ зима'!ad502-'[2]$ зима'!ab502-'[2]$ зима'!aa502-'[2]$ зима'!z502-'[2]$ зима'!y502-'[2]$ зима'!x502-'[2]$ зима'!v502-'[2]$ зима'!u502-'[2]$ зима'!t502-'[2]$ зима'!s502-'[2]$ зима'!r502-'[2]$ зима'!p502-'[2]$ зима'!o502-'[2]$ зима'!n502-'[2]$ зима'!m502-'[2]$ зима'!l502+'[2]$ зима'!q502+'[2]$ зима'!w502+'[2]$ зима'!ac502+'[2]$ зима'!ai502+'[2]$ зима'!ao502+'[2]$ зима'!k502</f>
        <v>4</v>
      </c>
      <c r="I502" s="191" t="n">
        <f aca="false">'[2]$ зима'!ay502*1.1</f>
        <v>1874.4</v>
      </c>
      <c r="J502" s="171" t="n">
        <v>2018</v>
      </c>
    </row>
    <row r="503" customFormat="false" ht="15" hidden="false" customHeight="false" outlineLevel="0" collapsed="false">
      <c r="A503" s="188" t="s">
        <v>186</v>
      </c>
      <c r="B503" s="149" t="s">
        <v>589</v>
      </c>
      <c r="C503" s="148" t="s">
        <v>3258</v>
      </c>
      <c r="D503" s="148"/>
      <c r="E503" s="192"/>
      <c r="F503" s="192"/>
      <c r="G503" s="193" t="s">
        <v>626</v>
      </c>
      <c r="H503" s="105" t="n">
        <f aca="false">'[2]$ зима'!j503-'[2]$ зима'!au503-'[2]$ зима'!at503-'[2]$ зима'!as503-'[2]$ зима'!ar503-'[2]$ зима'!aq503-'[2]$ зима'!ap503-'[2]$ зима'!an503-'[2]$ зима'!am503-'[2]$ зима'!al503-'[2]$ зима'!ak503-'[2]$ зима'!aj503-'[2]$ зима'!ah503-'[2]$ зима'!ag503-'[2]$ зима'!af503-'[2]$ зима'!ae503-'[2]$ зима'!ad503-'[2]$ зима'!ab503-'[2]$ зима'!aa503-'[2]$ зима'!z503-'[2]$ зима'!y503-'[2]$ зима'!x503-'[2]$ зима'!v503-'[2]$ зима'!u503-'[2]$ зима'!t503-'[2]$ зима'!s503-'[2]$ зима'!r503-'[2]$ зима'!p503-'[2]$ зима'!o503-'[2]$ зима'!n503-'[2]$ зима'!m503-'[2]$ зима'!l503+'[2]$ зима'!q503+'[2]$ зима'!w503+'[2]$ зима'!ac503+'[2]$ зима'!ai503+'[2]$ зима'!ao503+'[2]$ зима'!k503</f>
        <v>2</v>
      </c>
      <c r="I503" s="191" t="n">
        <f aca="false">'[2]$ зима'!ay503*1.1</f>
        <v>1468.28</v>
      </c>
    </row>
    <row r="504" customFormat="false" ht="15" hidden="true" customHeight="false" outlineLevel="0" collapsed="false">
      <c r="A504" s="188" t="s">
        <v>186</v>
      </c>
      <c r="B504" s="149" t="s">
        <v>1028</v>
      </c>
      <c r="C504" s="148" t="s">
        <v>3177</v>
      </c>
      <c r="D504" s="148"/>
      <c r="E504" s="148"/>
      <c r="F504" s="148"/>
      <c r="G504" s="193"/>
      <c r="H504" s="105" t="n">
        <f aca="false">'[2]$ зима'!j504-'[2]$ зима'!au504-'[2]$ зима'!at504-'[2]$ зима'!as504-'[2]$ зима'!ar504-'[2]$ зима'!aq504-'[2]$ зима'!ap504-'[2]$ зима'!an504-'[2]$ зима'!am504-'[2]$ зима'!al504-'[2]$ зима'!ak504-'[2]$ зима'!aj504-'[2]$ зима'!ah504-'[2]$ зима'!ag504-'[2]$ зима'!af504-'[2]$ зима'!ae504-'[2]$ зима'!ad504-'[2]$ зима'!ab504-'[2]$ зима'!aa504-'[2]$ зима'!z504-'[2]$ зима'!y504-'[2]$ зима'!x504-'[2]$ зима'!v504-'[2]$ зима'!u504-'[2]$ зима'!t504-'[2]$ зима'!s504-'[2]$ зима'!r504-'[2]$ зима'!p504-'[2]$ зима'!o504-'[2]$ зима'!n504-'[2]$ зима'!m504-'[2]$ зима'!l504+'[2]$ зима'!q504+'[2]$ зима'!w504+'[2]$ зима'!ac504+'[2]$ зима'!ai504+'[2]$ зима'!ao504+'[2]$ зима'!k504</f>
        <v>0</v>
      </c>
      <c r="I504" s="191" t="n">
        <f aca="false">'[2]$ зима'!ay504*1.1</f>
        <v>1848</v>
      </c>
    </row>
    <row r="505" customFormat="false" ht="15" hidden="true" customHeight="false" outlineLevel="0" collapsed="false">
      <c r="A505" s="188" t="s">
        <v>194</v>
      </c>
      <c r="B505" s="149" t="s">
        <v>601</v>
      </c>
      <c r="C505" s="148" t="s">
        <v>3375</v>
      </c>
      <c r="D505" s="148"/>
      <c r="E505" s="148" t="n">
        <v>96</v>
      </c>
      <c r="F505" s="148" t="s">
        <v>1455</v>
      </c>
      <c r="G505" s="193"/>
      <c r="H505" s="105" t="n">
        <f aca="false">'[2]$ зима'!j505-'[2]$ зима'!au505-'[2]$ зима'!at505-'[2]$ зима'!as505-'[2]$ зима'!ar505-'[2]$ зима'!aq505-'[2]$ зима'!ap505-'[2]$ зима'!an505-'[2]$ зима'!am505-'[2]$ зима'!al505-'[2]$ зима'!ak505-'[2]$ зима'!aj505-'[2]$ зима'!ah505-'[2]$ зима'!ag505-'[2]$ зима'!af505-'[2]$ зима'!ae505-'[2]$ зима'!ad505-'[2]$ зима'!ab505-'[2]$ зима'!aa505-'[2]$ зима'!z505-'[2]$ зима'!y505-'[2]$ зима'!x505-'[2]$ зима'!v505-'[2]$ зима'!u505-'[2]$ зима'!t505-'[2]$ зима'!s505-'[2]$ зима'!r505-'[2]$ зима'!p505-'[2]$ зима'!o505-'[2]$ зима'!n505-'[2]$ зима'!m505-'[2]$ зима'!l505+'[2]$ зима'!q505+'[2]$ зима'!w505+'[2]$ зима'!ac505+'[2]$ зима'!ai505+'[2]$ зима'!ao505+'[2]$ зима'!k505</f>
        <v>0</v>
      </c>
      <c r="I505" s="191" t="n">
        <f aca="false">'[2]$ зима'!ay505*1.1</f>
        <v>2094.4</v>
      </c>
    </row>
    <row r="506" customFormat="false" ht="15" hidden="true" customHeight="false" outlineLevel="0" collapsed="false">
      <c r="A506" s="188" t="s">
        <v>194</v>
      </c>
      <c r="B506" s="149" t="s">
        <v>707</v>
      </c>
      <c r="C506" s="148" t="s">
        <v>3376</v>
      </c>
      <c r="D506" s="148"/>
      <c r="E506" s="148"/>
      <c r="F506" s="148"/>
      <c r="G506" s="193"/>
      <c r="H506" s="105" t="n">
        <f aca="false">'[2]$ зима'!j506-'[2]$ зима'!au506-'[2]$ зима'!at506-'[2]$ зима'!as506-'[2]$ зима'!ar506-'[2]$ зима'!aq506-'[2]$ зима'!ap506-'[2]$ зима'!an506-'[2]$ зима'!am506-'[2]$ зима'!al506-'[2]$ зима'!ak506-'[2]$ зима'!aj506-'[2]$ зима'!ah506-'[2]$ зима'!ag506-'[2]$ зима'!af506-'[2]$ зима'!ae506-'[2]$ зима'!ad506-'[2]$ зима'!ab506-'[2]$ зима'!aa506-'[2]$ зима'!z506-'[2]$ зима'!y506-'[2]$ зима'!x506-'[2]$ зима'!v506-'[2]$ зима'!u506-'[2]$ зима'!t506-'[2]$ зима'!s506-'[2]$ зима'!r506-'[2]$ зима'!p506-'[2]$ зима'!o506-'[2]$ зима'!n506-'[2]$ зима'!m506-'[2]$ зима'!l506+'[2]$ зима'!q506+'[2]$ зима'!w506+'[2]$ зима'!ac506+'[2]$ зима'!ai506+'[2]$ зима'!ao506+'[2]$ зима'!k506</f>
        <v>0</v>
      </c>
      <c r="I506" s="191" t="n">
        <f aca="false">'[2]$ зима'!ay506*1.1</f>
        <v>2464</v>
      </c>
    </row>
    <row r="507" customFormat="false" ht="15" hidden="true" customHeight="false" outlineLevel="0" collapsed="false">
      <c r="A507" s="188" t="s">
        <v>194</v>
      </c>
      <c r="B507" s="149" t="s">
        <v>557</v>
      </c>
      <c r="C507" s="148" t="s">
        <v>3196</v>
      </c>
      <c r="D507" s="148" t="s">
        <v>3127</v>
      </c>
      <c r="E507" s="148"/>
      <c r="F507" s="148"/>
      <c r="G507" s="193"/>
      <c r="H507" s="105" t="n">
        <f aca="false">'[2]$ зима'!j507-'[2]$ зима'!au507-'[2]$ зима'!at507-'[2]$ зима'!as507-'[2]$ зима'!ar507-'[2]$ зима'!aq507-'[2]$ зима'!ap507-'[2]$ зима'!an507-'[2]$ зима'!am507-'[2]$ зима'!al507-'[2]$ зима'!ak507-'[2]$ зима'!aj507-'[2]$ зима'!ah507-'[2]$ зима'!ag507-'[2]$ зима'!af507-'[2]$ зима'!ae507-'[2]$ зима'!ad507-'[2]$ зима'!ab507-'[2]$ зима'!aa507-'[2]$ зима'!z507-'[2]$ зима'!y507-'[2]$ зима'!x507-'[2]$ зима'!v507-'[2]$ зима'!u507-'[2]$ зима'!t507-'[2]$ зима'!s507-'[2]$ зима'!r507-'[2]$ зима'!p507-'[2]$ зима'!o507-'[2]$ зима'!n507-'[2]$ зима'!m507-'[2]$ зима'!l507+'[2]$ зима'!q507+'[2]$ зима'!w507+'[2]$ зима'!ac507+'[2]$ зима'!ai507+'[2]$ зима'!ao507+'[2]$ зима'!k507</f>
        <v>0</v>
      </c>
      <c r="I507" s="191" t="n">
        <f aca="false">'[2]$ зима'!ay507*1.1</f>
        <v>1386</v>
      </c>
    </row>
    <row r="508" customFormat="false" ht="15" hidden="true" customHeight="false" outlineLevel="0" collapsed="false">
      <c r="A508" s="188" t="s">
        <v>194</v>
      </c>
      <c r="B508" s="149" t="s">
        <v>741</v>
      </c>
      <c r="C508" s="148" t="s">
        <v>3276</v>
      </c>
      <c r="D508" s="148"/>
      <c r="E508" s="148"/>
      <c r="F508" s="148"/>
      <c r="G508" s="193"/>
      <c r="H508" s="105" t="n">
        <f aca="false">'[2]$ зима'!j508-'[2]$ зима'!au508-'[2]$ зима'!at508-'[2]$ зима'!as508-'[2]$ зима'!ar508-'[2]$ зима'!aq508-'[2]$ зима'!ap508-'[2]$ зима'!an508-'[2]$ зима'!am508-'[2]$ зима'!al508-'[2]$ зима'!ak508-'[2]$ зима'!aj508-'[2]$ зима'!ah508-'[2]$ зима'!ag508-'[2]$ зима'!af508-'[2]$ зима'!ae508-'[2]$ зима'!ad508-'[2]$ зима'!ab508-'[2]$ зима'!aa508-'[2]$ зима'!z508-'[2]$ зима'!y508-'[2]$ зима'!x508-'[2]$ зима'!v508-'[2]$ зима'!u508-'[2]$ зима'!t508-'[2]$ зима'!s508-'[2]$ зима'!r508-'[2]$ зима'!p508-'[2]$ зима'!o508-'[2]$ зима'!n508-'[2]$ зима'!m508-'[2]$ зима'!l508+'[2]$ зима'!q508+'[2]$ зима'!w508+'[2]$ зима'!ac508+'[2]$ зима'!ai508+'[2]$ зима'!ao508+'[2]$ зима'!k508</f>
        <v>0</v>
      </c>
      <c r="I508" s="191" t="n">
        <f aca="false">'[2]$ зима'!ay508*1.1</f>
        <v>2310</v>
      </c>
    </row>
    <row r="509" customFormat="false" ht="15" hidden="true" customHeight="false" outlineLevel="0" collapsed="false">
      <c r="A509" s="188" t="s">
        <v>194</v>
      </c>
      <c r="B509" s="149" t="s">
        <v>744</v>
      </c>
      <c r="C509" s="148" t="s">
        <v>3377</v>
      </c>
      <c r="D509" s="148" t="s">
        <v>3147</v>
      </c>
      <c r="E509" s="148" t="n">
        <v>96</v>
      </c>
      <c r="F509" s="148" t="s">
        <v>562</v>
      </c>
      <c r="G509" s="193" t="s">
        <v>3378</v>
      </c>
      <c r="H509" s="105" t="n">
        <f aca="false">'[2]$ зима'!j509-'[2]$ зима'!au509-'[2]$ зима'!at509-'[2]$ зима'!as509-'[2]$ зима'!ar509-'[2]$ зима'!aq509-'[2]$ зима'!ap509-'[2]$ зима'!an509-'[2]$ зима'!am509-'[2]$ зима'!al509-'[2]$ зима'!ak509-'[2]$ зима'!aj509-'[2]$ зима'!ah509-'[2]$ зима'!ag509-'[2]$ зима'!af509-'[2]$ зима'!ae509-'[2]$ зима'!ad509-'[2]$ зима'!ab509-'[2]$ зима'!aa509-'[2]$ зима'!z509-'[2]$ зима'!y509-'[2]$ зима'!x509-'[2]$ зима'!v509-'[2]$ зима'!u509-'[2]$ зима'!t509-'[2]$ зима'!s509-'[2]$ зима'!r509-'[2]$ зима'!p509-'[2]$ зима'!o509-'[2]$ зима'!n509-'[2]$ зима'!m509-'[2]$ зима'!l509+'[2]$ зима'!q509+'[2]$ зима'!w509+'[2]$ зима'!ac509+'[2]$ зима'!ai509+'[2]$ зима'!ao509+'[2]$ зима'!k509</f>
        <v>0</v>
      </c>
      <c r="I509" s="191" t="n">
        <f aca="false">'[2]$ зима'!ay509*1.1</f>
        <v>1694</v>
      </c>
    </row>
    <row r="510" customFormat="false" ht="15" hidden="true" customHeight="false" outlineLevel="0" collapsed="false">
      <c r="A510" s="188" t="s">
        <v>194</v>
      </c>
      <c r="B510" s="149" t="s">
        <v>606</v>
      </c>
      <c r="C510" s="148" t="s">
        <v>3379</v>
      </c>
      <c r="D510" s="148"/>
      <c r="E510" s="148" t="n">
        <v>97</v>
      </c>
      <c r="F510" s="148" t="s">
        <v>562</v>
      </c>
      <c r="G510" s="193" t="s">
        <v>857</v>
      </c>
      <c r="H510" s="105" t="n">
        <f aca="false">'[2]$ зима'!j510-'[2]$ зима'!au510-'[2]$ зима'!at510-'[2]$ зима'!as510-'[2]$ зима'!ar510-'[2]$ зима'!aq510-'[2]$ зима'!ap510-'[2]$ зима'!an510-'[2]$ зима'!am510-'[2]$ зима'!al510-'[2]$ зима'!ak510-'[2]$ зима'!aj510-'[2]$ зима'!ah510-'[2]$ зима'!ag510-'[2]$ зима'!af510-'[2]$ зима'!ae510-'[2]$ зима'!ad510-'[2]$ зима'!ab510-'[2]$ зима'!aa510-'[2]$ зима'!z510-'[2]$ зима'!y510-'[2]$ зима'!x510-'[2]$ зима'!v510-'[2]$ зима'!u510-'[2]$ зима'!t510-'[2]$ зима'!s510-'[2]$ зима'!r510-'[2]$ зима'!p510-'[2]$ зима'!o510-'[2]$ зима'!n510-'[2]$ зима'!m510-'[2]$ зима'!l510+'[2]$ зима'!q510+'[2]$ зима'!w510+'[2]$ зима'!ac510+'[2]$ зима'!ai510+'[2]$ зима'!ao510+'[2]$ зима'!k510</f>
        <v>0</v>
      </c>
      <c r="I510" s="191" t="n">
        <f aca="false">'[2]$ зима'!ay510*1.1</f>
        <v>2094.4</v>
      </c>
      <c r="J510" s="171" t="n">
        <v>2018</v>
      </c>
    </row>
    <row r="511" customFormat="false" ht="15" hidden="false" customHeight="false" outlineLevel="0" collapsed="false">
      <c r="A511" s="188" t="s">
        <v>194</v>
      </c>
      <c r="B511" s="149" t="s">
        <v>606</v>
      </c>
      <c r="C511" s="148" t="s">
        <v>3156</v>
      </c>
      <c r="D511" s="148"/>
      <c r="E511" s="192" t="n">
        <v>96</v>
      </c>
      <c r="F511" s="192" t="s">
        <v>562</v>
      </c>
      <c r="G511" s="193" t="s">
        <v>857</v>
      </c>
      <c r="H511" s="105" t="n">
        <f aca="false">'[2]$ зима'!j511-'[2]$ зима'!au511-'[2]$ зима'!at511-'[2]$ зима'!as511-'[2]$ зима'!ar511-'[2]$ зима'!aq511-'[2]$ зима'!ap511-'[2]$ зима'!an511-'[2]$ зима'!am511-'[2]$ зима'!al511-'[2]$ зима'!ak511-'[2]$ зима'!aj511-'[2]$ зима'!ah511-'[2]$ зима'!ag511-'[2]$ зима'!af511-'[2]$ зима'!ae511-'[2]$ зима'!ad511-'[2]$ зима'!ab511-'[2]$ зима'!aa511-'[2]$ зима'!z511-'[2]$ зима'!y511-'[2]$ зима'!x511-'[2]$ зима'!v511-'[2]$ зима'!u511-'[2]$ зима'!t511-'[2]$ зима'!s511-'[2]$ зима'!r511-'[2]$ зима'!p511-'[2]$ зима'!o511-'[2]$ зима'!n511-'[2]$ зима'!m511-'[2]$ зима'!l511+'[2]$ зима'!q511+'[2]$ зима'!w511+'[2]$ зима'!ac511+'[2]$ зима'!ai511+'[2]$ зима'!ao511+'[2]$ зима'!k511</f>
        <v>12</v>
      </c>
      <c r="I511" s="191" t="n">
        <f aca="false">'[2]$ зима'!ay511*1.1</f>
        <v>1632.4</v>
      </c>
      <c r="J511" s="171" t="n">
        <v>2018</v>
      </c>
    </row>
    <row r="512" customFormat="false" ht="15" hidden="false" customHeight="false" outlineLevel="0" collapsed="false">
      <c r="A512" s="188" t="s">
        <v>194</v>
      </c>
      <c r="B512" s="149" t="s">
        <v>668</v>
      </c>
      <c r="C512" s="148" t="s">
        <v>3380</v>
      </c>
      <c r="D512" s="148" t="s">
        <v>3127</v>
      </c>
      <c r="E512" s="192"/>
      <c r="F512" s="192"/>
      <c r="G512" s="193"/>
      <c r="H512" s="105" t="n">
        <f aca="false">'[2]$ зима'!j512-'[2]$ зима'!au512-'[2]$ зима'!at512-'[2]$ зима'!as512-'[2]$ зима'!ar512-'[2]$ зима'!aq512-'[2]$ зима'!ap512-'[2]$ зима'!an512-'[2]$ зима'!am512-'[2]$ зима'!al512-'[2]$ зима'!ak512-'[2]$ зима'!aj512-'[2]$ зима'!ah512-'[2]$ зима'!ag512-'[2]$ зима'!af512-'[2]$ зима'!ae512-'[2]$ зима'!ad512-'[2]$ зима'!ab512-'[2]$ зима'!aa512-'[2]$ зима'!z512-'[2]$ зима'!y512-'[2]$ зима'!x512-'[2]$ зима'!v512-'[2]$ зима'!u512-'[2]$ зима'!t512-'[2]$ зима'!s512-'[2]$ зима'!r512-'[2]$ зима'!p512-'[2]$ зима'!o512-'[2]$ зима'!n512-'[2]$ зима'!m512-'[2]$ зима'!l512+'[2]$ зима'!q512+'[2]$ зима'!w512+'[2]$ зима'!ac512+'[2]$ зима'!ai512+'[2]$ зима'!ao512+'[2]$ зима'!k512</f>
        <v>2</v>
      </c>
      <c r="I512" s="191" t="n">
        <f aca="false">'[2]$ зима'!ay512*1.1</f>
        <v>1694</v>
      </c>
    </row>
    <row r="513" customFormat="false" ht="15" hidden="false" customHeight="false" outlineLevel="0" collapsed="false">
      <c r="A513" s="188" t="s">
        <v>194</v>
      </c>
      <c r="B513" s="149" t="s">
        <v>574</v>
      </c>
      <c r="C513" s="148" t="s">
        <v>3381</v>
      </c>
      <c r="D513" s="148"/>
      <c r="E513" s="192" t="n">
        <v>96</v>
      </c>
      <c r="F513" s="192" t="s">
        <v>634</v>
      </c>
      <c r="G513" s="193" t="s">
        <v>576</v>
      </c>
      <c r="H513" s="105" t="n">
        <f aca="false">'[2]$ зима'!j513-'[2]$ зима'!au513-'[2]$ зима'!at513-'[2]$ зима'!as513-'[2]$ зима'!ar513-'[2]$ зима'!aq513-'[2]$ зима'!ap513-'[2]$ зима'!an513-'[2]$ зима'!am513-'[2]$ зима'!al513-'[2]$ зима'!ak513-'[2]$ зима'!aj513-'[2]$ зима'!ah513-'[2]$ зима'!ag513-'[2]$ зима'!af513-'[2]$ зима'!ae513-'[2]$ зима'!ad513-'[2]$ зима'!ab513-'[2]$ зима'!aa513-'[2]$ зима'!z513-'[2]$ зима'!y513-'[2]$ зима'!x513-'[2]$ зима'!v513-'[2]$ зима'!u513-'[2]$ зима'!t513-'[2]$ зима'!s513-'[2]$ зима'!r513-'[2]$ зима'!p513-'[2]$ зима'!o513-'[2]$ зима'!n513-'[2]$ зима'!m513-'[2]$ зима'!l513+'[2]$ зима'!q513+'[2]$ зима'!w513+'[2]$ зима'!ac513+'[2]$ зима'!ai513+'[2]$ зима'!ao513+'[2]$ зима'!k513</f>
        <v>8</v>
      </c>
      <c r="I513" s="191" t="n">
        <f aca="false">'[2]$ зима'!ay513*1.1</f>
        <v>1874.4</v>
      </c>
      <c r="J513" s="171" t="n">
        <v>2018</v>
      </c>
    </row>
    <row r="514" customFormat="false" ht="15" hidden="false" customHeight="false" outlineLevel="0" collapsed="false">
      <c r="A514" s="188" t="s">
        <v>194</v>
      </c>
      <c r="B514" s="149" t="s">
        <v>577</v>
      </c>
      <c r="C514" s="148" t="s">
        <v>3234</v>
      </c>
      <c r="D514" s="148"/>
      <c r="E514" s="192" t="n">
        <v>96</v>
      </c>
      <c r="F514" s="192" t="s">
        <v>562</v>
      </c>
      <c r="G514" s="193" t="s">
        <v>563</v>
      </c>
      <c r="H514" s="105" t="n">
        <f aca="false">'[2]$ зима'!j514-'[2]$ зима'!au514-'[2]$ зима'!at514-'[2]$ зима'!as514-'[2]$ зима'!ar514-'[2]$ зима'!aq514-'[2]$ зима'!ap514-'[2]$ зима'!an514-'[2]$ зима'!am514-'[2]$ зима'!al514-'[2]$ зима'!ak514-'[2]$ зима'!aj514-'[2]$ зима'!ah514-'[2]$ зима'!ag514-'[2]$ зима'!af514-'[2]$ зима'!ae514-'[2]$ зима'!ad514-'[2]$ зима'!ab514-'[2]$ зима'!aa514-'[2]$ зима'!z514-'[2]$ зима'!y514-'[2]$ зима'!x514-'[2]$ зима'!v514-'[2]$ зима'!u514-'[2]$ зима'!t514-'[2]$ зима'!s514-'[2]$ зима'!r514-'[2]$ зима'!p514-'[2]$ зима'!o514-'[2]$ зима'!n514-'[2]$ зима'!m514-'[2]$ зима'!l514+'[2]$ зима'!q514+'[2]$ зима'!w514+'[2]$ зима'!ac514+'[2]$ зима'!ai514+'[2]$ зима'!ao514+'[2]$ зима'!k514</f>
        <v>12</v>
      </c>
      <c r="I514" s="191" t="n">
        <f aca="false">'[2]$ зима'!ay514*1.1</f>
        <v>1509.2</v>
      </c>
      <c r="J514" s="171" t="n">
        <v>2018</v>
      </c>
    </row>
    <row r="515" customFormat="false" ht="15" hidden="false" customHeight="false" outlineLevel="0" collapsed="false">
      <c r="A515" s="188" t="s">
        <v>194</v>
      </c>
      <c r="B515" s="149" t="s">
        <v>583</v>
      </c>
      <c r="C515" s="148" t="s">
        <v>3313</v>
      </c>
      <c r="D515" s="148"/>
      <c r="E515" s="192"/>
      <c r="F515" s="192"/>
      <c r="G515" s="193"/>
      <c r="H515" s="105" t="n">
        <f aca="false">'[2]$ зима'!j515-'[2]$ зима'!au515-'[2]$ зима'!at515-'[2]$ зима'!as515-'[2]$ зима'!ar515-'[2]$ зима'!aq515-'[2]$ зима'!ap515-'[2]$ зима'!an515-'[2]$ зима'!am515-'[2]$ зима'!al515-'[2]$ зима'!ak515-'[2]$ зима'!aj515-'[2]$ зима'!ah515-'[2]$ зима'!ag515-'[2]$ зима'!af515-'[2]$ зима'!ae515-'[2]$ зима'!ad515-'[2]$ зима'!ab515-'[2]$ зима'!aa515-'[2]$ зима'!z515-'[2]$ зима'!y515-'[2]$ зима'!x515-'[2]$ зима'!v515-'[2]$ зима'!u515-'[2]$ зима'!t515-'[2]$ зима'!s515-'[2]$ зима'!r515-'[2]$ зима'!p515-'[2]$ зима'!o515-'[2]$ зима'!n515-'[2]$ зима'!m515-'[2]$ зима'!l515+'[2]$ зима'!q515+'[2]$ зима'!w515+'[2]$ зима'!ac515+'[2]$ зима'!ai515+'[2]$ зима'!ao515+'[2]$ зима'!k515</f>
        <v>2</v>
      </c>
      <c r="I515" s="191" t="n">
        <f aca="false">'[2]$ зима'!ay515*1.1</f>
        <v>1694</v>
      </c>
    </row>
    <row r="516" customFormat="false" ht="15" hidden="true" customHeight="false" outlineLevel="0" collapsed="false">
      <c r="A516" s="188" t="s">
        <v>194</v>
      </c>
      <c r="B516" s="149" t="s">
        <v>593</v>
      </c>
      <c r="C516" s="148" t="s">
        <v>3188</v>
      </c>
      <c r="D516" s="148"/>
      <c r="E516" s="148"/>
      <c r="F516" s="148"/>
      <c r="G516" s="193"/>
      <c r="H516" s="105" t="n">
        <f aca="false">'[2]$ зима'!j516-'[2]$ зима'!au516-'[2]$ зима'!at516-'[2]$ зима'!as516-'[2]$ зима'!ar516-'[2]$ зима'!aq516-'[2]$ зима'!ap516-'[2]$ зима'!an516-'[2]$ зима'!am516-'[2]$ зима'!al516-'[2]$ зима'!ak516-'[2]$ зима'!aj516-'[2]$ зима'!ah516-'[2]$ зима'!ag516-'[2]$ зима'!af516-'[2]$ зима'!ae516-'[2]$ зима'!ad516-'[2]$ зима'!ab516-'[2]$ зима'!aa516-'[2]$ зима'!z516-'[2]$ зима'!y516-'[2]$ зима'!x516-'[2]$ зима'!v516-'[2]$ зима'!u516-'[2]$ зима'!t516-'[2]$ зима'!s516-'[2]$ зима'!r516-'[2]$ зима'!p516-'[2]$ зима'!o516-'[2]$ зима'!n516-'[2]$ зима'!m516-'[2]$ зима'!l516+'[2]$ зима'!q516+'[2]$ зима'!w516+'[2]$ зима'!ac516+'[2]$ зима'!ai516+'[2]$ зима'!ao516+'[2]$ зима'!k516</f>
        <v>0</v>
      </c>
      <c r="I516" s="191" t="n">
        <f aca="false">'[2]$ зима'!ay516*1.1</f>
        <v>2156</v>
      </c>
    </row>
    <row r="517" customFormat="false" ht="15" hidden="true" customHeight="false" outlineLevel="0" collapsed="false">
      <c r="A517" s="188" t="s">
        <v>194</v>
      </c>
      <c r="B517" s="149" t="s">
        <v>3142</v>
      </c>
      <c r="C517" s="148" t="s">
        <v>3382</v>
      </c>
      <c r="D517" s="148"/>
      <c r="E517" s="148"/>
      <c r="F517" s="148"/>
      <c r="G517" s="193"/>
      <c r="H517" s="105" t="n">
        <f aca="false">'[2]$ зима'!j517-'[2]$ зима'!au517-'[2]$ зима'!at517-'[2]$ зима'!as517-'[2]$ зима'!ar517-'[2]$ зима'!aq517-'[2]$ зима'!ap517-'[2]$ зима'!an517-'[2]$ зима'!am517-'[2]$ зима'!al517-'[2]$ зима'!ak517-'[2]$ зима'!aj517-'[2]$ зима'!ah517-'[2]$ зима'!ag517-'[2]$ зима'!af517-'[2]$ зима'!ae517-'[2]$ зима'!ad517-'[2]$ зима'!ab517-'[2]$ зима'!aa517-'[2]$ зима'!z517-'[2]$ зима'!y517-'[2]$ зима'!x517-'[2]$ зима'!v517-'[2]$ зима'!u517-'[2]$ зима'!t517-'[2]$ зима'!s517-'[2]$ зима'!r517-'[2]$ зима'!p517-'[2]$ зима'!o517-'[2]$ зима'!n517-'[2]$ зима'!m517-'[2]$ зима'!l517+'[2]$ зима'!q517+'[2]$ зима'!w517+'[2]$ зима'!ac517+'[2]$ зима'!ai517+'[2]$ зима'!ao517+'[2]$ зима'!k517</f>
        <v>0</v>
      </c>
      <c r="I517" s="191" t="n">
        <f aca="false">'[2]$ зима'!ay517*1.1</f>
        <v>1386</v>
      </c>
    </row>
    <row r="518" customFormat="false" ht="15" hidden="false" customHeight="false" outlineLevel="0" collapsed="false">
      <c r="A518" s="188" t="s">
        <v>194</v>
      </c>
      <c r="B518" s="149" t="s">
        <v>589</v>
      </c>
      <c r="C518" s="148" t="s">
        <v>3269</v>
      </c>
      <c r="D518" s="148"/>
      <c r="E518" s="148" t="n">
        <v>95</v>
      </c>
      <c r="F518" s="148" t="s">
        <v>3383</v>
      </c>
      <c r="G518" s="193" t="s">
        <v>626</v>
      </c>
      <c r="H518" s="105" t="n">
        <f aca="false">'[2]$ зима'!j518-'[2]$ зима'!au518-'[2]$ зима'!at518-'[2]$ зима'!as518-'[2]$ зима'!ar518-'[2]$ зима'!aq518-'[2]$ зима'!ap518-'[2]$ зима'!an518-'[2]$ зима'!am518-'[2]$ зима'!al518-'[2]$ зима'!ak518-'[2]$ зима'!aj518-'[2]$ зима'!ah518-'[2]$ зима'!ag518-'[2]$ зима'!af518-'[2]$ зима'!ae518-'[2]$ зима'!ad518-'[2]$ зима'!ab518-'[2]$ зима'!aa518-'[2]$ зима'!z518-'[2]$ зима'!y518-'[2]$ зима'!x518-'[2]$ зима'!v518-'[2]$ зима'!u518-'[2]$ зима'!t518-'[2]$ зима'!s518-'[2]$ зима'!r518-'[2]$ зима'!p518-'[2]$ зима'!o518-'[2]$ зима'!n518-'[2]$ зима'!m518-'[2]$ зима'!l518+'[2]$ зима'!q518+'[2]$ зима'!w518+'[2]$ зима'!ac518+'[2]$ зима'!ai518+'[2]$ зима'!ao518+'[2]$ зима'!k518</f>
        <v>4</v>
      </c>
      <c r="I518" s="191" t="n">
        <f aca="false">'[2]$ зима'!ay518*1.1</f>
        <v>2210.23</v>
      </c>
      <c r="J518" s="171" t="n">
        <v>2018</v>
      </c>
    </row>
    <row r="519" customFormat="false" ht="15" hidden="true" customHeight="false" outlineLevel="0" collapsed="false">
      <c r="A519" s="188" t="s">
        <v>194</v>
      </c>
      <c r="B519" s="149" t="s">
        <v>981</v>
      </c>
      <c r="C519" s="148" t="s">
        <v>3384</v>
      </c>
      <c r="D519" s="148"/>
      <c r="E519" s="148"/>
      <c r="F519" s="148"/>
      <c r="G519" s="193"/>
      <c r="H519" s="105" t="n">
        <f aca="false">'[2]$ зима'!j519-'[2]$ зима'!au519-'[2]$ зима'!at519-'[2]$ зима'!as519-'[2]$ зима'!ar519-'[2]$ зима'!aq519-'[2]$ зима'!ap519-'[2]$ зима'!an519-'[2]$ зима'!am519-'[2]$ зима'!al519-'[2]$ зима'!ak519-'[2]$ зима'!aj519-'[2]$ зима'!ah519-'[2]$ зима'!ag519-'[2]$ зима'!af519-'[2]$ зима'!ae519-'[2]$ зима'!ad519-'[2]$ зима'!ab519-'[2]$ зима'!aa519-'[2]$ зима'!z519-'[2]$ зима'!y519-'[2]$ зима'!x519-'[2]$ зима'!v519-'[2]$ зима'!u519-'[2]$ зима'!t519-'[2]$ зима'!s519-'[2]$ зима'!r519-'[2]$ зима'!p519-'[2]$ зима'!o519-'[2]$ зима'!n519-'[2]$ зима'!m519-'[2]$ зима'!l519+'[2]$ зима'!q519+'[2]$ зима'!w519+'[2]$ зима'!ac519+'[2]$ зима'!ai519+'[2]$ зима'!ao519+'[2]$ зима'!k519</f>
        <v>0</v>
      </c>
      <c r="I519" s="191" t="n">
        <f aca="false">'[2]$ зима'!ay519*1.1</f>
        <v>1386</v>
      </c>
    </row>
    <row r="520" customFormat="false" ht="15" hidden="true" customHeight="false" outlineLevel="0" collapsed="false">
      <c r="A520" s="188" t="s">
        <v>194</v>
      </c>
      <c r="B520" s="149" t="s">
        <v>1028</v>
      </c>
      <c r="C520" s="148" t="s">
        <v>3385</v>
      </c>
      <c r="D520" s="148"/>
      <c r="E520" s="148"/>
      <c r="F520" s="148"/>
      <c r="G520" s="193" t="s">
        <v>876</v>
      </c>
      <c r="H520" s="105" t="n">
        <f aca="false">'[2]$ зима'!j520-'[2]$ зима'!au520-'[2]$ зима'!at520-'[2]$ зима'!as520-'[2]$ зима'!ar520-'[2]$ зима'!aq520-'[2]$ зима'!ap520-'[2]$ зима'!an520-'[2]$ зима'!am520-'[2]$ зима'!al520-'[2]$ зима'!ak520-'[2]$ зима'!aj520-'[2]$ зима'!ah520-'[2]$ зима'!ag520-'[2]$ зима'!af520-'[2]$ зима'!ae520-'[2]$ зима'!ad520-'[2]$ зима'!ab520-'[2]$ зима'!aa520-'[2]$ зима'!z520-'[2]$ зима'!y520-'[2]$ зима'!x520-'[2]$ зима'!v520-'[2]$ зима'!u520-'[2]$ зима'!t520-'[2]$ зима'!s520-'[2]$ зима'!r520-'[2]$ зима'!p520-'[2]$ зима'!o520-'[2]$ зима'!n520-'[2]$ зима'!m520-'[2]$ зима'!l520+'[2]$ зима'!q520+'[2]$ зима'!w520+'[2]$ зима'!ac520+'[2]$ зима'!ai520+'[2]$ зима'!ao520+'[2]$ зима'!k520</f>
        <v>0</v>
      </c>
      <c r="I520" s="191" t="n">
        <f aca="false">'[2]$ зима'!ay520*1.1</f>
        <v>1909.6</v>
      </c>
      <c r="J520" s="171" t="n">
        <v>2017</v>
      </c>
    </row>
    <row r="521" customFormat="false" ht="15" hidden="false" customHeight="false" outlineLevel="0" collapsed="false">
      <c r="A521" s="188" t="s">
        <v>198</v>
      </c>
      <c r="B521" s="149" t="s">
        <v>606</v>
      </c>
      <c r="C521" s="148" t="s">
        <v>3386</v>
      </c>
      <c r="D521" s="148"/>
      <c r="E521" s="192" t="n">
        <v>97</v>
      </c>
      <c r="F521" s="192" t="s">
        <v>562</v>
      </c>
      <c r="G521" s="193" t="s">
        <v>857</v>
      </c>
      <c r="H521" s="105" t="n">
        <f aca="false">'[2]$ зима'!j521-'[2]$ зима'!au521-'[2]$ зима'!at521-'[2]$ зима'!as521-'[2]$ зима'!ar521-'[2]$ зима'!aq521-'[2]$ зима'!ap521-'[2]$ зима'!an521-'[2]$ зима'!am521-'[2]$ зима'!al521-'[2]$ зима'!ak521-'[2]$ зима'!aj521-'[2]$ зима'!ah521-'[2]$ зима'!ag521-'[2]$ зима'!af521-'[2]$ зима'!ae521-'[2]$ зима'!ad521-'[2]$ зима'!ab521-'[2]$ зима'!aa521-'[2]$ зима'!z521-'[2]$ зима'!y521-'[2]$ зима'!x521-'[2]$ зима'!v521-'[2]$ зима'!u521-'[2]$ зима'!t521-'[2]$ зима'!s521-'[2]$ зима'!r521-'[2]$ зима'!p521-'[2]$ зима'!o521-'[2]$ зима'!n521-'[2]$ зима'!m521-'[2]$ зима'!l521+'[2]$ зима'!q521+'[2]$ зима'!w521+'[2]$ зима'!ac521+'[2]$ зима'!ai521+'[2]$ зима'!ao521+'[2]$ зима'!k521</f>
        <v>8</v>
      </c>
      <c r="I521" s="191" t="n">
        <f aca="false">'[2]$ зима'!ay521*1.1</f>
        <v>2094.4</v>
      </c>
      <c r="J521" s="171" t="n">
        <v>2018</v>
      </c>
    </row>
    <row r="522" customFormat="false" ht="15" hidden="false" customHeight="false" outlineLevel="0" collapsed="false">
      <c r="A522" s="188" t="s">
        <v>198</v>
      </c>
      <c r="B522" s="149" t="s">
        <v>577</v>
      </c>
      <c r="C522" s="148" t="s">
        <v>3234</v>
      </c>
      <c r="D522" s="148"/>
      <c r="E522" s="192" t="n">
        <v>97</v>
      </c>
      <c r="F522" s="192" t="s">
        <v>562</v>
      </c>
      <c r="G522" s="193" t="s">
        <v>563</v>
      </c>
      <c r="H522" s="105" t="n">
        <f aca="false">'[2]$ зима'!j522-'[2]$ зима'!au522-'[2]$ зима'!at522-'[2]$ зима'!as522-'[2]$ зима'!ar522-'[2]$ зима'!aq522-'[2]$ зима'!ap522-'[2]$ зима'!an522-'[2]$ зима'!am522-'[2]$ зима'!al522-'[2]$ зима'!ak522-'[2]$ зима'!aj522-'[2]$ зима'!ah522-'[2]$ зима'!ag522-'[2]$ зима'!af522-'[2]$ зима'!ae522-'[2]$ зима'!ad522-'[2]$ зима'!ab522-'[2]$ зима'!aa522-'[2]$ зима'!z522-'[2]$ зима'!y522-'[2]$ зима'!x522-'[2]$ зима'!v522-'[2]$ зима'!u522-'[2]$ зима'!t522-'[2]$ зима'!s522-'[2]$ зима'!r522-'[2]$ зима'!p522-'[2]$ зима'!o522-'[2]$ зима'!n522-'[2]$ зима'!m522-'[2]$ зима'!l522+'[2]$ зима'!q522+'[2]$ зима'!w522+'[2]$ зима'!ac522+'[2]$ зима'!ai522+'[2]$ зима'!ao522+'[2]$ зима'!k522</f>
        <v>8</v>
      </c>
      <c r="I522" s="191" t="n">
        <f aca="false">'[2]$ зима'!ay522*1.1</f>
        <v>1848</v>
      </c>
      <c r="J522" s="171" t="n">
        <v>2018</v>
      </c>
    </row>
    <row r="523" customFormat="false" ht="15" hidden="false" customHeight="false" outlineLevel="0" collapsed="false">
      <c r="A523" s="188" t="s">
        <v>1053</v>
      </c>
      <c r="B523" s="149" t="s">
        <v>1487</v>
      </c>
      <c r="C523" s="148" t="s">
        <v>3387</v>
      </c>
      <c r="D523" s="148"/>
      <c r="E523" s="192"/>
      <c r="F523" s="192"/>
      <c r="G523" s="193"/>
      <c r="H523" s="105" t="n">
        <f aca="false">'[2]$ зима'!j523-'[2]$ зима'!au523-'[2]$ зима'!at523-'[2]$ зима'!as523-'[2]$ зима'!ar523-'[2]$ зима'!aq523-'[2]$ зима'!ap523-'[2]$ зима'!an523-'[2]$ зима'!am523-'[2]$ зима'!al523-'[2]$ зима'!ak523-'[2]$ зима'!aj523-'[2]$ зима'!ah523-'[2]$ зима'!ag523-'[2]$ зима'!af523-'[2]$ зима'!ae523-'[2]$ зима'!ad523-'[2]$ зима'!ab523-'[2]$ зима'!aa523-'[2]$ зима'!z523-'[2]$ зима'!y523-'[2]$ зима'!x523-'[2]$ зима'!v523-'[2]$ зима'!u523-'[2]$ зима'!t523-'[2]$ зима'!s523-'[2]$ зима'!r523-'[2]$ зима'!p523-'[2]$ зима'!o523-'[2]$ зима'!n523-'[2]$ зима'!m523-'[2]$ зима'!l523+'[2]$ зима'!q523+'[2]$ зима'!w523+'[2]$ зима'!ac523+'[2]$ зима'!ai523+'[2]$ зима'!ao523+'[2]$ зима'!k523</f>
        <v>4</v>
      </c>
      <c r="I523" s="191" t="n">
        <f aca="false">'[2]$ зима'!ay523*1.1</f>
        <v>1540</v>
      </c>
    </row>
    <row r="524" customFormat="false" ht="15" hidden="true" customHeight="false" outlineLevel="0" collapsed="false">
      <c r="A524" s="188" t="s">
        <v>1057</v>
      </c>
      <c r="B524" s="149" t="s">
        <v>606</v>
      </c>
      <c r="C524" s="148" t="s">
        <v>3388</v>
      </c>
      <c r="D524" s="148"/>
      <c r="E524" s="148" t="n">
        <v>98</v>
      </c>
      <c r="F524" s="148" t="s">
        <v>562</v>
      </c>
      <c r="G524" s="193"/>
      <c r="H524" s="105" t="n">
        <f aca="false">'[2]$ зима'!j524-'[2]$ зима'!au524-'[2]$ зима'!at524-'[2]$ зима'!as524-'[2]$ зима'!ar524-'[2]$ зима'!aq524-'[2]$ зима'!ap524-'[2]$ зима'!an524-'[2]$ зима'!am524-'[2]$ зима'!al524-'[2]$ зима'!ak524-'[2]$ зима'!aj524-'[2]$ зима'!ah524-'[2]$ зима'!ag524-'[2]$ зима'!af524-'[2]$ зима'!ae524-'[2]$ зима'!ad524-'[2]$ зима'!ab524-'[2]$ зима'!aa524-'[2]$ зима'!z524-'[2]$ зима'!y524-'[2]$ зима'!x524-'[2]$ зима'!v524-'[2]$ зима'!u524-'[2]$ зима'!t524-'[2]$ зима'!s524-'[2]$ зима'!r524-'[2]$ зима'!p524-'[2]$ зима'!o524-'[2]$ зима'!n524-'[2]$ зима'!m524-'[2]$ зима'!l524+'[2]$ зима'!q524+'[2]$ зима'!w524+'[2]$ зима'!ac524+'[2]$ зима'!ai524+'[2]$ зима'!ao524+'[2]$ зима'!k524</f>
        <v>0</v>
      </c>
      <c r="I524" s="191" t="n">
        <f aca="false">'[2]$ зима'!ay524*1.1</f>
        <v>2063.6</v>
      </c>
      <c r="J524" s="171" t="n">
        <v>2017</v>
      </c>
    </row>
    <row r="525" customFormat="false" ht="15" hidden="true" customHeight="false" outlineLevel="0" collapsed="false">
      <c r="A525" s="188" t="s">
        <v>1057</v>
      </c>
      <c r="B525" s="149" t="s">
        <v>668</v>
      </c>
      <c r="C525" s="148" t="s">
        <v>3264</v>
      </c>
      <c r="D525" s="148" t="s">
        <v>3127</v>
      </c>
      <c r="E525" s="148"/>
      <c r="F525" s="148"/>
      <c r="G525" s="193"/>
      <c r="H525" s="105" t="n">
        <f aca="false">'[2]$ зима'!j525-'[2]$ зима'!au525-'[2]$ зима'!at525-'[2]$ зима'!as525-'[2]$ зима'!ar525-'[2]$ зима'!aq525-'[2]$ зима'!ap525-'[2]$ зима'!an525-'[2]$ зима'!am525-'[2]$ зима'!al525-'[2]$ зима'!ak525-'[2]$ зима'!aj525-'[2]$ зима'!ah525-'[2]$ зима'!ag525-'[2]$ зима'!af525-'[2]$ зима'!ae525-'[2]$ зима'!ad525-'[2]$ зима'!ab525-'[2]$ зима'!aa525-'[2]$ зима'!z525-'[2]$ зима'!y525-'[2]$ зима'!x525-'[2]$ зима'!v525-'[2]$ зима'!u525-'[2]$ зима'!t525-'[2]$ зима'!s525-'[2]$ зима'!r525-'[2]$ зима'!p525-'[2]$ зима'!o525-'[2]$ зима'!n525-'[2]$ зима'!m525-'[2]$ зима'!l525+'[2]$ зима'!q525+'[2]$ зима'!w525+'[2]$ зима'!ac525+'[2]$ зима'!ai525+'[2]$ зима'!ao525+'[2]$ зима'!k525</f>
        <v>0</v>
      </c>
      <c r="I525" s="191" t="n">
        <f aca="false">'[2]$ зима'!ay525*1.1</f>
        <v>1786.4</v>
      </c>
    </row>
    <row r="526" customFormat="false" ht="15" hidden="true" customHeight="false" outlineLevel="0" collapsed="false">
      <c r="A526" s="188" t="s">
        <v>1057</v>
      </c>
      <c r="B526" s="149" t="s">
        <v>3142</v>
      </c>
      <c r="C526" s="148" t="s">
        <v>3389</v>
      </c>
      <c r="D526" s="148"/>
      <c r="E526" s="148"/>
      <c r="F526" s="148"/>
      <c r="G526" s="193"/>
      <c r="H526" s="105" t="n">
        <f aca="false">'[2]$ зима'!j526-'[2]$ зима'!au526-'[2]$ зима'!at526-'[2]$ зима'!as526-'[2]$ зима'!ar526-'[2]$ зима'!aq526-'[2]$ зима'!ap526-'[2]$ зима'!an526-'[2]$ зима'!am526-'[2]$ зима'!al526-'[2]$ зима'!ak526-'[2]$ зима'!aj526-'[2]$ зима'!ah526-'[2]$ зима'!ag526-'[2]$ зима'!af526-'[2]$ зима'!ae526-'[2]$ зима'!ad526-'[2]$ зима'!ab526-'[2]$ зима'!aa526-'[2]$ зима'!z526-'[2]$ зима'!y526-'[2]$ зима'!x526-'[2]$ зима'!v526-'[2]$ зима'!u526-'[2]$ зима'!t526-'[2]$ зима'!s526-'[2]$ зима'!r526-'[2]$ зима'!p526-'[2]$ зима'!o526-'[2]$ зима'!n526-'[2]$ зима'!m526-'[2]$ зима'!l526+'[2]$ зима'!q526+'[2]$ зима'!w526+'[2]$ зима'!ac526+'[2]$ зима'!ai526+'[2]$ зима'!ao526+'[2]$ зима'!k526</f>
        <v>0</v>
      </c>
      <c r="I526" s="191" t="n">
        <f aca="false">'[2]$ зима'!ay526*1.1</f>
        <v>1540</v>
      </c>
    </row>
    <row r="527" customFormat="false" ht="15" hidden="true" customHeight="false" outlineLevel="0" collapsed="false">
      <c r="A527" s="188" t="s">
        <v>1057</v>
      </c>
      <c r="B527" s="149" t="s">
        <v>593</v>
      </c>
      <c r="C527" s="148" t="s">
        <v>3237</v>
      </c>
      <c r="D527" s="148"/>
      <c r="E527" s="148"/>
      <c r="F527" s="148"/>
      <c r="G527" s="193"/>
      <c r="H527" s="105" t="n">
        <f aca="false">'[2]$ зима'!j527-'[2]$ зима'!au527-'[2]$ зима'!at527-'[2]$ зима'!as527-'[2]$ зима'!ar527-'[2]$ зима'!aq527-'[2]$ зима'!ap527-'[2]$ зима'!an527-'[2]$ зима'!am527-'[2]$ зима'!al527-'[2]$ зима'!ak527-'[2]$ зима'!aj527-'[2]$ зима'!ah527-'[2]$ зима'!ag527-'[2]$ зима'!af527-'[2]$ зима'!ae527-'[2]$ зима'!ad527-'[2]$ зима'!ab527-'[2]$ зима'!aa527-'[2]$ зима'!z527-'[2]$ зима'!y527-'[2]$ зима'!x527-'[2]$ зима'!v527-'[2]$ зима'!u527-'[2]$ зима'!t527-'[2]$ зима'!s527-'[2]$ зима'!r527-'[2]$ зима'!p527-'[2]$ зима'!o527-'[2]$ зима'!n527-'[2]$ зима'!m527-'[2]$ зима'!l527+'[2]$ зима'!q527+'[2]$ зима'!w527+'[2]$ зима'!ac527+'[2]$ зима'!ai527+'[2]$ зима'!ao527+'[2]$ зима'!k527</f>
        <v>0</v>
      </c>
      <c r="I527" s="191" t="n">
        <f aca="false">'[2]$ зима'!ay527*1.1</f>
        <v>1971.2</v>
      </c>
      <c r="J527" s="171" t="s">
        <v>1188</v>
      </c>
    </row>
    <row r="528" customFormat="false" ht="15" hidden="true" customHeight="false" outlineLevel="0" collapsed="false">
      <c r="A528" s="188" t="s">
        <v>1057</v>
      </c>
      <c r="B528" s="149" t="s">
        <v>677</v>
      </c>
      <c r="C528" s="194" t="s">
        <v>3136</v>
      </c>
      <c r="D528" s="148"/>
      <c r="E528" s="148"/>
      <c r="F528" s="148"/>
      <c r="G528" s="193"/>
      <c r="H528" s="105" t="n">
        <f aca="false">'[2]$ зима'!j528-'[2]$ зима'!au528-'[2]$ зима'!at528-'[2]$ зима'!as528-'[2]$ зима'!ar528-'[2]$ зима'!aq528-'[2]$ зима'!ap528-'[2]$ зима'!an528-'[2]$ зима'!am528-'[2]$ зима'!al528-'[2]$ зима'!ak528-'[2]$ зима'!aj528-'[2]$ зима'!ah528-'[2]$ зима'!ag528-'[2]$ зима'!af528-'[2]$ зима'!ae528-'[2]$ зима'!ad528-'[2]$ зима'!ab528-'[2]$ зима'!aa528-'[2]$ зима'!z528-'[2]$ зима'!y528-'[2]$ зима'!x528-'[2]$ зима'!v528-'[2]$ зима'!u528-'[2]$ зима'!t528-'[2]$ зима'!s528-'[2]$ зима'!r528-'[2]$ зима'!p528-'[2]$ зима'!o528-'[2]$ зима'!n528-'[2]$ зима'!m528-'[2]$ зима'!l528+'[2]$ зима'!q528+'[2]$ зима'!w528+'[2]$ зима'!ac528+'[2]$ зима'!ai528+'[2]$ зима'!ao528+'[2]$ зима'!k528</f>
        <v>0</v>
      </c>
      <c r="I528" s="191" t="n">
        <f aca="false">'[2]$ зима'!ay528*1.1</f>
        <v>1786.4</v>
      </c>
      <c r="J528" s="171" t="n">
        <v>2017</v>
      </c>
    </row>
    <row r="529" customFormat="false" ht="15" hidden="true" customHeight="false" outlineLevel="0" collapsed="false">
      <c r="A529" s="188" t="s">
        <v>1057</v>
      </c>
      <c r="B529" s="149" t="s">
        <v>1028</v>
      </c>
      <c r="C529" s="148" t="s">
        <v>3176</v>
      </c>
      <c r="D529" s="148"/>
      <c r="E529" s="148"/>
      <c r="F529" s="148"/>
      <c r="G529" s="193"/>
      <c r="H529" s="105" t="n">
        <f aca="false">'[2]$ зима'!j529-'[2]$ зима'!au529-'[2]$ зима'!at529-'[2]$ зима'!as529-'[2]$ зима'!ar529-'[2]$ зима'!aq529-'[2]$ зима'!ap529-'[2]$ зима'!an529-'[2]$ зима'!am529-'[2]$ зима'!al529-'[2]$ зима'!ak529-'[2]$ зима'!aj529-'[2]$ зима'!ah529-'[2]$ зима'!ag529-'[2]$ зима'!af529-'[2]$ зима'!ae529-'[2]$ зима'!ad529-'[2]$ зима'!ab529-'[2]$ зима'!aa529-'[2]$ зима'!z529-'[2]$ зима'!y529-'[2]$ зима'!x529-'[2]$ зима'!v529-'[2]$ зима'!u529-'[2]$ зима'!t529-'[2]$ зима'!s529-'[2]$ зима'!r529-'[2]$ зима'!p529-'[2]$ зима'!o529-'[2]$ зима'!n529-'[2]$ зима'!m529-'[2]$ зима'!l529+'[2]$ зима'!q529+'[2]$ зима'!w529+'[2]$ зима'!ac529+'[2]$ зима'!ai529+'[2]$ зима'!ao529+'[2]$ зима'!k529</f>
        <v>0</v>
      </c>
      <c r="I529" s="191" t="n">
        <f aca="false">'[2]$ зима'!ay529*1.1</f>
        <v>2926</v>
      </c>
    </row>
    <row r="530" customFormat="false" ht="15" hidden="true" customHeight="false" outlineLevel="0" collapsed="false">
      <c r="A530" s="188" t="s">
        <v>1057</v>
      </c>
      <c r="B530" s="149" t="s">
        <v>1176</v>
      </c>
      <c r="C530" s="148" t="s">
        <v>3390</v>
      </c>
      <c r="D530" s="148"/>
      <c r="E530" s="148"/>
      <c r="F530" s="148"/>
      <c r="G530" s="193"/>
      <c r="H530" s="105" t="n">
        <f aca="false">'[2]$ зима'!j530-'[2]$ зима'!au530-'[2]$ зима'!at530-'[2]$ зима'!as530-'[2]$ зима'!ar530-'[2]$ зима'!aq530-'[2]$ зима'!ap530-'[2]$ зима'!an530-'[2]$ зима'!am530-'[2]$ зима'!al530-'[2]$ зима'!ak530-'[2]$ зима'!aj530-'[2]$ зима'!ah530-'[2]$ зима'!ag530-'[2]$ зима'!af530-'[2]$ зима'!ae530-'[2]$ зима'!ad530-'[2]$ зима'!ab530-'[2]$ зима'!aa530-'[2]$ зима'!z530-'[2]$ зима'!y530-'[2]$ зима'!x530-'[2]$ зима'!v530-'[2]$ зима'!u530-'[2]$ зима'!t530-'[2]$ зима'!s530-'[2]$ зима'!r530-'[2]$ зима'!p530-'[2]$ зима'!o530-'[2]$ зима'!n530-'[2]$ зима'!m530-'[2]$ зима'!l530+'[2]$ зима'!q530+'[2]$ зима'!w530+'[2]$ зима'!ac530+'[2]$ зима'!ai530+'[2]$ зима'!ao530+'[2]$ зима'!k530</f>
        <v>0</v>
      </c>
      <c r="I530" s="191" t="n">
        <f aca="false">'[2]$ зима'!ay530*1.1</f>
        <v>1570.8</v>
      </c>
    </row>
    <row r="531" customFormat="false" ht="15" hidden="true" customHeight="false" outlineLevel="0" collapsed="false">
      <c r="A531" s="188" t="s">
        <v>1067</v>
      </c>
      <c r="B531" s="149" t="s">
        <v>844</v>
      </c>
      <c r="C531" s="148" t="s">
        <v>3391</v>
      </c>
      <c r="D531" s="148"/>
      <c r="E531" s="148"/>
      <c r="F531" s="148"/>
      <c r="G531" s="193"/>
      <c r="H531" s="105" t="n">
        <f aca="false">'[2]$ зима'!j531-'[2]$ зима'!au531-'[2]$ зима'!at531-'[2]$ зима'!as531-'[2]$ зима'!ar531-'[2]$ зима'!aq531-'[2]$ зима'!ap531-'[2]$ зима'!an531-'[2]$ зима'!am531-'[2]$ зима'!al531-'[2]$ зима'!ak531-'[2]$ зима'!aj531-'[2]$ зима'!ah531-'[2]$ зима'!ag531-'[2]$ зима'!af531-'[2]$ зима'!ae531-'[2]$ зима'!ad531-'[2]$ зима'!ab531-'[2]$ зима'!aa531-'[2]$ зима'!z531-'[2]$ зима'!y531-'[2]$ зима'!x531-'[2]$ зима'!v531-'[2]$ зима'!u531-'[2]$ зима'!t531-'[2]$ зима'!s531-'[2]$ зима'!r531-'[2]$ зима'!p531-'[2]$ зима'!o531-'[2]$ зима'!n531-'[2]$ зима'!m531-'[2]$ зима'!l531+'[2]$ зима'!q531+'[2]$ зима'!w531+'[2]$ зима'!ac531+'[2]$ зима'!ai531+'[2]$ зима'!ao531+'[2]$ зима'!k531</f>
        <v>0</v>
      </c>
      <c r="I531" s="191" t="n">
        <f aca="false">'[2]$ зима'!ay531*1.1</f>
        <v>2464</v>
      </c>
    </row>
    <row r="532" customFormat="false" ht="15" hidden="true" customHeight="false" outlineLevel="0" collapsed="false">
      <c r="A532" s="188" t="s">
        <v>1067</v>
      </c>
      <c r="B532" s="149" t="s">
        <v>741</v>
      </c>
      <c r="C532" s="148" t="s">
        <v>3276</v>
      </c>
      <c r="D532" s="148"/>
      <c r="E532" s="148"/>
      <c r="F532" s="148"/>
      <c r="G532" s="193"/>
      <c r="H532" s="105" t="n">
        <f aca="false">'[2]$ зима'!j532-'[2]$ зима'!au532-'[2]$ зима'!at532-'[2]$ зима'!as532-'[2]$ зима'!ar532-'[2]$ зима'!aq532-'[2]$ зима'!ap532-'[2]$ зима'!an532-'[2]$ зима'!am532-'[2]$ зима'!al532-'[2]$ зима'!ak532-'[2]$ зима'!aj532-'[2]$ зима'!ah532-'[2]$ зима'!ag532-'[2]$ зима'!af532-'[2]$ зима'!ae532-'[2]$ зима'!ad532-'[2]$ зима'!ab532-'[2]$ зима'!aa532-'[2]$ зима'!z532-'[2]$ зима'!y532-'[2]$ зима'!x532-'[2]$ зима'!v532-'[2]$ зима'!u532-'[2]$ зима'!t532-'[2]$ зима'!s532-'[2]$ зима'!r532-'[2]$ зима'!p532-'[2]$ зима'!o532-'[2]$ зима'!n532-'[2]$ зима'!m532-'[2]$ зима'!l532+'[2]$ зима'!q532+'[2]$ зима'!w532+'[2]$ зима'!ac532+'[2]$ зима'!ai532+'[2]$ зима'!ao532+'[2]$ зима'!k532</f>
        <v>0</v>
      </c>
      <c r="I532" s="191" t="n">
        <f aca="false">'[2]$ зима'!ay532*1.1</f>
        <v>1694</v>
      </c>
    </row>
    <row r="533" customFormat="false" ht="15" hidden="true" customHeight="false" outlineLevel="0" collapsed="false">
      <c r="A533" s="188" t="s">
        <v>1067</v>
      </c>
      <c r="B533" s="149" t="s">
        <v>606</v>
      </c>
      <c r="C533" s="148" t="s">
        <v>3392</v>
      </c>
      <c r="D533" s="148"/>
      <c r="E533" s="148" t="n">
        <v>98</v>
      </c>
      <c r="F533" s="148" t="s">
        <v>562</v>
      </c>
      <c r="G533" s="193"/>
      <c r="H533" s="105" t="n">
        <f aca="false">'[2]$ зима'!j533-'[2]$ зима'!au533-'[2]$ зима'!at533-'[2]$ зима'!as533-'[2]$ зима'!ar533-'[2]$ зима'!aq533-'[2]$ зима'!ap533-'[2]$ зима'!an533-'[2]$ зима'!am533-'[2]$ зима'!al533-'[2]$ зима'!ak533-'[2]$ зима'!aj533-'[2]$ зима'!ah533-'[2]$ зима'!ag533-'[2]$ зима'!af533-'[2]$ зима'!ae533-'[2]$ зима'!ad533-'[2]$ зима'!ab533-'[2]$ зима'!aa533-'[2]$ зима'!z533-'[2]$ зима'!y533-'[2]$ зима'!x533-'[2]$ зима'!v533-'[2]$ зима'!u533-'[2]$ зима'!t533-'[2]$ зима'!s533-'[2]$ зима'!r533-'[2]$ зима'!p533-'[2]$ зима'!o533-'[2]$ зима'!n533-'[2]$ зима'!m533-'[2]$ зима'!l533+'[2]$ зима'!q533+'[2]$ зима'!w533+'[2]$ зима'!ac533+'[2]$ зима'!ai533+'[2]$ зима'!ao533+'[2]$ зима'!k533</f>
        <v>0</v>
      </c>
      <c r="I533" s="191" t="n">
        <f aca="false">'[2]$ зима'!ay533*1.1</f>
        <v>2002</v>
      </c>
      <c r="J533" s="171" t="n">
        <v>2017</v>
      </c>
    </row>
    <row r="534" customFormat="false" ht="15" hidden="true" customHeight="false" outlineLevel="0" collapsed="false">
      <c r="A534" s="188" t="s">
        <v>1067</v>
      </c>
      <c r="B534" s="149" t="s">
        <v>606</v>
      </c>
      <c r="C534" s="148" t="s">
        <v>3393</v>
      </c>
      <c r="D534" s="148"/>
      <c r="E534" s="148" t="n">
        <v>97</v>
      </c>
      <c r="F534" s="148" t="s">
        <v>562</v>
      </c>
      <c r="G534" s="193"/>
      <c r="H534" s="105" t="n">
        <f aca="false">'[2]$ зима'!j534-'[2]$ зима'!au534-'[2]$ зима'!at534-'[2]$ зима'!as534-'[2]$ зима'!ar534-'[2]$ зима'!aq534-'[2]$ зима'!ap534-'[2]$ зима'!an534-'[2]$ зима'!am534-'[2]$ зима'!al534-'[2]$ зима'!ak534-'[2]$ зима'!aj534-'[2]$ зима'!ah534-'[2]$ зима'!ag534-'[2]$ зима'!af534-'[2]$ зима'!ae534-'[2]$ зима'!ad534-'[2]$ зима'!ab534-'[2]$ зима'!aa534-'[2]$ зима'!z534-'[2]$ зима'!y534-'[2]$ зима'!x534-'[2]$ зима'!v534-'[2]$ зима'!u534-'[2]$ зима'!t534-'[2]$ зима'!s534-'[2]$ зима'!r534-'[2]$ зима'!p534-'[2]$ зима'!o534-'[2]$ зима'!n534-'[2]$ зима'!m534-'[2]$ зима'!l534+'[2]$ зима'!q534+'[2]$ зима'!w534+'[2]$ зима'!ac534+'[2]$ зима'!ai534+'[2]$ зима'!ao534+'[2]$ зима'!k534</f>
        <v>0</v>
      </c>
      <c r="I534" s="191" t="n">
        <f aca="false">'[2]$ зима'!ay534*1.1</f>
        <v>1848</v>
      </c>
      <c r="J534" s="171" t="n">
        <v>2017</v>
      </c>
    </row>
    <row r="535" customFormat="false" ht="15" hidden="true" customHeight="false" outlineLevel="0" collapsed="false">
      <c r="A535" s="188" t="s">
        <v>1073</v>
      </c>
      <c r="B535" s="149" t="s">
        <v>981</v>
      </c>
      <c r="C535" s="148" t="s">
        <v>3394</v>
      </c>
      <c r="D535" s="148"/>
      <c r="E535" s="148"/>
      <c r="F535" s="148"/>
      <c r="G535" s="193" t="s">
        <v>1075</v>
      </c>
      <c r="H535" s="105" t="n">
        <f aca="false">'[2]$ зима'!j535-'[2]$ зима'!au535-'[2]$ зима'!at535-'[2]$ зима'!as535-'[2]$ зима'!ar535-'[2]$ зима'!aq535-'[2]$ зима'!ap535-'[2]$ зима'!an535-'[2]$ зима'!am535-'[2]$ зима'!al535-'[2]$ зима'!ak535-'[2]$ зима'!aj535-'[2]$ зима'!ah535-'[2]$ зима'!ag535-'[2]$ зима'!af535-'[2]$ зима'!ae535-'[2]$ зима'!ad535-'[2]$ зима'!ab535-'[2]$ зима'!aa535-'[2]$ зима'!z535-'[2]$ зима'!y535-'[2]$ зима'!x535-'[2]$ зима'!v535-'[2]$ зима'!u535-'[2]$ зима'!t535-'[2]$ зима'!s535-'[2]$ зима'!r535-'[2]$ зима'!p535-'[2]$ зима'!o535-'[2]$ зима'!n535-'[2]$ зима'!m535-'[2]$ зима'!l535+'[2]$ зима'!q535+'[2]$ зима'!w535+'[2]$ зима'!ac535+'[2]$ зима'!ai535+'[2]$ зима'!ao535+'[2]$ зима'!k535</f>
        <v>0</v>
      </c>
      <c r="I535" s="191" t="n">
        <f aca="false">'[2]$ зима'!ay535*1.1</f>
        <v>2002</v>
      </c>
      <c r="J535" s="171" t="n">
        <v>2014</v>
      </c>
    </row>
    <row r="536" customFormat="false" ht="15" hidden="true" customHeight="false" outlineLevel="0" collapsed="false">
      <c r="A536" s="188" t="s">
        <v>1078</v>
      </c>
      <c r="B536" s="149" t="s">
        <v>1487</v>
      </c>
      <c r="C536" s="148" t="s">
        <v>3395</v>
      </c>
      <c r="D536" s="148" t="s">
        <v>3317</v>
      </c>
      <c r="E536" s="148"/>
      <c r="F536" s="148"/>
      <c r="G536" s="193"/>
      <c r="H536" s="105" t="n">
        <f aca="false">'[2]$ зима'!j536-'[2]$ зима'!au536-'[2]$ зима'!at536-'[2]$ зима'!as536-'[2]$ зима'!ar536-'[2]$ зима'!aq536-'[2]$ зима'!ap536-'[2]$ зима'!an536-'[2]$ зима'!am536-'[2]$ зима'!al536-'[2]$ зима'!ak536-'[2]$ зима'!aj536-'[2]$ зима'!ah536-'[2]$ зима'!ag536-'[2]$ зима'!af536-'[2]$ зима'!ae536-'[2]$ зима'!ad536-'[2]$ зима'!ab536-'[2]$ зима'!aa536-'[2]$ зима'!z536-'[2]$ зима'!y536-'[2]$ зима'!x536-'[2]$ зима'!v536-'[2]$ зима'!u536-'[2]$ зима'!t536-'[2]$ зима'!s536-'[2]$ зима'!r536-'[2]$ зима'!p536-'[2]$ зима'!o536-'[2]$ зима'!n536-'[2]$ зима'!m536-'[2]$ зима'!l536+'[2]$ зима'!q536+'[2]$ зима'!w536+'[2]$ зима'!ac536+'[2]$ зима'!ai536+'[2]$ зима'!ao536+'[2]$ зима'!k536</f>
        <v>0</v>
      </c>
      <c r="I536" s="191" t="n">
        <f aca="false">'[2]$ зима'!ay536*1.1</f>
        <v>1848</v>
      </c>
    </row>
    <row r="537" customFormat="false" ht="15" hidden="true" customHeight="false" outlineLevel="0" collapsed="false">
      <c r="A537" s="188" t="s">
        <v>1078</v>
      </c>
      <c r="B537" s="149" t="s">
        <v>707</v>
      </c>
      <c r="C537" s="148" t="s">
        <v>3376</v>
      </c>
      <c r="D537" s="148"/>
      <c r="E537" s="148"/>
      <c r="F537" s="148"/>
      <c r="G537" s="193"/>
      <c r="H537" s="105" t="n">
        <f aca="false">'[2]$ зима'!j537-'[2]$ зима'!au537-'[2]$ зима'!at537-'[2]$ зима'!as537-'[2]$ зима'!ar537-'[2]$ зима'!aq537-'[2]$ зима'!ap537-'[2]$ зима'!an537-'[2]$ зима'!am537-'[2]$ зима'!al537-'[2]$ зима'!ak537-'[2]$ зима'!aj537-'[2]$ зима'!ah537-'[2]$ зима'!ag537-'[2]$ зима'!af537-'[2]$ зима'!ae537-'[2]$ зима'!ad537-'[2]$ зима'!ab537-'[2]$ зима'!aa537-'[2]$ зима'!z537-'[2]$ зима'!y537-'[2]$ зима'!x537-'[2]$ зима'!v537-'[2]$ зима'!u537-'[2]$ зима'!t537-'[2]$ зима'!s537-'[2]$ зима'!r537-'[2]$ зима'!p537-'[2]$ зима'!o537-'[2]$ зима'!n537-'[2]$ зима'!m537-'[2]$ зима'!l537+'[2]$ зима'!q537+'[2]$ зима'!w537+'[2]$ зима'!ac537+'[2]$ зима'!ai537+'[2]$ зима'!ao537+'[2]$ зима'!k537</f>
        <v>0</v>
      </c>
      <c r="I537" s="191" t="n">
        <f aca="false">'[2]$ зима'!ay537*1.1</f>
        <v>2156</v>
      </c>
    </row>
    <row r="538" customFormat="false" ht="15" hidden="true" customHeight="false" outlineLevel="0" collapsed="false">
      <c r="A538" s="210" t="s">
        <v>206</v>
      </c>
      <c r="B538" s="198" t="s">
        <v>583</v>
      </c>
      <c r="C538" s="148" t="s">
        <v>3313</v>
      </c>
      <c r="D538" s="194"/>
      <c r="E538" s="194"/>
      <c r="F538" s="194"/>
      <c r="G538" s="200"/>
      <c r="H538" s="105" t="n">
        <f aca="false">'[2]$ зима'!j538-'[2]$ зима'!au538-'[2]$ зима'!at538-'[2]$ зима'!as538-'[2]$ зима'!ar538-'[2]$ зима'!aq538-'[2]$ зима'!ap538-'[2]$ зима'!an538-'[2]$ зима'!am538-'[2]$ зима'!al538-'[2]$ зима'!ak538-'[2]$ зима'!aj538-'[2]$ зима'!ah538-'[2]$ зима'!ag538-'[2]$ зима'!af538-'[2]$ зима'!ae538-'[2]$ зима'!ad538-'[2]$ зима'!ab538-'[2]$ зима'!aa538-'[2]$ зима'!z538-'[2]$ зима'!y538-'[2]$ зима'!x538-'[2]$ зима'!v538-'[2]$ зима'!u538-'[2]$ зима'!t538-'[2]$ зима'!s538-'[2]$ зима'!r538-'[2]$ зима'!p538-'[2]$ зима'!o538-'[2]$ зима'!n538-'[2]$ зима'!m538-'[2]$ зима'!l538+'[2]$ зима'!q538+'[2]$ зима'!w538+'[2]$ зима'!ac538+'[2]$ зима'!ai538+'[2]$ зима'!ao538+'[2]$ зима'!k538</f>
        <v>0</v>
      </c>
      <c r="I538" s="191" t="n">
        <f aca="false">'[2]$ зима'!ay538*1.1</f>
        <v>1848</v>
      </c>
      <c r="J538" s="201"/>
    </row>
    <row r="539" customFormat="false" ht="15" hidden="true" customHeight="false" outlineLevel="0" collapsed="false">
      <c r="A539" s="210" t="s">
        <v>206</v>
      </c>
      <c r="B539" s="198" t="s">
        <v>621</v>
      </c>
      <c r="C539" s="148" t="s">
        <v>3396</v>
      </c>
      <c r="D539" s="148"/>
      <c r="E539" s="148"/>
      <c r="F539" s="148"/>
      <c r="G539" s="200"/>
      <c r="H539" s="105" t="n">
        <f aca="false">'[2]$ зима'!j539-'[2]$ зима'!au539-'[2]$ зима'!at539-'[2]$ зима'!as539-'[2]$ зима'!ar539-'[2]$ зима'!aq539-'[2]$ зима'!ap539-'[2]$ зима'!an539-'[2]$ зима'!am539-'[2]$ зима'!al539-'[2]$ зима'!ak539-'[2]$ зима'!aj539-'[2]$ зима'!ah539-'[2]$ зима'!ag539-'[2]$ зима'!af539-'[2]$ зима'!ae539-'[2]$ зима'!ad539-'[2]$ зима'!ab539-'[2]$ зима'!aa539-'[2]$ зима'!z539-'[2]$ зима'!y539-'[2]$ зима'!x539-'[2]$ зима'!v539-'[2]$ зима'!u539-'[2]$ зима'!t539-'[2]$ зима'!s539-'[2]$ зима'!r539-'[2]$ зима'!p539-'[2]$ зима'!o539-'[2]$ зима'!n539-'[2]$ зима'!m539-'[2]$ зима'!l539+'[2]$ зима'!q539+'[2]$ зима'!w539+'[2]$ зима'!ac539+'[2]$ зима'!ai539+'[2]$ зима'!ao539+'[2]$ зима'!k539</f>
        <v>0</v>
      </c>
      <c r="I539" s="191" t="n">
        <f aca="false">'[2]$ зима'!ay539*1.1</f>
        <v>2217.6</v>
      </c>
      <c r="J539" s="201"/>
    </row>
    <row r="540" customFormat="false" ht="15" hidden="true" customHeight="false" outlineLevel="0" collapsed="false">
      <c r="A540" s="188" t="s">
        <v>3397</v>
      </c>
      <c r="B540" s="149" t="s">
        <v>3142</v>
      </c>
      <c r="C540" s="148" t="s">
        <v>3398</v>
      </c>
      <c r="D540" s="148"/>
      <c r="E540" s="148" t="n">
        <v>108</v>
      </c>
      <c r="F540" s="148" t="s">
        <v>562</v>
      </c>
      <c r="G540" s="148"/>
      <c r="H540" s="105" t="n">
        <f aca="false">'[2]$ зима'!j540-'[2]$ зима'!au540-'[2]$ зима'!at540-'[2]$ зима'!as540-'[2]$ зима'!ar540-'[2]$ зима'!aq540-'[2]$ зима'!ap540-'[2]$ зима'!an540-'[2]$ зима'!am540-'[2]$ зима'!al540-'[2]$ зима'!ak540-'[2]$ зима'!aj540-'[2]$ зима'!ah540-'[2]$ зима'!ag540-'[2]$ зима'!af540-'[2]$ зима'!ae540-'[2]$ зима'!ad540-'[2]$ зима'!ab540-'[2]$ зима'!aa540-'[2]$ зима'!z540-'[2]$ зима'!y540-'[2]$ зима'!x540-'[2]$ зима'!v540-'[2]$ зима'!u540-'[2]$ зима'!t540-'[2]$ зима'!s540-'[2]$ зима'!r540-'[2]$ зима'!p540-'[2]$ зима'!o540-'[2]$ зима'!n540-'[2]$ зима'!m540-'[2]$ зима'!l540+'[2]$ зима'!q540+'[2]$ зима'!w540+'[2]$ зима'!ac540+'[2]$ зима'!ai540+'[2]$ зима'!ao540+'[2]$ зима'!k540</f>
        <v>0</v>
      </c>
      <c r="I540" s="191" t="n">
        <f aca="false">'[2]$ зима'!ay540*1.1</f>
        <v>2156</v>
      </c>
      <c r="J540" s="201"/>
    </row>
    <row r="541" customFormat="false" ht="15" hidden="true" customHeight="false" outlineLevel="0" collapsed="false">
      <c r="A541" s="196" t="s">
        <v>1090</v>
      </c>
      <c r="B541" s="198" t="s">
        <v>601</v>
      </c>
      <c r="C541" s="148" t="s">
        <v>3399</v>
      </c>
      <c r="D541" s="194"/>
      <c r="E541" s="194"/>
      <c r="F541" s="194"/>
      <c r="G541" s="200"/>
      <c r="H541" s="105" t="n">
        <f aca="false">'[2]$ зима'!j541-'[2]$ зима'!au541-'[2]$ зима'!at541-'[2]$ зима'!as541-'[2]$ зима'!ar541-'[2]$ зима'!aq541-'[2]$ зима'!ap541-'[2]$ зима'!an541-'[2]$ зима'!am541-'[2]$ зима'!al541-'[2]$ зима'!ak541-'[2]$ зима'!aj541-'[2]$ зима'!ah541-'[2]$ зима'!ag541-'[2]$ зима'!af541-'[2]$ зима'!ae541-'[2]$ зима'!ad541-'[2]$ зима'!ab541-'[2]$ зима'!aa541-'[2]$ зима'!z541-'[2]$ зима'!y541-'[2]$ зима'!x541-'[2]$ зима'!v541-'[2]$ зима'!u541-'[2]$ зима'!t541-'[2]$ зима'!s541-'[2]$ зима'!r541-'[2]$ зима'!p541-'[2]$ зима'!o541-'[2]$ зима'!n541-'[2]$ зима'!m541-'[2]$ зима'!l541+'[2]$ зима'!q541+'[2]$ зима'!w541+'[2]$ зима'!ac541+'[2]$ зима'!ai541+'[2]$ зима'!ao541+'[2]$ зима'!k541</f>
        <v>0</v>
      </c>
      <c r="I541" s="191" t="n">
        <f aca="false">'[2]$ зима'!ay541*1.1</f>
        <v>3449.6</v>
      </c>
      <c r="J541" s="201"/>
    </row>
    <row r="542" customFormat="false" ht="15" hidden="true" customHeight="false" outlineLevel="0" collapsed="false">
      <c r="A542" s="196" t="s">
        <v>1090</v>
      </c>
      <c r="B542" s="149" t="s">
        <v>707</v>
      </c>
      <c r="C542" s="148" t="s">
        <v>3376</v>
      </c>
      <c r="D542" s="148"/>
      <c r="E542" s="148"/>
      <c r="F542" s="148"/>
      <c r="G542" s="193"/>
      <c r="H542" s="105" t="n">
        <f aca="false">'[2]$ зима'!j542-'[2]$ зима'!au542-'[2]$ зима'!at542-'[2]$ зима'!as542-'[2]$ зима'!ar542-'[2]$ зима'!aq542-'[2]$ зима'!ap542-'[2]$ зима'!an542-'[2]$ зима'!am542-'[2]$ зима'!al542-'[2]$ зима'!ak542-'[2]$ зима'!aj542-'[2]$ зима'!ah542-'[2]$ зима'!ag542-'[2]$ зима'!af542-'[2]$ зима'!ae542-'[2]$ зима'!ad542-'[2]$ зима'!ab542-'[2]$ зима'!aa542-'[2]$ зима'!z542-'[2]$ зима'!y542-'[2]$ зима'!x542-'[2]$ зима'!v542-'[2]$ зима'!u542-'[2]$ зима'!t542-'[2]$ зима'!s542-'[2]$ зима'!r542-'[2]$ зима'!p542-'[2]$ зима'!o542-'[2]$ зима'!n542-'[2]$ зима'!m542-'[2]$ зима'!l542+'[2]$ зима'!q542+'[2]$ зима'!w542+'[2]$ зима'!ac542+'[2]$ зима'!ai542+'[2]$ зима'!ao542+'[2]$ зима'!k542</f>
        <v>0</v>
      </c>
      <c r="I542" s="191" t="n">
        <f aca="false">'[2]$ зима'!ay542*1.1</f>
        <v>3850</v>
      </c>
    </row>
    <row r="543" customFormat="false" ht="15" hidden="true" customHeight="false" outlineLevel="0" collapsed="false">
      <c r="A543" s="188" t="s">
        <v>1090</v>
      </c>
      <c r="B543" s="149" t="s">
        <v>606</v>
      </c>
      <c r="C543" s="148" t="s">
        <v>3400</v>
      </c>
      <c r="D543" s="148"/>
      <c r="E543" s="148" t="n">
        <v>112</v>
      </c>
      <c r="F543" s="148" t="s">
        <v>3207</v>
      </c>
      <c r="G543" s="193"/>
      <c r="H543" s="105" t="n">
        <f aca="false">'[2]$ зима'!j543-'[2]$ зима'!au543-'[2]$ зима'!at543-'[2]$ зима'!as543-'[2]$ зима'!ar543-'[2]$ зима'!aq543-'[2]$ зима'!ap543-'[2]$ зима'!an543-'[2]$ зима'!am543-'[2]$ зима'!al543-'[2]$ зима'!ak543-'[2]$ зима'!aj543-'[2]$ зима'!ah543-'[2]$ зима'!ag543-'[2]$ зима'!af543-'[2]$ зима'!ae543-'[2]$ зима'!ad543-'[2]$ зима'!ab543-'[2]$ зима'!aa543-'[2]$ зима'!z543-'[2]$ зима'!y543-'[2]$ зима'!x543-'[2]$ зима'!v543-'[2]$ зима'!u543-'[2]$ зима'!t543-'[2]$ зима'!s543-'[2]$ зима'!r543-'[2]$ зима'!p543-'[2]$ зима'!o543-'[2]$ зима'!n543-'[2]$ зима'!m543-'[2]$ зима'!l543+'[2]$ зима'!q543+'[2]$ зима'!w543+'[2]$ зима'!ac543+'[2]$ зима'!ai543+'[2]$ зима'!ao543+'[2]$ зима'!k543</f>
        <v>0</v>
      </c>
      <c r="I543" s="191" t="n">
        <f aca="false">'[2]$ зима'!ay543*1.1</f>
        <v>2772</v>
      </c>
    </row>
    <row r="544" customFormat="false" ht="15.75" hidden="false" customHeight="false" outlineLevel="0" collapsed="false">
      <c r="A544" s="183" t="s">
        <v>214</v>
      </c>
      <c r="B544" s="207"/>
      <c r="C544" s="207"/>
      <c r="D544" s="207"/>
      <c r="E544" s="208"/>
      <c r="F544" s="208"/>
      <c r="G544" s="209"/>
      <c r="H544" s="105"/>
      <c r="I544" s="187" t="n">
        <f aca="false">'[2]$ зима'!ay544*1.1</f>
        <v>0</v>
      </c>
    </row>
    <row r="545" customFormat="false" ht="15" hidden="true" customHeight="false" outlineLevel="0" collapsed="false">
      <c r="A545" s="188" t="s">
        <v>227</v>
      </c>
      <c r="B545" s="149" t="s">
        <v>601</v>
      </c>
      <c r="C545" s="148" t="s">
        <v>3319</v>
      </c>
      <c r="D545" s="148"/>
      <c r="E545" s="148"/>
      <c r="F545" s="148"/>
      <c r="G545" s="193"/>
      <c r="H545" s="105" t="n">
        <f aca="false">'[2]$ зима'!j545-'[2]$ зима'!au545-'[2]$ зима'!at545-'[2]$ зима'!as545-'[2]$ зима'!ar545-'[2]$ зима'!aq545-'[2]$ зима'!ap545-'[2]$ зима'!an545-'[2]$ зима'!am545-'[2]$ зима'!al545-'[2]$ зима'!ak545-'[2]$ зима'!aj545-'[2]$ зима'!ah545-'[2]$ зима'!ag545-'[2]$ зима'!af545-'[2]$ зима'!ae545-'[2]$ зима'!ad545-'[2]$ зима'!ab545-'[2]$ зима'!aa545-'[2]$ зима'!z545-'[2]$ зима'!y545-'[2]$ зима'!x545-'[2]$ зима'!v545-'[2]$ зима'!u545-'[2]$ зима'!t545-'[2]$ зима'!s545-'[2]$ зима'!r545-'[2]$ зима'!p545-'[2]$ зима'!o545-'[2]$ зима'!n545-'[2]$ зима'!m545-'[2]$ зима'!l545+'[2]$ зима'!q545+'[2]$ зима'!w545+'[2]$ зима'!ac545+'[2]$ зима'!ai545+'[2]$ зима'!ao545+'[2]$ зима'!k545</f>
        <v>0</v>
      </c>
      <c r="I545" s="191" t="n">
        <f aca="false">'[2]$ зима'!ay545*1.1</f>
        <v>2433.2</v>
      </c>
    </row>
    <row r="546" customFormat="false" ht="15" hidden="true" customHeight="false" outlineLevel="0" collapsed="false">
      <c r="A546" s="188" t="s">
        <v>227</v>
      </c>
      <c r="B546" s="149" t="s">
        <v>601</v>
      </c>
      <c r="C546" s="204" t="s">
        <v>3150</v>
      </c>
      <c r="D546" s="204"/>
      <c r="E546" s="204"/>
      <c r="F546" s="204"/>
      <c r="G546" s="193"/>
      <c r="H546" s="105" t="n">
        <f aca="false">'[2]$ зима'!j546-'[2]$ зима'!au546-'[2]$ зима'!at546-'[2]$ зима'!as546-'[2]$ зима'!ar546-'[2]$ зима'!aq546-'[2]$ зима'!ap546-'[2]$ зима'!an546-'[2]$ зима'!am546-'[2]$ зима'!al546-'[2]$ зима'!ak546-'[2]$ зима'!aj546-'[2]$ зима'!ah546-'[2]$ зима'!ag546-'[2]$ зима'!af546-'[2]$ зима'!ae546-'[2]$ зима'!ad546-'[2]$ зима'!ab546-'[2]$ зима'!aa546-'[2]$ зима'!z546-'[2]$ зима'!y546-'[2]$ зима'!x546-'[2]$ зима'!v546-'[2]$ зима'!u546-'[2]$ зима'!t546-'[2]$ зима'!s546-'[2]$ зима'!r546-'[2]$ зима'!p546-'[2]$ зима'!o546-'[2]$ зима'!n546-'[2]$ зима'!m546-'[2]$ зима'!l546+'[2]$ зима'!q546+'[2]$ зима'!w546+'[2]$ зима'!ac546+'[2]$ зима'!ai546+'[2]$ зима'!ao546+'[2]$ зима'!k546</f>
        <v>0</v>
      </c>
      <c r="I546" s="191" t="n">
        <f aca="false">'[2]$ зима'!ay546*1.1</f>
        <v>2464</v>
      </c>
    </row>
    <row r="547" customFormat="false" ht="15" hidden="true" customHeight="false" outlineLevel="0" collapsed="false">
      <c r="A547" s="188" t="s">
        <v>227</v>
      </c>
      <c r="B547" s="149" t="s">
        <v>606</v>
      </c>
      <c r="C547" s="148" t="s">
        <v>3125</v>
      </c>
      <c r="D547" s="148"/>
      <c r="E547" s="148"/>
      <c r="F547" s="148"/>
      <c r="G547" s="193"/>
      <c r="H547" s="105" t="n">
        <f aca="false">'[2]$ зима'!j547-'[2]$ зима'!au547-'[2]$ зима'!at547-'[2]$ зима'!as547-'[2]$ зима'!ar547-'[2]$ зима'!aq547-'[2]$ зима'!ap547-'[2]$ зима'!an547-'[2]$ зима'!am547-'[2]$ зима'!al547-'[2]$ зима'!ak547-'[2]$ зима'!aj547-'[2]$ зима'!ah547-'[2]$ зима'!ag547-'[2]$ зима'!af547-'[2]$ зима'!ae547-'[2]$ зима'!ad547-'[2]$ зима'!ab547-'[2]$ зима'!aa547-'[2]$ зима'!z547-'[2]$ зима'!y547-'[2]$ зима'!x547-'[2]$ зима'!v547-'[2]$ зима'!u547-'[2]$ зима'!t547-'[2]$ зима'!s547-'[2]$ зима'!r547-'[2]$ зима'!p547-'[2]$ зима'!o547-'[2]$ зима'!n547-'[2]$ зима'!m547-'[2]$ зима'!l547+'[2]$ зима'!q547+'[2]$ зима'!w547+'[2]$ зима'!ac547+'[2]$ зима'!ai547+'[2]$ зима'!ao547+'[2]$ зима'!k547</f>
        <v>0</v>
      </c>
      <c r="I547" s="191" t="n">
        <f aca="false">'[2]$ зима'!ay547*1.1</f>
        <v>1848</v>
      </c>
    </row>
    <row r="548" customFormat="false" ht="15" hidden="true" customHeight="false" outlineLevel="0" collapsed="false">
      <c r="A548" s="188" t="s">
        <v>227</v>
      </c>
      <c r="B548" s="149" t="s">
        <v>606</v>
      </c>
      <c r="C548" s="148" t="s">
        <v>3401</v>
      </c>
      <c r="D548" s="148"/>
      <c r="E548" s="148" t="n">
        <v>91</v>
      </c>
      <c r="F548" s="148" t="s">
        <v>3216</v>
      </c>
      <c r="G548" s="193"/>
      <c r="H548" s="105" t="n">
        <f aca="false">'[2]$ зима'!j548-'[2]$ зима'!au548-'[2]$ зима'!at548-'[2]$ зима'!as548-'[2]$ зима'!ar548-'[2]$ зима'!aq548-'[2]$ зима'!ap548-'[2]$ зима'!an548-'[2]$ зима'!am548-'[2]$ зима'!al548-'[2]$ зима'!ak548-'[2]$ зима'!aj548-'[2]$ зима'!ah548-'[2]$ зима'!ag548-'[2]$ зима'!af548-'[2]$ зима'!ae548-'[2]$ зима'!ad548-'[2]$ зима'!ab548-'[2]$ зима'!aa548-'[2]$ зима'!z548-'[2]$ зима'!y548-'[2]$ зима'!x548-'[2]$ зима'!v548-'[2]$ зима'!u548-'[2]$ зима'!t548-'[2]$ зима'!s548-'[2]$ зима'!r548-'[2]$ зима'!p548-'[2]$ зима'!o548-'[2]$ зима'!n548-'[2]$ зима'!m548-'[2]$ зима'!l548+'[2]$ зима'!q548+'[2]$ зима'!w548+'[2]$ зима'!ac548+'[2]$ зима'!ai548+'[2]$ зима'!ao548+'[2]$ зима'!k548</f>
        <v>0</v>
      </c>
      <c r="I548" s="191" t="n">
        <f aca="false">'[2]$ зима'!ay548*1.1</f>
        <v>1786.4</v>
      </c>
    </row>
    <row r="549" customFormat="false" ht="15" hidden="false" customHeight="false" outlineLevel="0" collapsed="false">
      <c r="A549" s="188" t="s">
        <v>227</v>
      </c>
      <c r="B549" s="149" t="s">
        <v>668</v>
      </c>
      <c r="C549" s="194" t="s">
        <v>3402</v>
      </c>
      <c r="D549" s="148"/>
      <c r="E549" s="192"/>
      <c r="F549" s="192" t="s">
        <v>3286</v>
      </c>
      <c r="G549" s="193"/>
      <c r="H549" s="105" t="n">
        <f aca="false">'[2]$ зима'!j549-'[2]$ зима'!au549-'[2]$ зима'!at549-'[2]$ зима'!as549-'[2]$ зима'!ar549-'[2]$ зима'!aq549-'[2]$ зима'!ap549-'[2]$ зима'!an549-'[2]$ зима'!am549-'[2]$ зима'!al549-'[2]$ зима'!ak549-'[2]$ зима'!aj549-'[2]$ зима'!ah549-'[2]$ зима'!ag549-'[2]$ зима'!af549-'[2]$ зима'!ae549-'[2]$ зима'!ad549-'[2]$ зима'!ab549-'[2]$ зима'!aa549-'[2]$ зима'!z549-'[2]$ зима'!y549-'[2]$ зима'!x549-'[2]$ зима'!v549-'[2]$ зима'!u549-'[2]$ зима'!t549-'[2]$ зима'!s549-'[2]$ зима'!r549-'[2]$ зима'!p549-'[2]$ зима'!o549-'[2]$ зима'!n549-'[2]$ зима'!m549-'[2]$ зима'!l549+'[2]$ зима'!q549+'[2]$ зима'!w549+'[2]$ зима'!ac549+'[2]$ зима'!ai549+'[2]$ зима'!ao549+'[2]$ зима'!k549</f>
        <v>4</v>
      </c>
      <c r="I549" s="191" t="n">
        <f aca="false">'[2]$ зима'!ay549*1.1</f>
        <v>1909.6</v>
      </c>
    </row>
    <row r="550" customFormat="false" ht="15" hidden="false" customHeight="false" outlineLevel="0" collapsed="false">
      <c r="A550" s="188" t="s">
        <v>227</v>
      </c>
      <c r="B550" s="149" t="s">
        <v>589</v>
      </c>
      <c r="C550" s="148" t="s">
        <v>3259</v>
      </c>
      <c r="D550" s="148"/>
      <c r="E550" s="192" t="n">
        <v>87</v>
      </c>
      <c r="F550" s="192" t="s">
        <v>3207</v>
      </c>
      <c r="G550" s="193" t="s">
        <v>626</v>
      </c>
      <c r="H550" s="105" t="n">
        <f aca="false">'[2]$ зима'!j550-'[2]$ зима'!au550-'[2]$ зима'!at550-'[2]$ зима'!as550-'[2]$ зима'!ar550-'[2]$ зима'!aq550-'[2]$ зима'!ap550-'[2]$ зима'!an550-'[2]$ зима'!am550-'[2]$ зима'!al550-'[2]$ зима'!ak550-'[2]$ зима'!aj550-'[2]$ зима'!ah550-'[2]$ зима'!ag550-'[2]$ зима'!af550-'[2]$ зима'!ae550-'[2]$ зима'!ad550-'[2]$ зима'!ab550-'[2]$ зима'!aa550-'[2]$ зима'!z550-'[2]$ зима'!y550-'[2]$ зима'!x550-'[2]$ зима'!v550-'[2]$ зима'!u550-'[2]$ зима'!t550-'[2]$ зима'!s550-'[2]$ зима'!r550-'[2]$ зима'!p550-'[2]$ зима'!o550-'[2]$ зима'!n550-'[2]$ зима'!m550-'[2]$ зима'!l550+'[2]$ зима'!q550+'[2]$ зима'!w550+'[2]$ зима'!ac550+'[2]$ зима'!ai550+'[2]$ зима'!ao550+'[2]$ зима'!k550</f>
        <v>4</v>
      </c>
      <c r="I550" s="191" t="n">
        <f aca="false">'[2]$ зима'!ay550*1.1</f>
        <v>2374.24</v>
      </c>
      <c r="J550" s="171" t="n">
        <v>2018</v>
      </c>
    </row>
    <row r="551" customFormat="false" ht="15" hidden="false" customHeight="false" outlineLevel="0" collapsed="false">
      <c r="A551" s="188" t="s">
        <v>228</v>
      </c>
      <c r="B551" s="149" t="s">
        <v>2705</v>
      </c>
      <c r="C551" s="148" t="s">
        <v>3145</v>
      </c>
      <c r="D551" s="148"/>
      <c r="E551" s="192"/>
      <c r="F551" s="192"/>
      <c r="G551" s="193"/>
      <c r="H551" s="105" t="n">
        <f aca="false">'[2]$ зима'!j551-'[2]$ зима'!au551-'[2]$ зима'!at551-'[2]$ зима'!as551-'[2]$ зима'!ar551-'[2]$ зима'!aq551-'[2]$ зима'!ap551-'[2]$ зима'!an551-'[2]$ зима'!am551-'[2]$ зима'!al551-'[2]$ зима'!ak551-'[2]$ зима'!aj551-'[2]$ зима'!ah551-'[2]$ зима'!ag551-'[2]$ зима'!af551-'[2]$ зима'!ae551-'[2]$ зима'!ad551-'[2]$ зима'!ab551-'[2]$ зима'!aa551-'[2]$ зима'!z551-'[2]$ зима'!y551-'[2]$ зима'!x551-'[2]$ зима'!v551-'[2]$ зима'!u551-'[2]$ зима'!t551-'[2]$ зима'!s551-'[2]$ зима'!r551-'[2]$ зима'!p551-'[2]$ зима'!o551-'[2]$ зима'!n551-'[2]$ зима'!m551-'[2]$ зима'!l551+'[2]$ зима'!q551+'[2]$ зима'!w551+'[2]$ зима'!ac551+'[2]$ зима'!ai551+'[2]$ зима'!ao551+'[2]$ зима'!k551</f>
        <v>2</v>
      </c>
      <c r="I551" s="191" t="n">
        <f aca="false">'[2]$ зима'!ay551*1.1</f>
        <v>1139.6</v>
      </c>
      <c r="J551" s="171" t="n">
        <v>2017</v>
      </c>
    </row>
    <row r="552" customFormat="false" ht="15" hidden="true" customHeight="false" outlineLevel="0" collapsed="false">
      <c r="A552" s="188" t="s">
        <v>228</v>
      </c>
      <c r="B552" s="149" t="s">
        <v>2705</v>
      </c>
      <c r="C552" s="148" t="s">
        <v>3330</v>
      </c>
      <c r="D552" s="148"/>
      <c r="E552" s="148"/>
      <c r="F552" s="148"/>
      <c r="G552" s="193"/>
      <c r="H552" s="105" t="n">
        <f aca="false">'[2]$ зима'!j552-'[2]$ зима'!au552-'[2]$ зима'!at552-'[2]$ зима'!as552-'[2]$ зима'!ar552-'[2]$ зима'!aq552-'[2]$ зима'!ap552-'[2]$ зима'!an552-'[2]$ зима'!am552-'[2]$ зима'!al552-'[2]$ зима'!ak552-'[2]$ зима'!aj552-'[2]$ зима'!ah552-'[2]$ зима'!ag552-'[2]$ зима'!af552-'[2]$ зима'!ae552-'[2]$ зима'!ad552-'[2]$ зима'!ab552-'[2]$ зима'!aa552-'[2]$ зима'!z552-'[2]$ зима'!y552-'[2]$ зима'!x552-'[2]$ зима'!v552-'[2]$ зима'!u552-'[2]$ зима'!t552-'[2]$ зима'!s552-'[2]$ зима'!r552-'[2]$ зима'!p552-'[2]$ зима'!o552-'[2]$ зима'!n552-'[2]$ зима'!m552-'[2]$ зима'!l552+'[2]$ зима'!q552+'[2]$ зима'!w552+'[2]$ зима'!ac552+'[2]$ зима'!ai552+'[2]$ зима'!ao552+'[2]$ зима'!k552</f>
        <v>0</v>
      </c>
      <c r="I552" s="191" t="n">
        <f aca="false">'[2]$ зима'!ay552*1.1</f>
        <v>1139.6</v>
      </c>
      <c r="J552" s="171" t="n">
        <v>2017</v>
      </c>
    </row>
    <row r="553" customFormat="false" ht="15" hidden="false" customHeight="false" outlineLevel="0" collapsed="false">
      <c r="A553" s="188" t="s">
        <v>228</v>
      </c>
      <c r="B553" s="149" t="s">
        <v>991</v>
      </c>
      <c r="C553" s="148" t="s">
        <v>3190</v>
      </c>
      <c r="D553" s="148" t="s">
        <v>3127</v>
      </c>
      <c r="E553" s="192"/>
      <c r="F553" s="192"/>
      <c r="G553" s="193"/>
      <c r="H553" s="105" t="n">
        <f aca="false">'[2]$ зима'!j553-'[2]$ зима'!au553-'[2]$ зима'!at553-'[2]$ зима'!as553-'[2]$ зима'!ar553-'[2]$ зима'!aq553-'[2]$ зима'!ap553-'[2]$ зима'!an553-'[2]$ зима'!am553-'[2]$ зима'!al553-'[2]$ зима'!ak553-'[2]$ зима'!aj553-'[2]$ зима'!ah553-'[2]$ зима'!ag553-'[2]$ зима'!af553-'[2]$ зима'!ae553-'[2]$ зима'!ad553-'[2]$ зима'!ab553-'[2]$ зима'!aa553-'[2]$ зима'!z553-'[2]$ зима'!y553-'[2]$ зима'!x553-'[2]$ зима'!v553-'[2]$ зима'!u553-'[2]$ зима'!t553-'[2]$ зима'!s553-'[2]$ зима'!r553-'[2]$ зима'!p553-'[2]$ зима'!o553-'[2]$ зима'!n553-'[2]$ зима'!m553-'[2]$ зима'!l553+'[2]$ зима'!q553+'[2]$ зима'!w553+'[2]$ зима'!ac553+'[2]$ зима'!ai553+'[2]$ зима'!ao553+'[2]$ зима'!k553</f>
        <v>8</v>
      </c>
      <c r="I553" s="191" t="n">
        <f aca="false">'[2]$ зима'!ay553*1.1</f>
        <v>1293.6</v>
      </c>
    </row>
    <row r="554" customFormat="false" ht="15" hidden="true" customHeight="false" outlineLevel="0" collapsed="false">
      <c r="A554" s="188" t="s">
        <v>228</v>
      </c>
      <c r="B554" s="149" t="s">
        <v>568</v>
      </c>
      <c r="C554" s="148" t="s">
        <v>3403</v>
      </c>
      <c r="D554" s="148"/>
      <c r="E554" s="148"/>
      <c r="F554" s="148"/>
      <c r="G554" s="193" t="s">
        <v>888</v>
      </c>
      <c r="H554" s="105" t="n">
        <f aca="false">'[2]$ зима'!j554-'[2]$ зима'!au554-'[2]$ зима'!at554-'[2]$ зима'!as554-'[2]$ зима'!ar554-'[2]$ зима'!aq554-'[2]$ зима'!ap554-'[2]$ зима'!an554-'[2]$ зима'!am554-'[2]$ зима'!al554-'[2]$ зима'!ak554-'[2]$ зима'!aj554-'[2]$ зима'!ah554-'[2]$ зима'!ag554-'[2]$ зима'!af554-'[2]$ зима'!ae554-'[2]$ зима'!ad554-'[2]$ зима'!ab554-'[2]$ зима'!aa554-'[2]$ зима'!z554-'[2]$ зима'!y554-'[2]$ зима'!x554-'[2]$ зима'!v554-'[2]$ зима'!u554-'[2]$ зима'!t554-'[2]$ зима'!s554-'[2]$ зима'!r554-'[2]$ зима'!p554-'[2]$ зима'!o554-'[2]$ зима'!n554-'[2]$ зима'!m554-'[2]$ зима'!l554+'[2]$ зима'!q554+'[2]$ зима'!w554+'[2]$ зима'!ac554+'[2]$ зима'!ai554+'[2]$ зима'!ao554+'[2]$ зима'!k554</f>
        <v>0</v>
      </c>
      <c r="I554" s="191" t="n">
        <f aca="false">'[2]$ зима'!ay554*1.1</f>
        <v>1447.6</v>
      </c>
    </row>
    <row r="555" customFormat="false" ht="15" hidden="false" customHeight="false" outlineLevel="0" collapsed="false">
      <c r="A555" s="188" t="s">
        <v>228</v>
      </c>
      <c r="B555" s="149" t="s">
        <v>601</v>
      </c>
      <c r="C555" s="148" t="s">
        <v>3151</v>
      </c>
      <c r="D555" s="148"/>
      <c r="E555" s="192" t="n">
        <v>91</v>
      </c>
      <c r="F555" s="192" t="s">
        <v>1455</v>
      </c>
      <c r="G555" s="193"/>
      <c r="H555" s="105" t="n">
        <f aca="false">'[2]$ зима'!j555-'[2]$ зима'!au555-'[2]$ зима'!at555-'[2]$ зима'!as555-'[2]$ зима'!ar555-'[2]$ зима'!aq555-'[2]$ зима'!ap555-'[2]$ зима'!an555-'[2]$ зима'!am555-'[2]$ зима'!al555-'[2]$ зима'!ak555-'[2]$ зима'!aj555-'[2]$ зима'!ah555-'[2]$ зима'!ag555-'[2]$ зима'!af555-'[2]$ зима'!ae555-'[2]$ зима'!ad555-'[2]$ зима'!ab555-'[2]$ зима'!aa555-'[2]$ зима'!z555-'[2]$ зима'!y555-'[2]$ зима'!x555-'[2]$ зима'!v555-'[2]$ зима'!u555-'[2]$ зима'!t555-'[2]$ зима'!s555-'[2]$ зима'!r555-'[2]$ зима'!p555-'[2]$ зима'!o555-'[2]$ зима'!n555-'[2]$ зима'!m555-'[2]$ зима'!l555+'[2]$ зима'!q555+'[2]$ зима'!w555+'[2]$ зима'!ac555+'[2]$ зима'!ai555+'[2]$ зима'!ao555+'[2]$ зима'!k555</f>
        <v>2</v>
      </c>
      <c r="I555" s="191" t="n">
        <f aca="false">'[2]$ зима'!ay555*1.1</f>
        <v>2525.6</v>
      </c>
    </row>
    <row r="556" customFormat="false" ht="15" hidden="true" customHeight="false" outlineLevel="0" collapsed="false">
      <c r="A556" s="188" t="s">
        <v>228</v>
      </c>
      <c r="B556" s="149" t="s">
        <v>601</v>
      </c>
      <c r="C556" s="148" t="s">
        <v>3150</v>
      </c>
      <c r="D556" s="148"/>
      <c r="E556" s="192"/>
      <c r="F556" s="192"/>
      <c r="G556" s="193"/>
      <c r="H556" s="105" t="n">
        <f aca="false">'[2]$ зима'!j556-'[2]$ зима'!au556-'[2]$ зима'!at556-'[2]$ зима'!as556-'[2]$ зима'!ar556-'[2]$ зима'!aq556-'[2]$ зима'!ap556-'[2]$ зима'!an556-'[2]$ зима'!am556-'[2]$ зима'!al556-'[2]$ зима'!ak556-'[2]$ зима'!aj556-'[2]$ зима'!ah556-'[2]$ зима'!ag556-'[2]$ зима'!af556-'[2]$ зима'!ae556-'[2]$ зима'!ad556-'[2]$ зима'!ab556-'[2]$ зима'!aa556-'[2]$ зима'!z556-'[2]$ зима'!y556-'[2]$ зима'!x556-'[2]$ зима'!v556-'[2]$ зима'!u556-'[2]$ зима'!t556-'[2]$ зима'!s556-'[2]$ зима'!r556-'[2]$ зима'!p556-'[2]$ зима'!o556-'[2]$ зима'!n556-'[2]$ зима'!m556-'[2]$ зима'!l556+'[2]$ зима'!q556+'[2]$ зима'!w556+'[2]$ зима'!ac556+'[2]$ зима'!ai556+'[2]$ зима'!ao556+'[2]$ зима'!k556</f>
        <v>0</v>
      </c>
      <c r="I556" s="191" t="n">
        <f aca="false">'[2]$ зима'!ay556*1.1</f>
        <v>2679.6</v>
      </c>
    </row>
    <row r="557" customFormat="false" ht="15" hidden="true" customHeight="false" outlineLevel="0" collapsed="false">
      <c r="A557" s="188" t="s">
        <v>228</v>
      </c>
      <c r="B557" s="149" t="s">
        <v>601</v>
      </c>
      <c r="C557" s="148" t="s">
        <v>3404</v>
      </c>
      <c r="D557" s="148" t="s">
        <v>3147</v>
      </c>
      <c r="E557" s="148"/>
      <c r="F557" s="148"/>
      <c r="G557" s="193"/>
      <c r="H557" s="105" t="n">
        <f aca="false">'[2]$ зима'!j557-'[2]$ зима'!au557-'[2]$ зима'!at557-'[2]$ зима'!as557-'[2]$ зима'!ar557-'[2]$ зима'!aq557-'[2]$ зима'!ap557-'[2]$ зима'!an557-'[2]$ зима'!am557-'[2]$ зима'!al557-'[2]$ зима'!ak557-'[2]$ зима'!aj557-'[2]$ зима'!ah557-'[2]$ зима'!ag557-'[2]$ зима'!af557-'[2]$ зима'!ae557-'[2]$ зима'!ad557-'[2]$ зима'!ab557-'[2]$ зима'!aa557-'[2]$ зима'!z557-'[2]$ зима'!y557-'[2]$ зима'!x557-'[2]$ зима'!v557-'[2]$ зима'!u557-'[2]$ зима'!t557-'[2]$ зима'!s557-'[2]$ зима'!r557-'[2]$ зима'!p557-'[2]$ зима'!o557-'[2]$ зима'!n557-'[2]$ зима'!m557-'[2]$ зима'!l557+'[2]$ зима'!q557+'[2]$ зима'!w557+'[2]$ зима'!ac557+'[2]$ зима'!ai557+'[2]$ зима'!ao557+'[2]$ зима'!k557</f>
        <v>0</v>
      </c>
      <c r="I557" s="191" t="n">
        <f aca="false">'[2]$ зима'!ay557*1.1</f>
        <v>2556.4</v>
      </c>
    </row>
    <row r="558" customFormat="false" ht="15" hidden="false" customHeight="false" outlineLevel="0" collapsed="false">
      <c r="A558" s="188" t="s">
        <v>228</v>
      </c>
      <c r="B558" s="149" t="s">
        <v>601</v>
      </c>
      <c r="C558" s="148" t="s">
        <v>3405</v>
      </c>
      <c r="D558" s="148"/>
      <c r="E558" s="192"/>
      <c r="F558" s="192"/>
      <c r="G558" s="193"/>
      <c r="H558" s="105" t="n">
        <f aca="false">'[2]$ зима'!j558-'[2]$ зима'!au558-'[2]$ зима'!at558-'[2]$ зима'!as558-'[2]$ зима'!ar558-'[2]$ зима'!aq558-'[2]$ зима'!ap558-'[2]$ зима'!an558-'[2]$ зима'!am558-'[2]$ зима'!al558-'[2]$ зима'!ak558-'[2]$ зима'!aj558-'[2]$ зима'!ah558-'[2]$ зима'!ag558-'[2]$ зима'!af558-'[2]$ зима'!ae558-'[2]$ зима'!ad558-'[2]$ зима'!ab558-'[2]$ зима'!aa558-'[2]$ зима'!z558-'[2]$ зима'!y558-'[2]$ зима'!x558-'[2]$ зима'!v558-'[2]$ зима'!u558-'[2]$ зима'!t558-'[2]$ зима'!s558-'[2]$ зима'!r558-'[2]$ зима'!p558-'[2]$ зима'!o558-'[2]$ зима'!n558-'[2]$ зима'!m558-'[2]$ зима'!l558+'[2]$ зима'!q558+'[2]$ зима'!w558+'[2]$ зима'!ac558+'[2]$ зима'!ai558+'[2]$ зима'!ao558+'[2]$ зима'!k558</f>
        <v>6</v>
      </c>
      <c r="I558" s="191" t="n">
        <f aca="false">'[2]$ зима'!ay558*1.1</f>
        <v>2002</v>
      </c>
    </row>
    <row r="559" customFormat="false" ht="15" hidden="false" customHeight="false" outlineLevel="0" collapsed="false">
      <c r="A559" s="188" t="s">
        <v>228</v>
      </c>
      <c r="B559" s="149" t="s">
        <v>658</v>
      </c>
      <c r="C559" s="148" t="s">
        <v>3333</v>
      </c>
      <c r="D559" s="148"/>
      <c r="E559" s="192"/>
      <c r="F559" s="192"/>
      <c r="G559" s="193" t="s">
        <v>631</v>
      </c>
      <c r="H559" s="105" t="n">
        <f aca="false">'[2]$ зима'!j559-'[2]$ зима'!au559-'[2]$ зима'!at559-'[2]$ зима'!as559-'[2]$ зима'!ar559-'[2]$ зима'!aq559-'[2]$ зима'!ap559-'[2]$ зима'!an559-'[2]$ зима'!am559-'[2]$ зима'!al559-'[2]$ зима'!ak559-'[2]$ зима'!aj559-'[2]$ зима'!ah559-'[2]$ зима'!ag559-'[2]$ зима'!af559-'[2]$ зима'!ae559-'[2]$ зима'!ad559-'[2]$ зима'!ab559-'[2]$ зима'!aa559-'[2]$ зима'!z559-'[2]$ зима'!y559-'[2]$ зима'!x559-'[2]$ зима'!v559-'[2]$ зима'!u559-'[2]$ зима'!t559-'[2]$ зима'!s559-'[2]$ зима'!r559-'[2]$ зима'!p559-'[2]$ зима'!o559-'[2]$ зима'!n559-'[2]$ зима'!m559-'[2]$ зима'!l559+'[2]$ зима'!q559+'[2]$ зима'!w559+'[2]$ зима'!ac559+'[2]$ зима'!ai559+'[2]$ зима'!ao559+'[2]$ зима'!k559</f>
        <v>1</v>
      </c>
      <c r="I559" s="191" t="n">
        <f aca="false">'[2]$ зима'!ay559*1.1</f>
        <v>2556.4</v>
      </c>
      <c r="J559" s="171" t="n">
        <v>2017</v>
      </c>
    </row>
    <row r="560" customFormat="false" ht="15" hidden="true" customHeight="false" outlineLevel="0" collapsed="false">
      <c r="A560" s="188" t="s">
        <v>228</v>
      </c>
      <c r="B560" s="149" t="s">
        <v>658</v>
      </c>
      <c r="C560" s="148" t="s">
        <v>3406</v>
      </c>
      <c r="D560" s="202"/>
      <c r="E560" s="202"/>
      <c r="F560" s="202"/>
      <c r="G560" s="193" t="s">
        <v>3407</v>
      </c>
      <c r="H560" s="105" t="n">
        <f aca="false">'[2]$ зима'!j560-'[2]$ зима'!au560-'[2]$ зима'!at560-'[2]$ зима'!as560-'[2]$ зима'!ar560-'[2]$ зима'!aq560-'[2]$ зима'!ap560-'[2]$ зима'!an560-'[2]$ зима'!am560-'[2]$ зима'!al560-'[2]$ зима'!ak560-'[2]$ зима'!aj560-'[2]$ зима'!ah560-'[2]$ зима'!ag560-'[2]$ зима'!af560-'[2]$ зима'!ae560-'[2]$ зима'!ad560-'[2]$ зима'!ab560-'[2]$ зима'!aa560-'[2]$ зима'!z560-'[2]$ зима'!y560-'[2]$ зима'!x560-'[2]$ зима'!v560-'[2]$ зима'!u560-'[2]$ зима'!t560-'[2]$ зима'!s560-'[2]$ зима'!r560-'[2]$ зима'!p560-'[2]$ зима'!o560-'[2]$ зима'!n560-'[2]$ зима'!m560-'[2]$ зима'!l560+'[2]$ зима'!q560+'[2]$ зима'!w560+'[2]$ зима'!ac560+'[2]$ зима'!ai560+'[2]$ зима'!ao560+'[2]$ зима'!k560</f>
        <v>0</v>
      </c>
      <c r="I560" s="191" t="n">
        <f aca="false">'[2]$ зима'!ay560*1.1</f>
        <v>1540</v>
      </c>
    </row>
    <row r="561" customFormat="false" ht="15" hidden="true" customHeight="false" outlineLevel="0" collapsed="false">
      <c r="A561" s="188" t="s">
        <v>228</v>
      </c>
      <c r="B561" s="149" t="s">
        <v>658</v>
      </c>
      <c r="C561" s="148" t="s">
        <v>3333</v>
      </c>
      <c r="D561" s="202"/>
      <c r="E561" s="202"/>
      <c r="F561" s="202"/>
      <c r="G561" s="193"/>
      <c r="H561" s="105" t="n">
        <f aca="false">'[2]$ зима'!j561-'[2]$ зима'!au561-'[2]$ зима'!at561-'[2]$ зима'!as561-'[2]$ зима'!ar561-'[2]$ зима'!aq561-'[2]$ зима'!ap561-'[2]$ зима'!an561-'[2]$ зима'!am561-'[2]$ зима'!al561-'[2]$ зима'!ak561-'[2]$ зима'!aj561-'[2]$ зима'!ah561-'[2]$ зима'!ag561-'[2]$ зима'!af561-'[2]$ зима'!ae561-'[2]$ зима'!ad561-'[2]$ зима'!ab561-'[2]$ зима'!aa561-'[2]$ зима'!z561-'[2]$ зима'!y561-'[2]$ зима'!x561-'[2]$ зима'!v561-'[2]$ зима'!u561-'[2]$ зима'!t561-'[2]$ зима'!s561-'[2]$ зима'!r561-'[2]$ зима'!p561-'[2]$ зима'!o561-'[2]$ зима'!n561-'[2]$ зима'!m561-'[2]$ зима'!l561+'[2]$ зима'!q561+'[2]$ зима'!w561+'[2]$ зима'!ac561+'[2]$ зима'!ai561+'[2]$ зима'!ao561+'[2]$ зима'!k561</f>
        <v>0</v>
      </c>
      <c r="I561" s="191" t="n">
        <f aca="false">'[2]$ зима'!ay561*1.1</f>
        <v>2556.4</v>
      </c>
      <c r="J561" s="171" t="n">
        <v>2017</v>
      </c>
    </row>
    <row r="562" customFormat="false" ht="15" hidden="true" customHeight="false" outlineLevel="0" collapsed="false">
      <c r="A562" s="188" t="s">
        <v>228</v>
      </c>
      <c r="B562" s="149" t="s">
        <v>3193</v>
      </c>
      <c r="C562" s="148" t="s">
        <v>3194</v>
      </c>
      <c r="D562" s="148"/>
      <c r="E562" s="148"/>
      <c r="F562" s="148"/>
      <c r="G562" s="193" t="s">
        <v>1954</v>
      </c>
      <c r="H562" s="105" t="n">
        <f aca="false">'[2]$ зима'!j562-'[2]$ зима'!au562-'[2]$ зима'!at562-'[2]$ зима'!as562-'[2]$ зима'!ar562-'[2]$ зима'!aq562-'[2]$ зима'!ap562-'[2]$ зима'!an562-'[2]$ зима'!am562-'[2]$ зима'!al562-'[2]$ зима'!ak562-'[2]$ зима'!aj562-'[2]$ зима'!ah562-'[2]$ зима'!ag562-'[2]$ зима'!af562-'[2]$ зима'!ae562-'[2]$ зима'!ad562-'[2]$ зима'!ab562-'[2]$ зима'!aa562-'[2]$ зима'!z562-'[2]$ зима'!y562-'[2]$ зима'!x562-'[2]$ зима'!v562-'[2]$ зима'!u562-'[2]$ зима'!t562-'[2]$ зима'!s562-'[2]$ зима'!r562-'[2]$ зима'!p562-'[2]$ зима'!o562-'[2]$ зима'!n562-'[2]$ зима'!m562-'[2]$ зима'!l562+'[2]$ зима'!q562+'[2]$ зима'!w562+'[2]$ зима'!ac562+'[2]$ зима'!ai562+'[2]$ зима'!ao562+'[2]$ зима'!k562</f>
        <v>0</v>
      </c>
      <c r="I562" s="191" t="n">
        <f aca="false">'[2]$ зима'!ay562*1.1</f>
        <v>1878.8</v>
      </c>
    </row>
    <row r="563" customFormat="false" ht="15" hidden="true" customHeight="false" outlineLevel="0" collapsed="false">
      <c r="A563" s="188" t="s">
        <v>228</v>
      </c>
      <c r="B563" s="149" t="s">
        <v>646</v>
      </c>
      <c r="C563" s="148" t="s">
        <v>3213</v>
      </c>
      <c r="D563" s="148"/>
      <c r="E563" s="148"/>
      <c r="F563" s="148"/>
      <c r="G563" s="193"/>
      <c r="H563" s="105" t="n">
        <f aca="false">'[2]$ зима'!j563-'[2]$ зима'!au563-'[2]$ зима'!at563-'[2]$ зима'!as563-'[2]$ зима'!ar563-'[2]$ зима'!aq563-'[2]$ зима'!ap563-'[2]$ зима'!an563-'[2]$ зима'!am563-'[2]$ зима'!al563-'[2]$ зима'!ak563-'[2]$ зима'!aj563-'[2]$ зима'!ah563-'[2]$ зима'!ag563-'[2]$ зима'!af563-'[2]$ зима'!ae563-'[2]$ зима'!ad563-'[2]$ зима'!ab563-'[2]$ зима'!aa563-'[2]$ зима'!z563-'[2]$ зима'!y563-'[2]$ зима'!x563-'[2]$ зима'!v563-'[2]$ зима'!u563-'[2]$ зима'!t563-'[2]$ зима'!s563-'[2]$ зима'!r563-'[2]$ зима'!p563-'[2]$ зима'!o563-'[2]$ зима'!n563-'[2]$ зима'!m563-'[2]$ зима'!l563+'[2]$ зима'!q563+'[2]$ зима'!w563+'[2]$ зима'!ac563+'[2]$ зима'!ai563+'[2]$ зима'!ao563+'[2]$ зима'!k563</f>
        <v>0</v>
      </c>
      <c r="I563" s="191" t="n">
        <f aca="false">'[2]$ зима'!ay563*1.1</f>
        <v>1078</v>
      </c>
    </row>
    <row r="564" customFormat="false" ht="15" hidden="false" customHeight="false" outlineLevel="0" collapsed="false">
      <c r="A564" s="188" t="s">
        <v>228</v>
      </c>
      <c r="B564" s="149" t="s">
        <v>707</v>
      </c>
      <c r="C564" s="148" t="s">
        <v>3408</v>
      </c>
      <c r="D564" s="148"/>
      <c r="E564" s="192"/>
      <c r="F564" s="192"/>
      <c r="G564" s="193"/>
      <c r="H564" s="105" t="n">
        <f aca="false">'[2]$ зима'!j564-'[2]$ зима'!au564-'[2]$ зима'!at564-'[2]$ зима'!as564-'[2]$ зима'!ar564-'[2]$ зима'!aq564-'[2]$ зима'!ap564-'[2]$ зима'!an564-'[2]$ зима'!am564-'[2]$ зима'!al564-'[2]$ зима'!ak564-'[2]$ зима'!aj564-'[2]$ зима'!ah564-'[2]$ зима'!ag564-'[2]$ зима'!af564-'[2]$ зима'!ae564-'[2]$ зима'!ad564-'[2]$ зима'!ab564-'[2]$ зима'!aa564-'[2]$ зима'!z564-'[2]$ зима'!y564-'[2]$ зима'!x564-'[2]$ зима'!v564-'[2]$ зима'!u564-'[2]$ зима'!t564-'[2]$ зима'!s564-'[2]$ зима'!r564-'[2]$ зима'!p564-'[2]$ зима'!o564-'[2]$ зима'!n564-'[2]$ зима'!m564-'[2]$ зима'!l564+'[2]$ зима'!q564+'[2]$ зима'!w564+'[2]$ зима'!ac564+'[2]$ зима'!ai564+'[2]$ зима'!ao564+'[2]$ зима'!k564</f>
        <v>2</v>
      </c>
      <c r="I564" s="191" t="n">
        <f aca="false">'[2]$ зима'!ay564*1.1</f>
        <v>1540</v>
      </c>
    </row>
    <row r="565" customFormat="false" ht="15" hidden="false" customHeight="false" outlineLevel="0" collapsed="false">
      <c r="A565" s="188" t="s">
        <v>228</v>
      </c>
      <c r="B565" s="149" t="s">
        <v>3409</v>
      </c>
      <c r="C565" s="148" t="s">
        <v>3410</v>
      </c>
      <c r="D565" s="148"/>
      <c r="E565" s="192" t="n">
        <v>91</v>
      </c>
      <c r="F565" s="192" t="s">
        <v>634</v>
      </c>
      <c r="G565" s="193"/>
      <c r="H565" s="105" t="n">
        <f aca="false">'[2]$ зима'!j565-'[2]$ зима'!au565-'[2]$ зима'!at565-'[2]$ зима'!as565-'[2]$ зима'!ar565-'[2]$ зима'!aq565-'[2]$ зима'!ap565-'[2]$ зима'!an565-'[2]$ зима'!am565-'[2]$ зима'!al565-'[2]$ зима'!ak565-'[2]$ зима'!aj565-'[2]$ зима'!ah565-'[2]$ зима'!ag565-'[2]$ зима'!af565-'[2]$ зима'!ae565-'[2]$ зима'!ad565-'[2]$ зима'!ab565-'[2]$ зима'!aa565-'[2]$ зима'!z565-'[2]$ зима'!y565-'[2]$ зима'!x565-'[2]$ зима'!v565-'[2]$ зима'!u565-'[2]$ зима'!t565-'[2]$ зима'!s565-'[2]$ зима'!r565-'[2]$ зима'!p565-'[2]$ зима'!o565-'[2]$ зима'!n565-'[2]$ зима'!m565-'[2]$ зима'!l565+'[2]$ зима'!q565+'[2]$ зима'!w565+'[2]$ зима'!ac565+'[2]$ зима'!ai565+'[2]$ зима'!ao565+'[2]$ зима'!k565</f>
        <v>8</v>
      </c>
      <c r="I565" s="191" t="n">
        <f aca="false">'[2]$ зима'!ay565*1.1</f>
        <v>1324.4</v>
      </c>
    </row>
    <row r="566" customFormat="false" ht="15" hidden="true" customHeight="false" outlineLevel="0" collapsed="false">
      <c r="A566" s="188" t="s">
        <v>228</v>
      </c>
      <c r="B566" s="149" t="s">
        <v>604</v>
      </c>
      <c r="C566" s="148" t="s">
        <v>3152</v>
      </c>
      <c r="D566" s="148"/>
      <c r="E566" s="148"/>
      <c r="F566" s="148"/>
      <c r="G566" s="193" t="s">
        <v>1240</v>
      </c>
      <c r="H566" s="105" t="n">
        <f aca="false">'[2]$ зима'!j566-'[2]$ зима'!au566-'[2]$ зима'!at566-'[2]$ зима'!as566-'[2]$ зима'!ar566-'[2]$ зима'!aq566-'[2]$ зима'!ap566-'[2]$ зима'!an566-'[2]$ зима'!am566-'[2]$ зима'!al566-'[2]$ зима'!ak566-'[2]$ зима'!aj566-'[2]$ зима'!ah566-'[2]$ зима'!ag566-'[2]$ зима'!af566-'[2]$ зима'!ae566-'[2]$ зима'!ad566-'[2]$ зима'!ab566-'[2]$ зима'!aa566-'[2]$ зима'!z566-'[2]$ зима'!y566-'[2]$ зима'!x566-'[2]$ зима'!v566-'[2]$ зима'!u566-'[2]$ зима'!t566-'[2]$ зима'!s566-'[2]$ зима'!r566-'[2]$ зима'!p566-'[2]$ зима'!o566-'[2]$ зима'!n566-'[2]$ зима'!m566-'[2]$ зима'!l566+'[2]$ зима'!q566+'[2]$ зима'!w566+'[2]$ зима'!ac566+'[2]$ зима'!ai566+'[2]$ зима'!ao566+'[2]$ зима'!k566</f>
        <v>0</v>
      </c>
      <c r="I566" s="191" t="n">
        <f aca="false">'[2]$ зима'!ay566*1.1</f>
        <v>1786.4</v>
      </c>
    </row>
    <row r="567" customFormat="false" ht="15" hidden="false" customHeight="false" outlineLevel="0" collapsed="false">
      <c r="A567" s="188" t="s">
        <v>228</v>
      </c>
      <c r="B567" s="149" t="s">
        <v>744</v>
      </c>
      <c r="C567" s="148" t="s">
        <v>3411</v>
      </c>
      <c r="D567" s="148"/>
      <c r="E567" s="192"/>
      <c r="F567" s="192"/>
      <c r="G567" s="193" t="s">
        <v>935</v>
      </c>
      <c r="H567" s="105" t="n">
        <f aca="false">'[2]$ зима'!j567-'[2]$ зима'!au567-'[2]$ зима'!at567-'[2]$ зима'!as567-'[2]$ зима'!ar567-'[2]$ зима'!aq567-'[2]$ зима'!ap567-'[2]$ зима'!an567-'[2]$ зима'!am567-'[2]$ зима'!al567-'[2]$ зима'!ak567-'[2]$ зима'!aj567-'[2]$ зима'!ah567-'[2]$ зима'!ag567-'[2]$ зима'!af567-'[2]$ зима'!ae567-'[2]$ зима'!ad567-'[2]$ зима'!ab567-'[2]$ зима'!aa567-'[2]$ зима'!z567-'[2]$ зима'!y567-'[2]$ зима'!x567-'[2]$ зима'!v567-'[2]$ зима'!u567-'[2]$ зима'!t567-'[2]$ зима'!s567-'[2]$ зима'!r567-'[2]$ зима'!p567-'[2]$ зима'!o567-'[2]$ зима'!n567-'[2]$ зима'!m567-'[2]$ зима'!l567+'[2]$ зима'!q567+'[2]$ зима'!w567+'[2]$ зима'!ac567+'[2]$ зима'!ai567+'[2]$ зима'!ao567+'[2]$ зима'!k567</f>
        <v>4</v>
      </c>
      <c r="I567" s="191" t="n">
        <f aca="false">'[2]$ зима'!ay567*1.1</f>
        <v>1601.6</v>
      </c>
    </row>
    <row r="568" customFormat="false" ht="15" hidden="false" customHeight="false" outlineLevel="0" collapsed="false">
      <c r="A568" s="188" t="s">
        <v>228</v>
      </c>
      <c r="B568" s="149" t="s">
        <v>2480</v>
      </c>
      <c r="C568" s="148" t="s">
        <v>3412</v>
      </c>
      <c r="D568" s="148" t="s">
        <v>3147</v>
      </c>
      <c r="E568" s="192"/>
      <c r="F568" s="192"/>
      <c r="G568" s="193" t="s">
        <v>843</v>
      </c>
      <c r="H568" s="105" t="n">
        <f aca="false">'[2]$ зима'!j568-'[2]$ зима'!au568-'[2]$ зима'!at568-'[2]$ зима'!as568-'[2]$ зима'!ar568-'[2]$ зима'!aq568-'[2]$ зима'!ap568-'[2]$ зима'!an568-'[2]$ зима'!am568-'[2]$ зима'!al568-'[2]$ зима'!ak568-'[2]$ зима'!aj568-'[2]$ зима'!ah568-'[2]$ зима'!ag568-'[2]$ зима'!af568-'[2]$ зима'!ae568-'[2]$ зима'!ad568-'[2]$ зима'!ab568-'[2]$ зима'!aa568-'[2]$ зима'!z568-'[2]$ зима'!y568-'[2]$ зима'!x568-'[2]$ зима'!v568-'[2]$ зима'!u568-'[2]$ зима'!t568-'[2]$ зима'!s568-'[2]$ зима'!r568-'[2]$ зима'!p568-'[2]$ зима'!o568-'[2]$ зима'!n568-'[2]$ зима'!m568-'[2]$ зима'!l568+'[2]$ зима'!q568+'[2]$ зима'!w568+'[2]$ зима'!ac568+'[2]$ зима'!ai568+'[2]$ зима'!ao568+'[2]$ зима'!k568</f>
        <v>2</v>
      </c>
      <c r="I568" s="191" t="n">
        <f aca="false">'[2]$ зима'!ay568*1.1</f>
        <v>1848</v>
      </c>
      <c r="J568" s="171" t="n">
        <v>2008</v>
      </c>
    </row>
    <row r="569" customFormat="false" ht="15" hidden="false" customHeight="false" outlineLevel="0" collapsed="false">
      <c r="A569" s="217" t="s">
        <v>228</v>
      </c>
      <c r="B569" s="157" t="s">
        <v>2480</v>
      </c>
      <c r="C569" s="158" t="s">
        <v>3413</v>
      </c>
      <c r="D569" s="158"/>
      <c r="E569" s="224"/>
      <c r="F569" s="224"/>
      <c r="G569" s="218"/>
      <c r="H569" s="105" t="n">
        <f aca="false">'[2]$ зима'!j569-'[2]$ зима'!au569-'[2]$ зима'!at569-'[2]$ зима'!as569-'[2]$ зима'!ar569-'[2]$ зима'!aq569-'[2]$ зима'!ap569-'[2]$ зима'!an569-'[2]$ зима'!am569-'[2]$ зима'!al569-'[2]$ зима'!ak569-'[2]$ зима'!aj569-'[2]$ зима'!ah569-'[2]$ зима'!ag569-'[2]$ зима'!af569-'[2]$ зима'!ae569-'[2]$ зима'!ad569-'[2]$ зима'!ab569-'[2]$ зима'!aa569-'[2]$ зима'!z569-'[2]$ зима'!y569-'[2]$ зима'!x569-'[2]$ зима'!v569-'[2]$ зима'!u569-'[2]$ зима'!t569-'[2]$ зима'!s569-'[2]$ зима'!r569-'[2]$ зима'!p569-'[2]$ зима'!o569-'[2]$ зима'!n569-'[2]$ зима'!m569-'[2]$ зима'!l569+'[2]$ зима'!q569+'[2]$ зима'!w569+'[2]$ зима'!ac569+'[2]$ зима'!ai569+'[2]$ зима'!ao569+'[2]$ зима'!k569</f>
        <v>4</v>
      </c>
      <c r="I569" s="219" t="n">
        <f aca="false">'[2]$ зима'!ay569*1.1</f>
        <v>0</v>
      </c>
    </row>
    <row r="570" customFormat="false" ht="15" hidden="true" customHeight="false" outlineLevel="0" collapsed="false">
      <c r="A570" s="188" t="s">
        <v>228</v>
      </c>
      <c r="B570" s="149" t="s">
        <v>3414</v>
      </c>
      <c r="C570" s="148" t="s">
        <v>3415</v>
      </c>
      <c r="D570" s="148"/>
      <c r="E570" s="148"/>
      <c r="F570" s="148"/>
      <c r="G570" s="193"/>
      <c r="H570" s="105" t="n">
        <f aca="false">'[2]$ зима'!j570-'[2]$ зима'!au570-'[2]$ зима'!at570-'[2]$ зима'!as570-'[2]$ зима'!ar570-'[2]$ зима'!aq570-'[2]$ зима'!ap570-'[2]$ зима'!an570-'[2]$ зима'!am570-'[2]$ зима'!al570-'[2]$ зима'!ak570-'[2]$ зима'!aj570-'[2]$ зима'!ah570-'[2]$ зима'!ag570-'[2]$ зима'!af570-'[2]$ зима'!ae570-'[2]$ зима'!ad570-'[2]$ зима'!ab570-'[2]$ зима'!aa570-'[2]$ зима'!z570-'[2]$ зима'!y570-'[2]$ зима'!x570-'[2]$ зима'!v570-'[2]$ зима'!u570-'[2]$ зима'!t570-'[2]$ зима'!s570-'[2]$ зима'!r570-'[2]$ зима'!p570-'[2]$ зима'!o570-'[2]$ зима'!n570-'[2]$ зима'!m570-'[2]$ зима'!l570+'[2]$ зима'!q570+'[2]$ зима'!w570+'[2]$ зима'!ac570+'[2]$ зима'!ai570+'[2]$ зима'!ao570+'[2]$ зима'!k570</f>
        <v>0</v>
      </c>
      <c r="I570" s="191" t="n">
        <f aca="false">'[2]$ зима'!ay570*1.1</f>
        <v>1232</v>
      </c>
    </row>
    <row r="571" customFormat="false" ht="15" hidden="true" customHeight="false" outlineLevel="0" collapsed="false">
      <c r="A571" s="188" t="s">
        <v>228</v>
      </c>
      <c r="B571" s="149" t="s">
        <v>948</v>
      </c>
      <c r="C571" s="148" t="s">
        <v>3416</v>
      </c>
      <c r="D571" s="148"/>
      <c r="E571" s="148"/>
      <c r="F571" s="148"/>
      <c r="G571" s="193" t="s">
        <v>693</v>
      </c>
      <c r="H571" s="105" t="n">
        <f aca="false">'[2]$ зима'!j571-'[2]$ зима'!au571-'[2]$ зима'!at571-'[2]$ зима'!as571-'[2]$ зима'!ar571-'[2]$ зима'!aq571-'[2]$ зима'!ap571-'[2]$ зима'!an571-'[2]$ зима'!am571-'[2]$ зима'!al571-'[2]$ зима'!ak571-'[2]$ зима'!aj571-'[2]$ зима'!ah571-'[2]$ зима'!ag571-'[2]$ зима'!af571-'[2]$ зима'!ae571-'[2]$ зима'!ad571-'[2]$ зима'!ab571-'[2]$ зима'!aa571-'[2]$ зима'!z571-'[2]$ зима'!y571-'[2]$ зима'!x571-'[2]$ зима'!v571-'[2]$ зима'!u571-'[2]$ зима'!t571-'[2]$ зима'!s571-'[2]$ зима'!r571-'[2]$ зима'!p571-'[2]$ зима'!o571-'[2]$ зима'!n571-'[2]$ зима'!m571-'[2]$ зима'!l571+'[2]$ зима'!q571+'[2]$ зима'!w571+'[2]$ зима'!ac571+'[2]$ зима'!ai571+'[2]$ зима'!ao571+'[2]$ зима'!k571</f>
        <v>0</v>
      </c>
      <c r="I571" s="191" t="n">
        <f aca="false">'[2]$ зима'!ay571*1.1</f>
        <v>2618</v>
      </c>
    </row>
    <row r="572" customFormat="false" ht="15" hidden="true" customHeight="false" outlineLevel="0" collapsed="false">
      <c r="A572" s="188" t="s">
        <v>228</v>
      </c>
      <c r="B572" s="149" t="s">
        <v>948</v>
      </c>
      <c r="C572" s="148" t="s">
        <v>3336</v>
      </c>
      <c r="D572" s="148"/>
      <c r="E572" s="148"/>
      <c r="F572" s="148"/>
      <c r="G572" s="193" t="s">
        <v>693</v>
      </c>
      <c r="H572" s="105" t="n">
        <f aca="false">'[2]$ зима'!j572-'[2]$ зима'!au572-'[2]$ зима'!at572-'[2]$ зима'!as572-'[2]$ зима'!ar572-'[2]$ зима'!aq572-'[2]$ зима'!ap572-'[2]$ зима'!an572-'[2]$ зима'!am572-'[2]$ зима'!al572-'[2]$ зима'!ak572-'[2]$ зима'!aj572-'[2]$ зима'!ah572-'[2]$ зима'!ag572-'[2]$ зима'!af572-'[2]$ зима'!ae572-'[2]$ зима'!ad572-'[2]$ зима'!ab572-'[2]$ зима'!aa572-'[2]$ зима'!z572-'[2]$ зима'!y572-'[2]$ зима'!x572-'[2]$ зима'!v572-'[2]$ зима'!u572-'[2]$ зима'!t572-'[2]$ зима'!s572-'[2]$ зима'!r572-'[2]$ зима'!p572-'[2]$ зима'!o572-'[2]$ зима'!n572-'[2]$ зима'!m572-'[2]$ зима'!l572+'[2]$ зима'!q572+'[2]$ зима'!w572+'[2]$ зима'!ac572+'[2]$ зима'!ai572+'[2]$ зима'!ao572+'[2]$ зима'!k572</f>
        <v>0</v>
      </c>
      <c r="I572" s="191" t="n">
        <f aca="false">'[2]$ зима'!ay572*1.1</f>
        <v>1724.8</v>
      </c>
    </row>
    <row r="573" customFormat="false" ht="15" hidden="true" customHeight="false" outlineLevel="0" collapsed="false">
      <c r="A573" s="188" t="s">
        <v>228</v>
      </c>
      <c r="B573" s="149" t="s">
        <v>606</v>
      </c>
      <c r="C573" s="148" t="s">
        <v>3284</v>
      </c>
      <c r="D573" s="148"/>
      <c r="E573" s="148"/>
      <c r="F573" s="148"/>
      <c r="G573" s="193"/>
      <c r="H573" s="105" t="n">
        <f aca="false">'[2]$ зима'!j573-'[2]$ зима'!au573-'[2]$ зима'!at573-'[2]$ зима'!as573-'[2]$ зима'!ar573-'[2]$ зима'!aq573-'[2]$ зима'!ap573-'[2]$ зима'!an573-'[2]$ зима'!am573-'[2]$ зима'!al573-'[2]$ зима'!ak573-'[2]$ зима'!aj573-'[2]$ зима'!ah573-'[2]$ зима'!ag573-'[2]$ зима'!af573-'[2]$ зима'!ae573-'[2]$ зима'!ad573-'[2]$ зима'!ab573-'[2]$ зима'!aa573-'[2]$ зима'!z573-'[2]$ зима'!y573-'[2]$ зима'!x573-'[2]$ зима'!v573-'[2]$ зима'!u573-'[2]$ зима'!t573-'[2]$ зима'!s573-'[2]$ зима'!r573-'[2]$ зима'!p573-'[2]$ зима'!o573-'[2]$ зима'!n573-'[2]$ зима'!m573-'[2]$ зима'!l573+'[2]$ зима'!q573+'[2]$ зима'!w573+'[2]$ зима'!ac573+'[2]$ зима'!ai573+'[2]$ зима'!ao573+'[2]$ зима'!k573</f>
        <v>0</v>
      </c>
      <c r="I573" s="191" t="n">
        <f aca="false">'[2]$ зима'!ay573*1.1</f>
        <v>1878.8</v>
      </c>
      <c r="J573" s="171" t="n">
        <v>2017</v>
      </c>
    </row>
    <row r="574" customFormat="false" ht="15" hidden="false" customHeight="false" outlineLevel="0" collapsed="false">
      <c r="A574" s="188" t="s">
        <v>228</v>
      </c>
      <c r="B574" s="149" t="s">
        <v>606</v>
      </c>
      <c r="C574" s="148" t="s">
        <v>3417</v>
      </c>
      <c r="D574" s="148" t="s">
        <v>3147</v>
      </c>
      <c r="E574" s="192"/>
      <c r="F574" s="192"/>
      <c r="G574" s="193"/>
      <c r="H574" s="105" t="n">
        <f aca="false">'[2]$ зима'!j574-'[2]$ зима'!au574-'[2]$ зима'!at574-'[2]$ зима'!as574-'[2]$ зима'!ar574-'[2]$ зима'!aq574-'[2]$ зима'!ap574-'[2]$ зима'!an574-'[2]$ зима'!am574-'[2]$ зима'!al574-'[2]$ зима'!ak574-'[2]$ зима'!aj574-'[2]$ зима'!ah574-'[2]$ зима'!ag574-'[2]$ зима'!af574-'[2]$ зима'!ae574-'[2]$ зима'!ad574-'[2]$ зима'!ab574-'[2]$ зима'!aa574-'[2]$ зима'!z574-'[2]$ зима'!y574-'[2]$ зима'!x574-'[2]$ зима'!v574-'[2]$ зима'!u574-'[2]$ зима'!t574-'[2]$ зима'!s574-'[2]$ зима'!r574-'[2]$ зима'!p574-'[2]$ зима'!o574-'[2]$ зима'!n574-'[2]$ зима'!m574-'[2]$ зима'!l574+'[2]$ зима'!q574+'[2]$ зима'!w574+'[2]$ зима'!ac574+'[2]$ зима'!ai574+'[2]$ зима'!ao574+'[2]$ зима'!k574</f>
        <v>2</v>
      </c>
      <c r="I574" s="191" t="n">
        <f aca="false">'[2]$ зима'!ay574*1.1</f>
        <v>1848</v>
      </c>
    </row>
    <row r="575" customFormat="false" ht="15" hidden="true" customHeight="false" outlineLevel="0" collapsed="false">
      <c r="A575" s="188" t="s">
        <v>228</v>
      </c>
      <c r="B575" s="149" t="s">
        <v>606</v>
      </c>
      <c r="C575" s="148" t="s">
        <v>3363</v>
      </c>
      <c r="D575" s="148"/>
      <c r="E575" s="148" t="n">
        <v>94</v>
      </c>
      <c r="F575" s="148" t="s">
        <v>634</v>
      </c>
      <c r="G575" s="193"/>
      <c r="H575" s="105" t="n">
        <f aca="false">'[2]$ зима'!j575-'[2]$ зима'!au575-'[2]$ зима'!at575-'[2]$ зима'!as575-'[2]$ зима'!ar575-'[2]$ зима'!aq575-'[2]$ зима'!ap575-'[2]$ зима'!an575-'[2]$ зима'!am575-'[2]$ зима'!al575-'[2]$ зима'!ak575-'[2]$ зима'!aj575-'[2]$ зима'!ah575-'[2]$ зима'!ag575-'[2]$ зима'!af575-'[2]$ зима'!ae575-'[2]$ зима'!ad575-'[2]$ зима'!ab575-'[2]$ зима'!aa575-'[2]$ зима'!z575-'[2]$ зима'!y575-'[2]$ зима'!x575-'[2]$ зима'!v575-'[2]$ зима'!u575-'[2]$ зима'!t575-'[2]$ зима'!s575-'[2]$ зима'!r575-'[2]$ зима'!p575-'[2]$ зима'!o575-'[2]$ зима'!n575-'[2]$ зима'!m575-'[2]$ зима'!l575+'[2]$ зима'!q575+'[2]$ зима'!w575+'[2]$ зима'!ac575+'[2]$ зима'!ai575+'[2]$ зима'!ao575+'[2]$ зима'!k575</f>
        <v>0</v>
      </c>
      <c r="I575" s="191" t="n">
        <f aca="false">'[2]$ зима'!ay575*1.1</f>
        <v>1755.6</v>
      </c>
    </row>
    <row r="576" customFormat="false" ht="15" hidden="false" customHeight="false" outlineLevel="0" collapsed="false">
      <c r="A576" s="188" t="s">
        <v>228</v>
      </c>
      <c r="B576" s="149" t="s">
        <v>606</v>
      </c>
      <c r="C576" s="148" t="s">
        <v>3231</v>
      </c>
      <c r="D576" s="148"/>
      <c r="E576" s="192" t="n">
        <v>94</v>
      </c>
      <c r="F576" s="192" t="s">
        <v>3216</v>
      </c>
      <c r="G576" s="193" t="s">
        <v>609</v>
      </c>
      <c r="H576" s="105" t="n">
        <f aca="false">'[2]$ зима'!j576-'[2]$ зима'!au576-'[2]$ зима'!at576-'[2]$ зима'!as576-'[2]$ зима'!ar576-'[2]$ зима'!aq576-'[2]$ зима'!ap576-'[2]$ зима'!an576-'[2]$ зима'!am576-'[2]$ зима'!al576-'[2]$ зима'!ak576-'[2]$ зима'!aj576-'[2]$ зима'!ah576-'[2]$ зима'!ag576-'[2]$ зима'!af576-'[2]$ зима'!ae576-'[2]$ зима'!ad576-'[2]$ зима'!ab576-'[2]$ зима'!aa576-'[2]$ зима'!z576-'[2]$ зима'!y576-'[2]$ зима'!x576-'[2]$ зима'!v576-'[2]$ зима'!u576-'[2]$ зима'!t576-'[2]$ зима'!s576-'[2]$ зима'!r576-'[2]$ зима'!p576-'[2]$ зима'!o576-'[2]$ зима'!n576-'[2]$ зима'!m576-'[2]$ зима'!l576+'[2]$ зима'!q576+'[2]$ зима'!w576+'[2]$ зима'!ac576+'[2]$ зима'!ai576+'[2]$ зима'!ao576+'[2]$ зима'!k576</f>
        <v>18</v>
      </c>
      <c r="I576" s="191" t="n">
        <f aca="false">'[2]$ зима'!ay576*1.1</f>
        <v>1817.2</v>
      </c>
      <c r="J576" s="171" t="n">
        <v>2018</v>
      </c>
    </row>
    <row r="577" customFormat="false" ht="15" hidden="false" customHeight="false" outlineLevel="0" collapsed="false">
      <c r="A577" s="188" t="s">
        <v>228</v>
      </c>
      <c r="B577" s="149" t="s">
        <v>1537</v>
      </c>
      <c r="C577" s="148" t="s">
        <v>3418</v>
      </c>
      <c r="D577" s="148"/>
      <c r="E577" s="192" t="n">
        <v>91</v>
      </c>
      <c r="F577" s="192" t="s">
        <v>634</v>
      </c>
      <c r="G577" s="193"/>
      <c r="H577" s="105" t="n">
        <f aca="false">'[2]$ зима'!j577-'[2]$ зима'!au577-'[2]$ зима'!at577-'[2]$ зима'!as577-'[2]$ зима'!ar577-'[2]$ зима'!aq577-'[2]$ зима'!ap577-'[2]$ зима'!an577-'[2]$ зима'!am577-'[2]$ зима'!al577-'[2]$ зима'!ak577-'[2]$ зима'!aj577-'[2]$ зима'!ah577-'[2]$ зима'!ag577-'[2]$ зима'!af577-'[2]$ зима'!ae577-'[2]$ зима'!ad577-'[2]$ зима'!ab577-'[2]$ зима'!aa577-'[2]$ зима'!z577-'[2]$ зима'!y577-'[2]$ зима'!x577-'[2]$ зима'!v577-'[2]$ зима'!u577-'[2]$ зима'!t577-'[2]$ зима'!s577-'[2]$ зима'!r577-'[2]$ зима'!p577-'[2]$ зима'!o577-'[2]$ зима'!n577-'[2]$ зима'!m577-'[2]$ зима'!l577+'[2]$ зима'!q577+'[2]$ зима'!w577+'[2]$ зима'!ac577+'[2]$ зима'!ai577+'[2]$ зима'!ao577+'[2]$ зима'!k577</f>
        <v>4</v>
      </c>
      <c r="I577" s="191" t="n">
        <f aca="false">'[2]$ зима'!ay577*1.1</f>
        <v>1324.4</v>
      </c>
    </row>
    <row r="578" customFormat="false" ht="15" hidden="false" customHeight="false" outlineLevel="0" collapsed="false">
      <c r="A578" s="188" t="s">
        <v>228</v>
      </c>
      <c r="B578" s="149" t="s">
        <v>777</v>
      </c>
      <c r="C578" s="148"/>
      <c r="D578" s="148"/>
      <c r="E578" s="192"/>
      <c r="F578" s="192"/>
      <c r="G578" s="193"/>
      <c r="H578" s="105" t="n">
        <f aca="false">'[2]$ зима'!j578-'[2]$ зима'!au578-'[2]$ зима'!at578-'[2]$ зима'!as578-'[2]$ зима'!ar578-'[2]$ зима'!aq578-'[2]$ зима'!ap578-'[2]$ зима'!an578-'[2]$ зима'!am578-'[2]$ зима'!al578-'[2]$ зима'!ak578-'[2]$ зима'!aj578-'[2]$ зима'!ah578-'[2]$ зима'!ag578-'[2]$ зима'!af578-'[2]$ зима'!ae578-'[2]$ зима'!ad578-'[2]$ зима'!ab578-'[2]$ зима'!aa578-'[2]$ зима'!z578-'[2]$ зима'!y578-'[2]$ зима'!x578-'[2]$ зима'!v578-'[2]$ зима'!u578-'[2]$ зима'!t578-'[2]$ зима'!s578-'[2]$ зима'!r578-'[2]$ зима'!p578-'[2]$ зима'!o578-'[2]$ зима'!n578-'[2]$ зима'!m578-'[2]$ зима'!l578+'[2]$ зима'!q578+'[2]$ зима'!w578+'[2]$ зима'!ac578+'[2]$ зима'!ai578+'[2]$ зима'!ao578+'[2]$ зима'!k578</f>
        <v>4</v>
      </c>
      <c r="I578" s="191" t="n">
        <f aca="false">'[2]$ зима'!ay578*1.1</f>
        <v>1324.4</v>
      </c>
      <c r="J578" s="171" t="s">
        <v>3419</v>
      </c>
    </row>
    <row r="579" customFormat="false" ht="15" hidden="false" customHeight="false" outlineLevel="0" collapsed="false">
      <c r="A579" s="188" t="s">
        <v>228</v>
      </c>
      <c r="B579" s="149" t="s">
        <v>666</v>
      </c>
      <c r="C579" s="148" t="s">
        <v>3420</v>
      </c>
      <c r="D579" s="148"/>
      <c r="E579" s="192"/>
      <c r="F579" s="192"/>
      <c r="G579" s="193"/>
      <c r="H579" s="105" t="n">
        <f aca="false">'[2]$ зима'!j579-'[2]$ зима'!au579-'[2]$ зима'!at579-'[2]$ зима'!as579-'[2]$ зима'!ar579-'[2]$ зима'!aq579-'[2]$ зима'!ap579-'[2]$ зима'!an579-'[2]$ зима'!am579-'[2]$ зима'!al579-'[2]$ зима'!ak579-'[2]$ зима'!aj579-'[2]$ зима'!ah579-'[2]$ зима'!ag579-'[2]$ зима'!af579-'[2]$ зима'!ae579-'[2]$ зима'!ad579-'[2]$ зима'!ab579-'[2]$ зима'!aa579-'[2]$ зима'!z579-'[2]$ зима'!y579-'[2]$ зима'!x579-'[2]$ зима'!v579-'[2]$ зима'!u579-'[2]$ зима'!t579-'[2]$ зима'!s579-'[2]$ зима'!r579-'[2]$ зима'!p579-'[2]$ зима'!o579-'[2]$ зима'!n579-'[2]$ зима'!m579-'[2]$ зима'!l579+'[2]$ зима'!q579+'[2]$ зима'!w579+'[2]$ зима'!ac579+'[2]$ зима'!ai579+'[2]$ зима'!ao579+'[2]$ зима'!k579</f>
        <v>4</v>
      </c>
      <c r="I579" s="191" t="n">
        <f aca="false">'[2]$ зима'!ay579*1.1</f>
        <v>1447.6</v>
      </c>
    </row>
    <row r="580" customFormat="false" ht="15" hidden="false" customHeight="false" outlineLevel="0" collapsed="false">
      <c r="A580" s="188" t="s">
        <v>228</v>
      </c>
      <c r="B580" s="149" t="s">
        <v>666</v>
      </c>
      <c r="C580" s="148" t="s">
        <v>3421</v>
      </c>
      <c r="D580" s="148"/>
      <c r="E580" s="192"/>
      <c r="F580" s="192"/>
      <c r="G580" s="193" t="s">
        <v>663</v>
      </c>
      <c r="H580" s="105" t="n">
        <f aca="false">'[2]$ зима'!j580-'[2]$ зима'!au580-'[2]$ зима'!at580-'[2]$ зима'!as580-'[2]$ зима'!ar580-'[2]$ зима'!aq580-'[2]$ зима'!ap580-'[2]$ зима'!an580-'[2]$ зима'!am580-'[2]$ зима'!al580-'[2]$ зима'!ak580-'[2]$ зима'!aj580-'[2]$ зима'!ah580-'[2]$ зима'!ag580-'[2]$ зима'!af580-'[2]$ зима'!ae580-'[2]$ зима'!ad580-'[2]$ зима'!ab580-'[2]$ зима'!aa580-'[2]$ зима'!z580-'[2]$ зима'!y580-'[2]$ зима'!x580-'[2]$ зима'!v580-'[2]$ зима'!u580-'[2]$ зима'!t580-'[2]$ зима'!s580-'[2]$ зима'!r580-'[2]$ зима'!p580-'[2]$ зима'!o580-'[2]$ зима'!n580-'[2]$ зима'!m580-'[2]$ зима'!l580+'[2]$ зима'!q580+'[2]$ зима'!w580+'[2]$ зима'!ac580+'[2]$ зима'!ai580+'[2]$ зима'!ao580+'[2]$ зима'!k580</f>
        <v>16</v>
      </c>
      <c r="I580" s="191" t="n">
        <f aca="false">'[2]$ зима'!ay580*1.1</f>
        <v>1478.4</v>
      </c>
      <c r="J580" s="171" t="n">
        <v>2018</v>
      </c>
    </row>
    <row r="581" customFormat="false" ht="15" hidden="false" customHeight="false" outlineLevel="0" collapsed="false">
      <c r="A581" s="188" t="s">
        <v>228</v>
      </c>
      <c r="B581" s="149" t="s">
        <v>572</v>
      </c>
      <c r="C581" s="148" t="s">
        <v>3285</v>
      </c>
      <c r="D581" s="148" t="s">
        <v>3127</v>
      </c>
      <c r="E581" s="192" t="n">
        <v>94</v>
      </c>
      <c r="F581" s="192" t="s">
        <v>562</v>
      </c>
      <c r="G581" s="193"/>
      <c r="H581" s="105" t="n">
        <f aca="false">'[2]$ зима'!j581-'[2]$ зима'!au581-'[2]$ зима'!at581-'[2]$ зима'!as581-'[2]$ зима'!ar581-'[2]$ зима'!aq581-'[2]$ зима'!ap581-'[2]$ зима'!an581-'[2]$ зима'!am581-'[2]$ зима'!al581-'[2]$ зима'!ak581-'[2]$ зима'!aj581-'[2]$ зима'!ah581-'[2]$ зима'!ag581-'[2]$ зима'!af581-'[2]$ зима'!ae581-'[2]$ зима'!ad581-'[2]$ зима'!ab581-'[2]$ зима'!aa581-'[2]$ зима'!z581-'[2]$ зима'!y581-'[2]$ зима'!x581-'[2]$ зима'!v581-'[2]$ зима'!u581-'[2]$ зима'!t581-'[2]$ зима'!s581-'[2]$ зима'!r581-'[2]$ зима'!p581-'[2]$ зима'!o581-'[2]$ зима'!n581-'[2]$ зима'!m581-'[2]$ зима'!l581+'[2]$ зима'!q581+'[2]$ зима'!w581+'[2]$ зима'!ac581+'[2]$ зима'!ai581+'[2]$ зима'!ao581+'[2]$ зима'!k581</f>
        <v>4</v>
      </c>
      <c r="I581" s="191" t="n">
        <f aca="false">'[2]$ зима'!ay581*1.1</f>
        <v>1232</v>
      </c>
    </row>
    <row r="582" customFormat="false" ht="15" hidden="false" customHeight="false" outlineLevel="0" collapsed="false">
      <c r="A582" s="188" t="s">
        <v>228</v>
      </c>
      <c r="B582" s="149" t="s">
        <v>668</v>
      </c>
      <c r="C582" s="148" t="s">
        <v>3422</v>
      </c>
      <c r="D582" s="148"/>
      <c r="E582" s="192" t="n">
        <v>91</v>
      </c>
      <c r="F582" s="192" t="s">
        <v>562</v>
      </c>
      <c r="G582" s="193"/>
      <c r="H582" s="105" t="n">
        <f aca="false">'[2]$ зима'!j582-'[2]$ зима'!au582-'[2]$ зима'!at582-'[2]$ зима'!as582-'[2]$ зима'!ar582-'[2]$ зима'!aq582-'[2]$ зима'!ap582-'[2]$ зима'!an582-'[2]$ зима'!am582-'[2]$ зима'!al582-'[2]$ зима'!ak582-'[2]$ зима'!aj582-'[2]$ зима'!ah582-'[2]$ зима'!ag582-'[2]$ зима'!af582-'[2]$ зима'!ae582-'[2]$ зима'!ad582-'[2]$ зима'!ab582-'[2]$ зима'!aa582-'[2]$ зима'!z582-'[2]$ зима'!y582-'[2]$ зима'!x582-'[2]$ зима'!v582-'[2]$ зима'!u582-'[2]$ зима'!t582-'[2]$ зима'!s582-'[2]$ зима'!r582-'[2]$ зима'!p582-'[2]$ зима'!o582-'[2]$ зима'!n582-'[2]$ зима'!m582-'[2]$ зима'!l582+'[2]$ зима'!q582+'[2]$ зима'!w582+'[2]$ зима'!ac582+'[2]$ зима'!ai582+'[2]$ зима'!ao582+'[2]$ зима'!k582</f>
        <v>12</v>
      </c>
      <c r="I582" s="191" t="n">
        <f aca="false">'[2]$ зима'!ay582*1.1</f>
        <v>1632.4</v>
      </c>
    </row>
    <row r="583" customFormat="false" ht="15" hidden="true" customHeight="false" outlineLevel="0" collapsed="false">
      <c r="A583" s="188" t="s">
        <v>228</v>
      </c>
      <c r="B583" s="149" t="s">
        <v>668</v>
      </c>
      <c r="C583" s="194" t="s">
        <v>3182</v>
      </c>
      <c r="D583" s="148"/>
      <c r="E583" s="148"/>
      <c r="F583" s="148"/>
      <c r="G583" s="193"/>
      <c r="H583" s="105" t="n">
        <f aca="false">'[2]$ зима'!j583-'[2]$ зима'!au583-'[2]$ зима'!at583-'[2]$ зима'!as583-'[2]$ зима'!ar583-'[2]$ зима'!aq583-'[2]$ зима'!ap583-'[2]$ зима'!an583-'[2]$ зима'!am583-'[2]$ зима'!al583-'[2]$ зима'!ak583-'[2]$ зима'!aj583-'[2]$ зима'!ah583-'[2]$ зима'!ag583-'[2]$ зима'!af583-'[2]$ зима'!ae583-'[2]$ зима'!ad583-'[2]$ зима'!ab583-'[2]$ зима'!aa583-'[2]$ зима'!z583-'[2]$ зима'!y583-'[2]$ зима'!x583-'[2]$ зима'!v583-'[2]$ зима'!u583-'[2]$ зима'!t583-'[2]$ зима'!s583-'[2]$ зима'!r583-'[2]$ зима'!p583-'[2]$ зима'!o583-'[2]$ зима'!n583-'[2]$ зима'!m583-'[2]$ зима'!l583+'[2]$ зима'!q583+'[2]$ зима'!w583+'[2]$ зима'!ac583+'[2]$ зима'!ai583+'[2]$ зима'!ao583+'[2]$ зима'!k583</f>
        <v>0</v>
      </c>
      <c r="I583" s="191" t="n">
        <f aca="false">'[2]$ зима'!ay583*1.1</f>
        <v>1694</v>
      </c>
      <c r="J583" s="171" t="n">
        <v>2017</v>
      </c>
    </row>
    <row r="584" customFormat="false" ht="15" hidden="false" customHeight="false" outlineLevel="0" collapsed="false">
      <c r="A584" s="188" t="s">
        <v>228</v>
      </c>
      <c r="B584" s="149" t="s">
        <v>574</v>
      </c>
      <c r="C584" s="148" t="s">
        <v>3201</v>
      </c>
      <c r="D584" s="148"/>
      <c r="E584" s="192"/>
      <c r="F584" s="192"/>
      <c r="G584" s="193" t="s">
        <v>576</v>
      </c>
      <c r="H584" s="105" t="n">
        <f aca="false">'[2]$ зима'!j584-'[2]$ зима'!au584-'[2]$ зима'!at584-'[2]$ зима'!as584-'[2]$ зима'!ar584-'[2]$ зима'!aq584-'[2]$ зима'!ap584-'[2]$ зима'!an584-'[2]$ зима'!am584-'[2]$ зима'!al584-'[2]$ зима'!ak584-'[2]$ зима'!aj584-'[2]$ зима'!ah584-'[2]$ зима'!ag584-'[2]$ зима'!af584-'[2]$ зима'!ae584-'[2]$ зима'!ad584-'[2]$ зима'!ab584-'[2]$ зима'!aa584-'[2]$ зима'!z584-'[2]$ зима'!y584-'[2]$ зима'!x584-'[2]$ зима'!v584-'[2]$ зима'!u584-'[2]$ зима'!t584-'[2]$ зима'!s584-'[2]$ зима'!r584-'[2]$ зима'!p584-'[2]$ зима'!o584-'[2]$ зима'!n584-'[2]$ зима'!m584-'[2]$ зима'!l584+'[2]$ зима'!q584+'[2]$ зима'!w584+'[2]$ зима'!ac584+'[2]$ зима'!ai584+'[2]$ зима'!ao584+'[2]$ зима'!k584</f>
        <v>2</v>
      </c>
      <c r="I584" s="191" t="n">
        <f aca="false">'[2]$ зима'!ay584*1.1</f>
        <v>1624.48</v>
      </c>
      <c r="J584" s="171" t="n">
        <v>2018</v>
      </c>
    </row>
    <row r="585" customFormat="false" ht="15" hidden="false" customHeight="false" outlineLevel="0" collapsed="false">
      <c r="A585" s="188" t="s">
        <v>228</v>
      </c>
      <c r="B585" s="149" t="s">
        <v>574</v>
      </c>
      <c r="C585" s="148" t="s">
        <v>3249</v>
      </c>
      <c r="D585" s="148"/>
      <c r="E585" s="192" t="n">
        <v>91</v>
      </c>
      <c r="F585" s="192" t="s">
        <v>562</v>
      </c>
      <c r="G585" s="193" t="s">
        <v>576</v>
      </c>
      <c r="H585" s="105" t="n">
        <f aca="false">'[2]$ зима'!j585-'[2]$ зима'!au585-'[2]$ зима'!at585-'[2]$ зима'!as585-'[2]$ зима'!ar585-'[2]$ зима'!aq585-'[2]$ зима'!ap585-'[2]$ зима'!an585-'[2]$ зима'!am585-'[2]$ зима'!al585-'[2]$ зима'!ak585-'[2]$ зима'!aj585-'[2]$ зима'!ah585-'[2]$ зима'!ag585-'[2]$ зима'!af585-'[2]$ зима'!ae585-'[2]$ зима'!ad585-'[2]$ зима'!ab585-'[2]$ зима'!aa585-'[2]$ зима'!z585-'[2]$ зима'!y585-'[2]$ зима'!x585-'[2]$ зима'!v585-'[2]$ зима'!u585-'[2]$ зима'!t585-'[2]$ зима'!s585-'[2]$ зима'!r585-'[2]$ зима'!p585-'[2]$ зима'!o585-'[2]$ зима'!n585-'[2]$ зима'!m585-'[2]$ зима'!l585+'[2]$ зима'!q585+'[2]$ зима'!w585+'[2]$ зима'!ac585+'[2]$ зима'!ai585+'[2]$ зима'!ao585+'[2]$ зима'!k585</f>
        <v>2</v>
      </c>
      <c r="I585" s="191" t="n">
        <f aca="false">'[2]$ зима'!ay585*1.1</f>
        <v>1280.84</v>
      </c>
      <c r="J585" s="171" t="n">
        <v>2018</v>
      </c>
    </row>
    <row r="586" customFormat="false" ht="15" hidden="true" customHeight="false" outlineLevel="0" collapsed="false">
      <c r="A586" s="188" t="s">
        <v>228</v>
      </c>
      <c r="B586" s="149" t="s">
        <v>577</v>
      </c>
      <c r="C586" s="148" t="s">
        <v>3423</v>
      </c>
      <c r="D586" s="148"/>
      <c r="E586" s="148" t="n">
        <v>94</v>
      </c>
      <c r="F586" s="148" t="s">
        <v>3216</v>
      </c>
      <c r="G586" s="193" t="s">
        <v>563</v>
      </c>
      <c r="H586" s="105" t="n">
        <f aca="false">'[2]$ зима'!j586-'[2]$ зима'!au586-'[2]$ зима'!at586-'[2]$ зима'!as586-'[2]$ зима'!ar586-'[2]$ зима'!aq586-'[2]$ зима'!ap586-'[2]$ зима'!an586-'[2]$ зима'!am586-'[2]$ зима'!al586-'[2]$ зима'!ak586-'[2]$ зима'!aj586-'[2]$ зима'!ah586-'[2]$ зима'!ag586-'[2]$ зима'!af586-'[2]$ зима'!ae586-'[2]$ зима'!ad586-'[2]$ зима'!ab586-'[2]$ зима'!aa586-'[2]$ зима'!z586-'[2]$ зима'!y586-'[2]$ зима'!x586-'[2]$ зима'!v586-'[2]$ зима'!u586-'[2]$ зима'!t586-'[2]$ зима'!s586-'[2]$ зима'!r586-'[2]$ зима'!p586-'[2]$ зима'!o586-'[2]$ зима'!n586-'[2]$ зима'!m586-'[2]$ зима'!l586+'[2]$ зима'!q586+'[2]$ зима'!w586+'[2]$ зима'!ac586+'[2]$ зима'!ai586+'[2]$ зима'!ao586+'[2]$ зима'!k586</f>
        <v>0</v>
      </c>
      <c r="I586" s="191" t="n">
        <f aca="false">'[2]$ зима'!ay586*1.1</f>
        <v>1540</v>
      </c>
    </row>
    <row r="587" customFormat="false" ht="15" hidden="true" customHeight="false" outlineLevel="0" collapsed="false">
      <c r="A587" s="188" t="s">
        <v>228</v>
      </c>
      <c r="B587" s="149" t="s">
        <v>583</v>
      </c>
      <c r="C587" s="148" t="s">
        <v>3313</v>
      </c>
      <c r="D587" s="148"/>
      <c r="E587" s="148"/>
      <c r="F587" s="148"/>
      <c r="G587" s="193"/>
      <c r="H587" s="105" t="n">
        <f aca="false">'[2]$ зима'!j587-'[2]$ зима'!au587-'[2]$ зима'!at587-'[2]$ зима'!as587-'[2]$ зима'!ar587-'[2]$ зима'!aq587-'[2]$ зима'!ap587-'[2]$ зима'!an587-'[2]$ зима'!am587-'[2]$ зима'!al587-'[2]$ зима'!ak587-'[2]$ зима'!aj587-'[2]$ зима'!ah587-'[2]$ зима'!ag587-'[2]$ зима'!af587-'[2]$ зима'!ae587-'[2]$ зима'!ad587-'[2]$ зима'!ab587-'[2]$ зима'!aa587-'[2]$ зима'!z587-'[2]$ зима'!y587-'[2]$ зима'!x587-'[2]$ зима'!v587-'[2]$ зима'!u587-'[2]$ зима'!t587-'[2]$ зима'!s587-'[2]$ зима'!r587-'[2]$ зима'!p587-'[2]$ зима'!o587-'[2]$ зима'!n587-'[2]$ зима'!m587-'[2]$ зима'!l587+'[2]$ зима'!q587+'[2]$ зима'!w587+'[2]$ зима'!ac587+'[2]$ зима'!ai587+'[2]$ зима'!ao587+'[2]$ зима'!k587</f>
        <v>0</v>
      </c>
      <c r="I587" s="191" t="n">
        <f aca="false">'[2]$ зима'!ay587*1.1</f>
        <v>1478.4</v>
      </c>
    </row>
    <row r="588" customFormat="false" ht="15" hidden="false" customHeight="false" outlineLevel="0" collapsed="false">
      <c r="A588" s="217" t="s">
        <v>228</v>
      </c>
      <c r="B588" s="157" t="s">
        <v>593</v>
      </c>
      <c r="C588" s="158" t="s">
        <v>3424</v>
      </c>
      <c r="D588" s="158"/>
      <c r="E588" s="224"/>
      <c r="F588" s="224"/>
      <c r="G588" s="218"/>
      <c r="H588" s="105" t="n">
        <f aca="false">'[2]$ зима'!j588-'[2]$ зима'!au588-'[2]$ зима'!at588-'[2]$ зима'!as588-'[2]$ зима'!ar588-'[2]$ зима'!aq588-'[2]$ зима'!ap588-'[2]$ зима'!an588-'[2]$ зима'!am588-'[2]$ зима'!al588-'[2]$ зима'!ak588-'[2]$ зима'!aj588-'[2]$ зима'!ah588-'[2]$ зима'!ag588-'[2]$ зима'!af588-'[2]$ зима'!ae588-'[2]$ зима'!ad588-'[2]$ зима'!ab588-'[2]$ зима'!aa588-'[2]$ зима'!z588-'[2]$ зима'!y588-'[2]$ зима'!x588-'[2]$ зима'!v588-'[2]$ зима'!u588-'[2]$ зима'!t588-'[2]$ зима'!s588-'[2]$ зима'!r588-'[2]$ зима'!p588-'[2]$ зима'!o588-'[2]$ зима'!n588-'[2]$ зима'!m588-'[2]$ зима'!l588+'[2]$ зима'!q588+'[2]$ зима'!w588+'[2]$ зима'!ac588+'[2]$ зима'!ai588+'[2]$ зима'!ao588+'[2]$ зима'!k588</f>
        <v>1</v>
      </c>
      <c r="I588" s="219" t="n">
        <f aca="false">'[2]$ зима'!ay588*1.1</f>
        <v>440</v>
      </c>
    </row>
    <row r="589" customFormat="false" ht="15" hidden="false" customHeight="false" outlineLevel="0" collapsed="false">
      <c r="A589" s="188" t="s">
        <v>228</v>
      </c>
      <c r="B589" s="149" t="s">
        <v>593</v>
      </c>
      <c r="C589" s="148" t="s">
        <v>3425</v>
      </c>
      <c r="D589" s="148"/>
      <c r="E589" s="192" t="n">
        <v>94</v>
      </c>
      <c r="F589" s="192" t="s">
        <v>634</v>
      </c>
      <c r="G589" s="193" t="s">
        <v>911</v>
      </c>
      <c r="H589" s="105" t="n">
        <f aca="false">'[2]$ зима'!j589-'[2]$ зима'!au589-'[2]$ зима'!at589-'[2]$ зима'!as589-'[2]$ зима'!ar589-'[2]$ зима'!aq589-'[2]$ зима'!ap589-'[2]$ зима'!an589-'[2]$ зима'!am589-'[2]$ зима'!al589-'[2]$ зима'!ak589-'[2]$ зима'!aj589-'[2]$ зима'!ah589-'[2]$ зима'!ag589-'[2]$ зима'!af589-'[2]$ зима'!ae589-'[2]$ зима'!ad589-'[2]$ зима'!ab589-'[2]$ зима'!aa589-'[2]$ зима'!z589-'[2]$ зима'!y589-'[2]$ зима'!x589-'[2]$ зима'!v589-'[2]$ зима'!u589-'[2]$ зима'!t589-'[2]$ зима'!s589-'[2]$ зима'!r589-'[2]$ зима'!p589-'[2]$ зима'!o589-'[2]$ зима'!n589-'[2]$ зима'!m589-'[2]$ зима'!l589+'[2]$ зима'!q589+'[2]$ зима'!w589+'[2]$ зима'!ac589+'[2]$ зима'!ai589+'[2]$ зима'!ao589+'[2]$ зима'!k589</f>
        <v>8</v>
      </c>
      <c r="I589" s="191" t="n">
        <f aca="false">'[2]$ зима'!ay589*1.1</f>
        <v>2464</v>
      </c>
      <c r="J589" s="171" t="n">
        <v>2018</v>
      </c>
    </row>
    <row r="590" customFormat="false" ht="15" hidden="false" customHeight="false" outlineLevel="0" collapsed="false">
      <c r="A590" s="188" t="s">
        <v>228</v>
      </c>
      <c r="B590" s="149" t="s">
        <v>593</v>
      </c>
      <c r="C590" s="148" t="s">
        <v>3188</v>
      </c>
      <c r="D590" s="148"/>
      <c r="E590" s="192" t="n">
        <v>94</v>
      </c>
      <c r="F590" s="192" t="s">
        <v>634</v>
      </c>
      <c r="G590" s="193" t="s">
        <v>722</v>
      </c>
      <c r="H590" s="105" t="n">
        <f aca="false">'[2]$ зима'!j590-'[2]$ зима'!au590-'[2]$ зима'!at590-'[2]$ зима'!as590-'[2]$ зима'!ar590-'[2]$ зима'!aq590-'[2]$ зима'!ap590-'[2]$ зима'!an590-'[2]$ зима'!am590-'[2]$ зима'!al590-'[2]$ зима'!ak590-'[2]$ зима'!aj590-'[2]$ зима'!ah590-'[2]$ зима'!ag590-'[2]$ зима'!af590-'[2]$ зима'!ae590-'[2]$ зима'!ad590-'[2]$ зима'!ab590-'[2]$ зима'!aa590-'[2]$ зима'!z590-'[2]$ зима'!y590-'[2]$ зима'!x590-'[2]$ зима'!v590-'[2]$ зима'!u590-'[2]$ зима'!t590-'[2]$ зима'!s590-'[2]$ зима'!r590-'[2]$ зима'!p590-'[2]$ зима'!o590-'[2]$ зима'!n590-'[2]$ зима'!m590-'[2]$ зима'!l590+'[2]$ зима'!q590+'[2]$ зима'!w590+'[2]$ зима'!ac590+'[2]$ зима'!ai590+'[2]$ зима'!ao590+'[2]$ зима'!k590</f>
        <v>9</v>
      </c>
      <c r="I590" s="191" t="n">
        <f aca="false">'[2]$ зима'!ay590*1.1</f>
        <v>2556.4</v>
      </c>
      <c r="J590" s="171" t="n">
        <v>2017</v>
      </c>
    </row>
    <row r="591" customFormat="false" ht="15" hidden="true" customHeight="false" outlineLevel="0" collapsed="false">
      <c r="A591" s="188" t="s">
        <v>228</v>
      </c>
      <c r="B591" s="149" t="s">
        <v>593</v>
      </c>
      <c r="C591" s="148" t="s">
        <v>3426</v>
      </c>
      <c r="D591" s="148"/>
      <c r="E591" s="148" t="n">
        <v>94</v>
      </c>
      <c r="F591" s="148" t="s">
        <v>634</v>
      </c>
      <c r="G591" s="193" t="s">
        <v>1954</v>
      </c>
      <c r="H591" s="105" t="n">
        <f aca="false">'[2]$ зима'!j591-'[2]$ зима'!au591-'[2]$ зима'!at591-'[2]$ зима'!as591-'[2]$ зима'!ar591-'[2]$ зима'!aq591-'[2]$ зима'!ap591-'[2]$ зима'!an591-'[2]$ зима'!am591-'[2]$ зима'!al591-'[2]$ зима'!ak591-'[2]$ зима'!aj591-'[2]$ зима'!ah591-'[2]$ зима'!ag591-'[2]$ зима'!af591-'[2]$ зима'!ae591-'[2]$ зима'!ad591-'[2]$ зима'!ab591-'[2]$ зима'!aa591-'[2]$ зима'!z591-'[2]$ зима'!y591-'[2]$ зима'!x591-'[2]$ зима'!v591-'[2]$ зима'!u591-'[2]$ зима'!t591-'[2]$ зима'!s591-'[2]$ зима'!r591-'[2]$ зима'!p591-'[2]$ зима'!o591-'[2]$ зима'!n591-'[2]$ зима'!m591-'[2]$ зима'!l591+'[2]$ зима'!q591+'[2]$ зима'!w591+'[2]$ зима'!ac591+'[2]$ зима'!ai591+'[2]$ зима'!ao591+'[2]$ зима'!k591</f>
        <v>0</v>
      </c>
      <c r="I591" s="191" t="n">
        <f aca="false">'[2]$ зима'!ay591*1.1</f>
        <v>2618</v>
      </c>
    </row>
    <row r="592" customFormat="false" ht="15" hidden="false" customHeight="false" outlineLevel="0" collapsed="false">
      <c r="A592" s="188" t="s">
        <v>228</v>
      </c>
      <c r="B592" s="149" t="s">
        <v>593</v>
      </c>
      <c r="C592" s="148" t="s">
        <v>3427</v>
      </c>
      <c r="D592" s="214" t="s">
        <v>3147</v>
      </c>
      <c r="E592" s="192"/>
      <c r="F592" s="192"/>
      <c r="G592" s="193" t="s">
        <v>722</v>
      </c>
      <c r="H592" s="105" t="n">
        <f aca="false">'[2]$ зима'!j592-'[2]$ зима'!au592-'[2]$ зима'!at592-'[2]$ зима'!as592-'[2]$ зима'!ar592-'[2]$ зима'!aq592-'[2]$ зима'!ap592-'[2]$ зима'!an592-'[2]$ зима'!am592-'[2]$ зима'!al592-'[2]$ зима'!ak592-'[2]$ зима'!aj592-'[2]$ зима'!ah592-'[2]$ зима'!ag592-'[2]$ зима'!af592-'[2]$ зима'!ae592-'[2]$ зима'!ad592-'[2]$ зима'!ab592-'[2]$ зима'!aa592-'[2]$ зима'!z592-'[2]$ зима'!y592-'[2]$ зима'!x592-'[2]$ зима'!v592-'[2]$ зима'!u592-'[2]$ зима'!t592-'[2]$ зима'!s592-'[2]$ зима'!r592-'[2]$ зима'!p592-'[2]$ зима'!o592-'[2]$ зима'!n592-'[2]$ зима'!m592-'[2]$ зима'!l592+'[2]$ зима'!q592+'[2]$ зима'!w592+'[2]$ зима'!ac592+'[2]$ зима'!ai592+'[2]$ зима'!ao592+'[2]$ зима'!k592</f>
        <v>2</v>
      </c>
      <c r="I592" s="191" t="n">
        <f aca="false">'[2]$ зима'!ay592*1.1</f>
        <v>2618</v>
      </c>
      <c r="J592" s="171" t="n">
        <v>2013</v>
      </c>
    </row>
    <row r="593" customFormat="false" ht="15" hidden="false" customHeight="false" outlineLevel="0" collapsed="false">
      <c r="A593" s="188" t="s">
        <v>228</v>
      </c>
      <c r="B593" s="149" t="s">
        <v>593</v>
      </c>
      <c r="C593" s="148" t="s">
        <v>3428</v>
      </c>
      <c r="D593" s="148"/>
      <c r="E593" s="192" t="n">
        <v>91</v>
      </c>
      <c r="F593" s="192" t="s">
        <v>562</v>
      </c>
      <c r="G593" s="193" t="s">
        <v>935</v>
      </c>
      <c r="H593" s="105" t="n">
        <f aca="false">'[2]$ зима'!j593-'[2]$ зима'!au593-'[2]$ зима'!at593-'[2]$ зима'!as593-'[2]$ зима'!ar593-'[2]$ зима'!aq593-'[2]$ зима'!ap593-'[2]$ зима'!an593-'[2]$ зима'!am593-'[2]$ зима'!al593-'[2]$ зима'!ak593-'[2]$ зима'!aj593-'[2]$ зима'!ah593-'[2]$ зима'!ag593-'[2]$ зима'!af593-'[2]$ зима'!ae593-'[2]$ зима'!ad593-'[2]$ зима'!ab593-'[2]$ зима'!aa593-'[2]$ зима'!z593-'[2]$ зима'!y593-'[2]$ зима'!x593-'[2]$ зима'!v593-'[2]$ зима'!u593-'[2]$ зима'!t593-'[2]$ зима'!s593-'[2]$ зима'!r593-'[2]$ зима'!p593-'[2]$ зима'!o593-'[2]$ зима'!n593-'[2]$ зима'!m593-'[2]$ зима'!l593+'[2]$ зима'!q593+'[2]$ зима'!w593+'[2]$ зима'!ac593+'[2]$ зима'!ai593+'[2]$ зима'!ao593+'[2]$ зима'!k593</f>
        <v>1</v>
      </c>
      <c r="I593" s="191" t="n">
        <f aca="false">'[2]$ зима'!ay593*1.1</f>
        <v>2310</v>
      </c>
      <c r="J593" s="171" t="n">
        <v>2015</v>
      </c>
    </row>
    <row r="594" customFormat="false" ht="15" hidden="true" customHeight="false" outlineLevel="0" collapsed="false">
      <c r="A594" s="188" t="s">
        <v>228</v>
      </c>
      <c r="B594" s="149" t="s">
        <v>593</v>
      </c>
      <c r="C594" s="148" t="s">
        <v>3429</v>
      </c>
      <c r="D594" s="148"/>
      <c r="E594" s="148" t="n">
        <v>91</v>
      </c>
      <c r="F594" s="148" t="s">
        <v>634</v>
      </c>
      <c r="G594" s="193"/>
      <c r="H594" s="105" t="n">
        <f aca="false">'[2]$ зима'!j594-'[2]$ зима'!au594-'[2]$ зима'!at594-'[2]$ зима'!as594-'[2]$ зима'!ar594-'[2]$ зима'!aq594-'[2]$ зима'!ap594-'[2]$ зима'!an594-'[2]$ зима'!am594-'[2]$ зима'!al594-'[2]$ зима'!ak594-'[2]$ зима'!aj594-'[2]$ зима'!ah594-'[2]$ зима'!ag594-'[2]$ зима'!af594-'[2]$ зима'!ae594-'[2]$ зима'!ad594-'[2]$ зима'!ab594-'[2]$ зима'!aa594-'[2]$ зима'!z594-'[2]$ зима'!y594-'[2]$ зима'!x594-'[2]$ зима'!v594-'[2]$ зима'!u594-'[2]$ зима'!t594-'[2]$ зима'!s594-'[2]$ зима'!r594-'[2]$ зима'!p594-'[2]$ зима'!o594-'[2]$ зима'!n594-'[2]$ зима'!m594-'[2]$ зима'!l594+'[2]$ зима'!q594+'[2]$ зима'!w594+'[2]$ зима'!ac594+'[2]$ зима'!ai594+'[2]$ зима'!ao594+'[2]$ зима'!k594</f>
        <v>0</v>
      </c>
      <c r="I594" s="191" t="n">
        <f aca="false">'[2]$ зима'!ay594*1.1</f>
        <v>3141.6</v>
      </c>
    </row>
    <row r="595" customFormat="false" ht="15" hidden="false" customHeight="false" outlineLevel="0" collapsed="false">
      <c r="A595" s="228" t="s">
        <v>228</v>
      </c>
      <c r="B595" s="148" t="s">
        <v>586</v>
      </c>
      <c r="C595" s="148" t="s">
        <v>3430</v>
      </c>
      <c r="D595" s="148"/>
      <c r="E595" s="148" t="n">
        <v>91</v>
      </c>
      <c r="F595" s="192" t="s">
        <v>634</v>
      </c>
      <c r="G595" s="193" t="s">
        <v>520</v>
      </c>
      <c r="H595" s="105" t="n">
        <f aca="false">'[2]$ зима'!j595-'[2]$ зима'!au595-'[2]$ зима'!at595-'[2]$ зима'!as595-'[2]$ зима'!ar595-'[2]$ зима'!aq595-'[2]$ зима'!ap595-'[2]$ зима'!an595-'[2]$ зима'!am595-'[2]$ зима'!al595-'[2]$ зима'!ak595-'[2]$ зима'!aj595-'[2]$ зима'!ah595-'[2]$ зима'!ag595-'[2]$ зима'!af595-'[2]$ зима'!ae595-'[2]$ зима'!ad595-'[2]$ зима'!ab595-'[2]$ зима'!aa595-'[2]$ зима'!z595-'[2]$ зима'!y595-'[2]$ зима'!x595-'[2]$ зима'!v595-'[2]$ зима'!u595-'[2]$ зима'!t595-'[2]$ зима'!s595-'[2]$ зима'!r595-'[2]$ зима'!p595-'[2]$ зима'!o595-'[2]$ зима'!n595-'[2]$ зима'!m595-'[2]$ зима'!l595+'[2]$ зима'!q595+'[2]$ зима'!w595+'[2]$ зима'!ac595+'[2]$ зима'!ai595+'[2]$ зима'!ao595+'[2]$ зима'!k595</f>
        <v>4</v>
      </c>
      <c r="I595" s="191" t="n">
        <f aca="false">'[2]$ зима'!ay595*1.1</f>
        <v>1262.8</v>
      </c>
      <c r="J595" s="171" t="n">
        <v>2018</v>
      </c>
    </row>
    <row r="596" customFormat="false" ht="15" hidden="true" customHeight="false" outlineLevel="0" collapsed="false">
      <c r="A596" s="188" t="s">
        <v>228</v>
      </c>
      <c r="B596" s="149" t="s">
        <v>3142</v>
      </c>
      <c r="C596" s="148" t="s">
        <v>3255</v>
      </c>
      <c r="D596" s="148" t="s">
        <v>3127</v>
      </c>
      <c r="E596" s="148"/>
      <c r="F596" s="148"/>
      <c r="G596" s="193"/>
      <c r="H596" s="105" t="n">
        <f aca="false">'[2]$ зима'!j596-'[2]$ зима'!au596-'[2]$ зима'!at596-'[2]$ зима'!as596-'[2]$ зима'!ar596-'[2]$ зима'!aq596-'[2]$ зима'!ap596-'[2]$ зима'!an596-'[2]$ зима'!am596-'[2]$ зима'!al596-'[2]$ зима'!ak596-'[2]$ зима'!aj596-'[2]$ зима'!ah596-'[2]$ зима'!ag596-'[2]$ зима'!af596-'[2]$ зима'!ae596-'[2]$ зима'!ad596-'[2]$ зима'!ab596-'[2]$ зима'!aa596-'[2]$ зима'!z596-'[2]$ зима'!y596-'[2]$ зима'!x596-'[2]$ зима'!v596-'[2]$ зима'!u596-'[2]$ зима'!t596-'[2]$ зима'!s596-'[2]$ зима'!r596-'[2]$ зима'!p596-'[2]$ зима'!o596-'[2]$ зима'!n596-'[2]$ зима'!m596-'[2]$ зима'!l596+'[2]$ зима'!q596+'[2]$ зима'!w596+'[2]$ зима'!ac596+'[2]$ зима'!ai596+'[2]$ зима'!ao596+'[2]$ зима'!k596</f>
        <v>0</v>
      </c>
      <c r="I596" s="191" t="n">
        <f aca="false">'[2]$ зима'!ay596*1.1</f>
        <v>1386</v>
      </c>
    </row>
    <row r="597" customFormat="false" ht="15" hidden="true" customHeight="false" outlineLevel="0" collapsed="false">
      <c r="A597" s="188" t="s">
        <v>228</v>
      </c>
      <c r="B597" s="149" t="s">
        <v>1149</v>
      </c>
      <c r="C597" s="148" t="s">
        <v>3371</v>
      </c>
      <c r="D597" s="148"/>
      <c r="E597" s="148"/>
      <c r="F597" s="148"/>
      <c r="G597" s="193"/>
      <c r="H597" s="105" t="n">
        <f aca="false">'[2]$ зима'!j597-'[2]$ зима'!au597-'[2]$ зима'!at597-'[2]$ зима'!as597-'[2]$ зима'!ar597-'[2]$ зима'!aq597-'[2]$ зима'!ap597-'[2]$ зима'!an597-'[2]$ зима'!am597-'[2]$ зима'!al597-'[2]$ зима'!ak597-'[2]$ зима'!aj597-'[2]$ зима'!ah597-'[2]$ зима'!ag597-'[2]$ зима'!af597-'[2]$ зима'!ae597-'[2]$ зима'!ad597-'[2]$ зима'!ab597-'[2]$ зима'!aa597-'[2]$ зима'!z597-'[2]$ зима'!y597-'[2]$ зима'!x597-'[2]$ зима'!v597-'[2]$ зима'!u597-'[2]$ зима'!t597-'[2]$ зима'!s597-'[2]$ зима'!r597-'[2]$ зима'!p597-'[2]$ зима'!o597-'[2]$ зима'!n597-'[2]$ зима'!m597-'[2]$ зима'!l597+'[2]$ зима'!q597+'[2]$ зима'!w597+'[2]$ зима'!ac597+'[2]$ зима'!ai597+'[2]$ зима'!ao597+'[2]$ зима'!k597</f>
        <v>0</v>
      </c>
      <c r="I597" s="191" t="n">
        <f aca="false">'[2]$ зима'!ay597*1.1</f>
        <v>1232</v>
      </c>
    </row>
    <row r="598" customFormat="false" ht="15" hidden="false" customHeight="false" outlineLevel="0" collapsed="false">
      <c r="A598" s="188" t="s">
        <v>228</v>
      </c>
      <c r="B598" s="149" t="s">
        <v>677</v>
      </c>
      <c r="C598" s="194" t="s">
        <v>3135</v>
      </c>
      <c r="D598" s="148"/>
      <c r="E598" s="192"/>
      <c r="F598" s="192"/>
      <c r="G598" s="193"/>
      <c r="H598" s="105" t="n">
        <f aca="false">'[2]$ зима'!j598-'[2]$ зима'!au598-'[2]$ зима'!at598-'[2]$ зима'!as598-'[2]$ зима'!ar598-'[2]$ зима'!aq598-'[2]$ зима'!ap598-'[2]$ зима'!an598-'[2]$ зима'!am598-'[2]$ зима'!al598-'[2]$ зима'!ak598-'[2]$ зима'!aj598-'[2]$ зима'!ah598-'[2]$ зима'!ag598-'[2]$ зима'!af598-'[2]$ зима'!ae598-'[2]$ зима'!ad598-'[2]$ зима'!ab598-'[2]$ зима'!aa598-'[2]$ зима'!z598-'[2]$ зима'!y598-'[2]$ зима'!x598-'[2]$ зима'!v598-'[2]$ зима'!u598-'[2]$ зима'!t598-'[2]$ зима'!s598-'[2]$ зима'!r598-'[2]$ зима'!p598-'[2]$ зима'!o598-'[2]$ зима'!n598-'[2]$ зима'!m598-'[2]$ зима'!l598+'[2]$ зима'!q598+'[2]$ зима'!w598+'[2]$ зима'!ac598+'[2]$ зима'!ai598+'[2]$ зима'!ao598+'[2]$ зима'!k598</f>
        <v>7</v>
      </c>
      <c r="I598" s="191" t="n">
        <f aca="false">'[2]$ зима'!ay598*1.1</f>
        <v>1324.4</v>
      </c>
      <c r="J598" s="171" t="n">
        <v>2017</v>
      </c>
    </row>
    <row r="599" customFormat="false" ht="15" hidden="true" customHeight="false" outlineLevel="0" collapsed="false">
      <c r="A599" s="188" t="s">
        <v>228</v>
      </c>
      <c r="B599" s="149" t="s">
        <v>677</v>
      </c>
      <c r="C599" s="194" t="s">
        <v>3431</v>
      </c>
      <c r="D599" s="148"/>
      <c r="E599" s="148" t="n">
        <v>91</v>
      </c>
      <c r="F599" s="148" t="s">
        <v>562</v>
      </c>
      <c r="G599" s="193"/>
      <c r="H599" s="105" t="n">
        <f aca="false">'[2]$ зима'!j599-'[2]$ зима'!au599-'[2]$ зима'!at599-'[2]$ зима'!as599-'[2]$ зима'!ar599-'[2]$ зима'!aq599-'[2]$ зима'!ap599-'[2]$ зима'!an599-'[2]$ зима'!am599-'[2]$ зима'!al599-'[2]$ зима'!ak599-'[2]$ зима'!aj599-'[2]$ зима'!ah599-'[2]$ зима'!ag599-'[2]$ зима'!af599-'[2]$ зима'!ae599-'[2]$ зима'!ad599-'[2]$ зима'!ab599-'[2]$ зима'!aa599-'[2]$ зима'!z599-'[2]$ зима'!y599-'[2]$ зима'!x599-'[2]$ зима'!v599-'[2]$ зима'!u599-'[2]$ зима'!t599-'[2]$ зима'!s599-'[2]$ зима'!r599-'[2]$ зима'!p599-'[2]$ зима'!o599-'[2]$ зима'!n599-'[2]$ зима'!m599-'[2]$ зима'!l599+'[2]$ зима'!q599+'[2]$ зима'!w599+'[2]$ зима'!ac599+'[2]$ зима'!ai599+'[2]$ зима'!ao599+'[2]$ зима'!k599</f>
        <v>0</v>
      </c>
      <c r="I599" s="191" t="n">
        <f aca="false">'[2]$ зима'!ay599*1.1</f>
        <v>1324.4</v>
      </c>
    </row>
    <row r="600" customFormat="false" ht="15" hidden="false" customHeight="false" outlineLevel="0" collapsed="false">
      <c r="A600" s="188" t="s">
        <v>228</v>
      </c>
      <c r="B600" s="149" t="s">
        <v>621</v>
      </c>
      <c r="C600" s="194" t="s">
        <v>3307</v>
      </c>
      <c r="D600" s="148"/>
      <c r="E600" s="192" t="n">
        <v>91</v>
      </c>
      <c r="F600" s="192" t="s">
        <v>562</v>
      </c>
      <c r="G600" s="193" t="s">
        <v>520</v>
      </c>
      <c r="H600" s="105" t="n">
        <f aca="false">'[2]$ зима'!j600-'[2]$ зима'!au600-'[2]$ зима'!at600-'[2]$ зима'!as600-'[2]$ зима'!ar600-'[2]$ зима'!aq600-'[2]$ зима'!ap600-'[2]$ зима'!an600-'[2]$ зима'!am600-'[2]$ зима'!al600-'[2]$ зима'!ak600-'[2]$ зима'!aj600-'[2]$ зима'!ah600-'[2]$ зима'!ag600-'[2]$ зима'!af600-'[2]$ зима'!ae600-'[2]$ зима'!ad600-'[2]$ зима'!ab600-'[2]$ зима'!aa600-'[2]$ зима'!z600-'[2]$ зима'!y600-'[2]$ зима'!x600-'[2]$ зима'!v600-'[2]$ зима'!u600-'[2]$ зима'!t600-'[2]$ зима'!s600-'[2]$ зима'!r600-'[2]$ зима'!p600-'[2]$ зима'!o600-'[2]$ зима'!n600-'[2]$ зима'!m600-'[2]$ зима'!l600+'[2]$ зима'!q600+'[2]$ зима'!w600+'[2]$ зима'!ac600+'[2]$ зима'!ai600+'[2]$ зима'!ao600+'[2]$ зима'!k600</f>
        <v>8</v>
      </c>
      <c r="I600" s="191" t="n">
        <f aca="false">'[2]$ зима'!ay600*1.1</f>
        <v>1375</v>
      </c>
      <c r="J600" s="171" t="n">
        <v>2018</v>
      </c>
    </row>
    <row r="601" customFormat="false" ht="15" hidden="false" customHeight="false" outlineLevel="0" collapsed="false">
      <c r="A601" s="188" t="s">
        <v>228</v>
      </c>
      <c r="B601" s="149" t="s">
        <v>3432</v>
      </c>
      <c r="C601" s="148" t="s">
        <v>3433</v>
      </c>
      <c r="D601" s="148"/>
      <c r="E601" s="192" t="n">
        <v>91</v>
      </c>
      <c r="F601" s="192" t="s">
        <v>562</v>
      </c>
      <c r="G601" s="193"/>
      <c r="H601" s="105" t="n">
        <f aca="false">'[2]$ зима'!j601-'[2]$ зима'!au601-'[2]$ зима'!at601-'[2]$ зима'!as601-'[2]$ зима'!ar601-'[2]$ зима'!aq601-'[2]$ зима'!ap601-'[2]$ зима'!an601-'[2]$ зима'!am601-'[2]$ зима'!al601-'[2]$ зима'!ak601-'[2]$ зима'!aj601-'[2]$ зима'!ah601-'[2]$ зима'!ag601-'[2]$ зима'!af601-'[2]$ зима'!ae601-'[2]$ зима'!ad601-'[2]$ зима'!ab601-'[2]$ зима'!aa601-'[2]$ зима'!z601-'[2]$ зима'!y601-'[2]$ зима'!x601-'[2]$ зима'!v601-'[2]$ зима'!u601-'[2]$ зима'!t601-'[2]$ зима'!s601-'[2]$ зима'!r601-'[2]$ зима'!p601-'[2]$ зима'!o601-'[2]$ зима'!n601-'[2]$ зима'!m601-'[2]$ зима'!l601+'[2]$ зима'!q601+'[2]$ зима'!w601+'[2]$ зима'!ac601+'[2]$ зима'!ai601+'[2]$ зима'!ao601+'[2]$ зима'!k601</f>
        <v>2</v>
      </c>
      <c r="I601" s="191" t="n">
        <f aca="false">'[2]$ зима'!ay601*1.1</f>
        <v>1324.4</v>
      </c>
    </row>
    <row r="602" customFormat="false" ht="15" hidden="false" customHeight="false" outlineLevel="0" collapsed="false">
      <c r="A602" s="188" t="s">
        <v>228</v>
      </c>
      <c r="B602" s="149" t="s">
        <v>623</v>
      </c>
      <c r="C602" s="148" t="s">
        <v>3434</v>
      </c>
      <c r="D602" s="148" t="s">
        <v>3147</v>
      </c>
      <c r="E602" s="192"/>
      <c r="F602" s="192"/>
      <c r="G602" s="193"/>
      <c r="H602" s="105" t="n">
        <f aca="false">'[2]$ зима'!j602-'[2]$ зима'!au602-'[2]$ зима'!at602-'[2]$ зима'!as602-'[2]$ зима'!ar602-'[2]$ зима'!aq602-'[2]$ зима'!ap602-'[2]$ зима'!an602-'[2]$ зима'!am602-'[2]$ зима'!al602-'[2]$ зима'!ak602-'[2]$ зима'!aj602-'[2]$ зима'!ah602-'[2]$ зима'!ag602-'[2]$ зима'!af602-'[2]$ зима'!ae602-'[2]$ зима'!ad602-'[2]$ зима'!ab602-'[2]$ зима'!aa602-'[2]$ зима'!z602-'[2]$ зима'!y602-'[2]$ зима'!x602-'[2]$ зима'!v602-'[2]$ зима'!u602-'[2]$ зима'!t602-'[2]$ зима'!s602-'[2]$ зима'!r602-'[2]$ зима'!p602-'[2]$ зима'!o602-'[2]$ зима'!n602-'[2]$ зима'!m602-'[2]$ зима'!l602+'[2]$ зима'!q602+'[2]$ зима'!w602+'[2]$ зима'!ac602+'[2]$ зима'!ai602+'[2]$ зима'!ao602+'[2]$ зима'!k602</f>
        <v>4</v>
      </c>
      <c r="I602" s="191" t="n">
        <f aca="false">'[2]$ зима'!ay602*1.1</f>
        <v>1694</v>
      </c>
    </row>
    <row r="603" customFormat="false" ht="15" hidden="false" customHeight="false" outlineLevel="0" collapsed="false">
      <c r="A603" s="70" t="s">
        <v>228</v>
      </c>
      <c r="B603" s="24" t="s">
        <v>1161</v>
      </c>
      <c r="C603" s="229" t="s">
        <v>3435</v>
      </c>
      <c r="D603" s="229" t="s">
        <v>3147</v>
      </c>
      <c r="E603" s="220"/>
      <c r="F603" s="220"/>
      <c r="G603" s="193"/>
      <c r="H603" s="105" t="n">
        <f aca="false">'[2]$ зима'!j603-'[2]$ зима'!au603-'[2]$ зима'!at603-'[2]$ зима'!as603-'[2]$ зима'!ar603-'[2]$ зима'!aq603-'[2]$ зима'!ap603-'[2]$ зима'!an603-'[2]$ зима'!am603-'[2]$ зима'!al603-'[2]$ зима'!ak603-'[2]$ зима'!aj603-'[2]$ зима'!ah603-'[2]$ зима'!ag603-'[2]$ зима'!af603-'[2]$ зима'!ae603-'[2]$ зима'!ad603-'[2]$ зима'!ab603-'[2]$ зима'!aa603-'[2]$ зима'!z603-'[2]$ зима'!y603-'[2]$ зима'!x603-'[2]$ зима'!v603-'[2]$ зима'!u603-'[2]$ зима'!t603-'[2]$ зима'!s603-'[2]$ зима'!r603-'[2]$ зима'!p603-'[2]$ зима'!o603-'[2]$ зима'!n603-'[2]$ зима'!m603-'[2]$ зима'!l603+'[2]$ зима'!q603+'[2]$ зима'!w603+'[2]$ зима'!ac603+'[2]$ зима'!ai603+'[2]$ зима'!ao603+'[2]$ зима'!k603</f>
        <v>6</v>
      </c>
      <c r="I603" s="191" t="n">
        <f aca="false">'[2]$ зима'!ay603*1.1</f>
        <v>1694</v>
      </c>
    </row>
    <row r="604" customFormat="false" ht="15" hidden="false" customHeight="false" outlineLevel="0" collapsed="false">
      <c r="A604" s="70" t="s">
        <v>228</v>
      </c>
      <c r="B604" s="24" t="s">
        <v>1161</v>
      </c>
      <c r="C604" s="229" t="s">
        <v>3205</v>
      </c>
      <c r="D604" s="229"/>
      <c r="E604" s="220"/>
      <c r="F604" s="220"/>
      <c r="G604" s="193"/>
      <c r="H604" s="105" t="n">
        <f aca="false">'[2]$ зима'!j604-'[2]$ зима'!au604-'[2]$ зима'!at604-'[2]$ зима'!as604-'[2]$ зима'!ar604-'[2]$ зима'!aq604-'[2]$ зима'!ap604-'[2]$ зима'!an604-'[2]$ зима'!am604-'[2]$ зима'!al604-'[2]$ зима'!ak604-'[2]$ зима'!aj604-'[2]$ зима'!ah604-'[2]$ зима'!ag604-'[2]$ зима'!af604-'[2]$ зима'!ae604-'[2]$ зима'!ad604-'[2]$ зима'!ab604-'[2]$ зима'!aa604-'[2]$ зима'!z604-'[2]$ зима'!y604-'[2]$ зима'!x604-'[2]$ зима'!v604-'[2]$ зима'!u604-'[2]$ зима'!t604-'[2]$ зима'!s604-'[2]$ зима'!r604-'[2]$ зима'!p604-'[2]$ зима'!o604-'[2]$ зима'!n604-'[2]$ зима'!m604-'[2]$ зима'!l604+'[2]$ зима'!q604+'[2]$ зима'!w604+'[2]$ зима'!ac604+'[2]$ зима'!ai604+'[2]$ зима'!ao604+'[2]$ зима'!k604</f>
        <v>4</v>
      </c>
      <c r="I604" s="191" t="n">
        <f aca="false">'[2]$ зима'!ay604*1.1</f>
        <v>1293.6</v>
      </c>
    </row>
    <row r="605" customFormat="false" ht="15" hidden="false" customHeight="false" outlineLevel="0" collapsed="false">
      <c r="A605" s="70" t="s">
        <v>228</v>
      </c>
      <c r="B605" s="24" t="s">
        <v>589</v>
      </c>
      <c r="C605" s="229" t="s">
        <v>3206</v>
      </c>
      <c r="D605" s="229"/>
      <c r="E605" s="220" t="n">
        <v>91</v>
      </c>
      <c r="F605" s="220" t="s">
        <v>3207</v>
      </c>
      <c r="G605" s="193" t="s">
        <v>626</v>
      </c>
      <c r="H605" s="105" t="n">
        <f aca="false">'[2]$ зима'!j605-'[2]$ зима'!au605-'[2]$ зима'!at605-'[2]$ зима'!as605-'[2]$ зима'!ar605-'[2]$ зима'!aq605-'[2]$ зима'!ap605-'[2]$ зима'!an605-'[2]$ зима'!am605-'[2]$ зима'!al605-'[2]$ зима'!ak605-'[2]$ зима'!aj605-'[2]$ зима'!ah605-'[2]$ зима'!ag605-'[2]$ зима'!af605-'[2]$ зима'!ae605-'[2]$ зима'!ad605-'[2]$ зима'!ab605-'[2]$ зима'!aa605-'[2]$ зима'!z605-'[2]$ зима'!y605-'[2]$ зима'!x605-'[2]$ зима'!v605-'[2]$ зима'!u605-'[2]$ зима'!t605-'[2]$ зима'!s605-'[2]$ зима'!r605-'[2]$ зима'!p605-'[2]$ зима'!o605-'[2]$ зима'!n605-'[2]$ зима'!m605-'[2]$ зима'!l605+'[2]$ зима'!q605+'[2]$ зима'!w605+'[2]$ зима'!ac605+'[2]$ зима'!ai605+'[2]$ зима'!ao605+'[2]$ зима'!k605</f>
        <v>2</v>
      </c>
      <c r="I605" s="191" t="n">
        <f aca="false">'[2]$ зима'!ay605*1.1</f>
        <v>2436.72</v>
      </c>
      <c r="J605" s="171" t="n">
        <v>2018</v>
      </c>
    </row>
    <row r="606" customFormat="false" ht="15" hidden="false" customHeight="false" outlineLevel="0" collapsed="false">
      <c r="A606" s="70" t="s">
        <v>228</v>
      </c>
      <c r="B606" s="24" t="s">
        <v>589</v>
      </c>
      <c r="C606" s="229" t="s">
        <v>3436</v>
      </c>
      <c r="D606" s="229"/>
      <c r="E606" s="220" t="n">
        <v>91</v>
      </c>
      <c r="F606" s="220" t="s">
        <v>634</v>
      </c>
      <c r="G606" s="193" t="s">
        <v>626</v>
      </c>
      <c r="H606" s="105" t="n">
        <f aca="false">'[2]$ зима'!j606-'[2]$ зима'!au606-'[2]$ зима'!at606-'[2]$ зима'!as606-'[2]$ зима'!ar606-'[2]$ зима'!aq606-'[2]$ зима'!ap606-'[2]$ зима'!an606-'[2]$ зима'!am606-'[2]$ зима'!al606-'[2]$ зима'!ak606-'[2]$ зима'!aj606-'[2]$ зима'!ah606-'[2]$ зима'!ag606-'[2]$ зима'!af606-'[2]$ зима'!ae606-'[2]$ зима'!ad606-'[2]$ зима'!ab606-'[2]$ зима'!aa606-'[2]$ зима'!z606-'[2]$ зима'!y606-'[2]$ зима'!x606-'[2]$ зима'!v606-'[2]$ зима'!u606-'[2]$ зима'!t606-'[2]$ зима'!s606-'[2]$ зима'!r606-'[2]$ зима'!p606-'[2]$ зима'!o606-'[2]$ зима'!n606-'[2]$ зима'!m606-'[2]$ зима'!l606+'[2]$ зима'!q606+'[2]$ зима'!w606+'[2]$ зима'!ac606+'[2]$ зима'!ai606+'[2]$ зима'!ao606+'[2]$ зима'!k606</f>
        <v>12</v>
      </c>
      <c r="I606" s="191" t="n">
        <f aca="false">'[2]$ зима'!ay606*1.1</f>
        <v>1811.92</v>
      </c>
    </row>
    <row r="607" customFormat="false" ht="15" hidden="false" customHeight="false" outlineLevel="0" collapsed="false">
      <c r="A607" s="70" t="s">
        <v>228</v>
      </c>
      <c r="B607" s="24" t="s">
        <v>589</v>
      </c>
      <c r="C607" s="148" t="s">
        <v>3208</v>
      </c>
      <c r="D607" s="229"/>
      <c r="E607" s="220" t="n">
        <v>91</v>
      </c>
      <c r="F607" s="220" t="s">
        <v>562</v>
      </c>
      <c r="G607" s="193" t="s">
        <v>626</v>
      </c>
      <c r="H607" s="105" t="n">
        <f aca="false">'[2]$ зима'!j607-'[2]$ зима'!au607-'[2]$ зима'!at607-'[2]$ зима'!as607-'[2]$ зима'!ar607-'[2]$ зима'!aq607-'[2]$ зима'!ap607-'[2]$ зима'!an607-'[2]$ зима'!am607-'[2]$ зима'!al607-'[2]$ зима'!ak607-'[2]$ зима'!aj607-'[2]$ зима'!ah607-'[2]$ зима'!ag607-'[2]$ зима'!af607-'[2]$ зима'!ae607-'[2]$ зима'!ad607-'[2]$ зима'!ab607-'[2]$ зима'!aa607-'[2]$ зима'!z607-'[2]$ зима'!y607-'[2]$ зима'!x607-'[2]$ зима'!v607-'[2]$ зима'!u607-'[2]$ зима'!t607-'[2]$ зима'!s607-'[2]$ зима'!r607-'[2]$ зима'!p607-'[2]$ зима'!o607-'[2]$ зима'!n607-'[2]$ зима'!m607-'[2]$ зима'!l607+'[2]$ зима'!q607+'[2]$ зима'!w607+'[2]$ зима'!ac607+'[2]$ зима'!ai607+'[2]$ зима'!ao607+'[2]$ зима'!k607</f>
        <v>8</v>
      </c>
      <c r="I607" s="191" t="n">
        <f aca="false">'[2]$ зима'!ay607*1.1</f>
        <v>2186.8</v>
      </c>
    </row>
    <row r="608" customFormat="false" ht="15" hidden="false" customHeight="false" outlineLevel="0" collapsed="false">
      <c r="A608" s="70" t="s">
        <v>228</v>
      </c>
      <c r="B608" s="24" t="s">
        <v>589</v>
      </c>
      <c r="C608" s="148" t="s">
        <v>3208</v>
      </c>
      <c r="D608" s="24" t="s">
        <v>3147</v>
      </c>
      <c r="E608" s="220" t="n">
        <v>91</v>
      </c>
      <c r="F608" s="220" t="s">
        <v>562</v>
      </c>
      <c r="G608" s="193" t="s">
        <v>626</v>
      </c>
      <c r="H608" s="105" t="n">
        <f aca="false">'[2]$ зима'!j608-'[2]$ зима'!au608-'[2]$ зима'!at608-'[2]$ зима'!as608-'[2]$ зима'!ar608-'[2]$ зима'!aq608-'[2]$ зима'!ap608-'[2]$ зима'!an608-'[2]$ зима'!am608-'[2]$ зима'!al608-'[2]$ зима'!ak608-'[2]$ зима'!aj608-'[2]$ зима'!ah608-'[2]$ зима'!ag608-'[2]$ зима'!af608-'[2]$ зима'!ae608-'[2]$ зима'!ad608-'[2]$ зима'!ab608-'[2]$ зима'!aa608-'[2]$ зима'!z608-'[2]$ зима'!y608-'[2]$ зима'!x608-'[2]$ зима'!v608-'[2]$ зима'!u608-'[2]$ зима'!t608-'[2]$ зима'!s608-'[2]$ зима'!r608-'[2]$ зима'!p608-'[2]$ зима'!o608-'[2]$ зима'!n608-'[2]$ зима'!m608-'[2]$ зима'!l608+'[2]$ зима'!q608+'[2]$ зима'!w608+'[2]$ зима'!ac608+'[2]$ зима'!ai608+'[2]$ зима'!ao608+'[2]$ зима'!k608</f>
        <v>8</v>
      </c>
      <c r="I608" s="191" t="n">
        <f aca="false">'[2]$ зима'!ay608*1.1</f>
        <v>2343</v>
      </c>
      <c r="J608" s="171" t="n">
        <v>2017</v>
      </c>
    </row>
    <row r="609" customFormat="false" ht="15" hidden="false" customHeight="false" outlineLevel="0" collapsed="false">
      <c r="A609" s="70" t="s">
        <v>228</v>
      </c>
      <c r="B609" s="24" t="s">
        <v>589</v>
      </c>
      <c r="C609" s="148" t="s">
        <v>3259</v>
      </c>
      <c r="D609" s="229"/>
      <c r="E609" s="220" t="n">
        <v>94</v>
      </c>
      <c r="F609" s="220" t="s">
        <v>3437</v>
      </c>
      <c r="G609" s="193" t="s">
        <v>626</v>
      </c>
      <c r="H609" s="105" t="n">
        <f aca="false">'[2]$ зима'!j609-'[2]$ зима'!au609-'[2]$ зима'!at609-'[2]$ зима'!as609-'[2]$ зима'!ar609-'[2]$ зима'!aq609-'[2]$ зима'!ap609-'[2]$ зима'!an609-'[2]$ зима'!am609-'[2]$ зима'!al609-'[2]$ зима'!ak609-'[2]$ зима'!aj609-'[2]$ зима'!ah609-'[2]$ зима'!ag609-'[2]$ зима'!af609-'[2]$ зима'!ae609-'[2]$ зима'!ad609-'[2]$ зима'!ab609-'[2]$ зима'!aa609-'[2]$ зима'!z609-'[2]$ зима'!y609-'[2]$ зима'!x609-'[2]$ зима'!v609-'[2]$ зима'!u609-'[2]$ зима'!t609-'[2]$ зима'!s609-'[2]$ зима'!r609-'[2]$ зима'!p609-'[2]$ зима'!o609-'[2]$ зима'!n609-'[2]$ зима'!m609-'[2]$ зима'!l609+'[2]$ зима'!q609+'[2]$ зима'!w609+'[2]$ зима'!ac609+'[2]$ зима'!ai609+'[2]$ зима'!ao609+'[2]$ зима'!k609</f>
        <v>8</v>
      </c>
      <c r="I609" s="191" t="n">
        <f aca="false">'[2]$ зима'!ay609*1.1</f>
        <v>2249.28</v>
      </c>
      <c r="J609" s="171" t="n">
        <v>2018</v>
      </c>
    </row>
    <row r="610" customFormat="false" ht="15" hidden="false" customHeight="false" outlineLevel="0" collapsed="false">
      <c r="A610" s="188" t="s">
        <v>228</v>
      </c>
      <c r="B610" s="149" t="s">
        <v>589</v>
      </c>
      <c r="C610" s="148" t="s">
        <v>3173</v>
      </c>
      <c r="D610" s="148"/>
      <c r="E610" s="192"/>
      <c r="F610" s="192"/>
      <c r="G610" s="193" t="s">
        <v>626</v>
      </c>
      <c r="H610" s="105" t="n">
        <f aca="false">'[2]$ зима'!j610-'[2]$ зима'!au610-'[2]$ зима'!at610-'[2]$ зима'!as610-'[2]$ зима'!ar610-'[2]$ зима'!aq610-'[2]$ зима'!ap610-'[2]$ зима'!an610-'[2]$ зима'!am610-'[2]$ зима'!al610-'[2]$ зима'!ak610-'[2]$ зима'!aj610-'[2]$ зима'!ah610-'[2]$ зима'!ag610-'[2]$ зима'!af610-'[2]$ зима'!ae610-'[2]$ зима'!ad610-'[2]$ зима'!ab610-'[2]$ зима'!aa610-'[2]$ зима'!z610-'[2]$ зима'!y610-'[2]$ зима'!x610-'[2]$ зима'!v610-'[2]$ зима'!u610-'[2]$ зима'!t610-'[2]$ зима'!s610-'[2]$ зима'!r610-'[2]$ зима'!p610-'[2]$ зима'!o610-'[2]$ зима'!n610-'[2]$ зима'!m610-'[2]$ зима'!l610+'[2]$ зима'!q610+'[2]$ зима'!w610+'[2]$ зима'!ac610+'[2]$ зима'!ai610+'[2]$ зима'!ao610+'[2]$ зима'!k610</f>
        <v>2</v>
      </c>
      <c r="I610" s="191" t="n">
        <f aca="false">'[2]$ зима'!ay610*1.1</f>
        <v>1562</v>
      </c>
    </row>
    <row r="611" customFormat="false" ht="15" hidden="false" customHeight="false" outlineLevel="0" collapsed="false">
      <c r="A611" s="188" t="s">
        <v>228</v>
      </c>
      <c r="B611" s="149" t="s">
        <v>564</v>
      </c>
      <c r="C611" s="148" t="s">
        <v>3438</v>
      </c>
      <c r="D611" s="148"/>
      <c r="E611" s="192"/>
      <c r="F611" s="192" t="s">
        <v>3286</v>
      </c>
      <c r="G611" s="193"/>
      <c r="H611" s="105" t="n">
        <f aca="false">'[2]$ зима'!j611-'[2]$ зима'!au611-'[2]$ зима'!at611-'[2]$ зима'!as611-'[2]$ зима'!ar611-'[2]$ зима'!aq611-'[2]$ зима'!ap611-'[2]$ зима'!an611-'[2]$ зима'!am611-'[2]$ зима'!al611-'[2]$ зима'!ak611-'[2]$ зима'!aj611-'[2]$ зима'!ah611-'[2]$ зима'!ag611-'[2]$ зима'!af611-'[2]$ зима'!ae611-'[2]$ зима'!ad611-'[2]$ зима'!ab611-'[2]$ зима'!aa611-'[2]$ зима'!z611-'[2]$ зима'!y611-'[2]$ зима'!x611-'[2]$ зима'!v611-'[2]$ зима'!u611-'[2]$ зима'!t611-'[2]$ зима'!s611-'[2]$ зима'!r611-'[2]$ зима'!p611-'[2]$ зима'!o611-'[2]$ зима'!n611-'[2]$ зима'!m611-'[2]$ зима'!l611+'[2]$ зима'!q611+'[2]$ зима'!w611+'[2]$ зима'!ac611+'[2]$ зима'!ai611+'[2]$ зима'!ao611+'[2]$ зима'!k611</f>
        <v>8</v>
      </c>
      <c r="I611" s="191" t="n">
        <f aca="false">'[2]$ зима'!ay611*1.1</f>
        <v>1386</v>
      </c>
      <c r="J611" s="171" t="n">
        <v>2017</v>
      </c>
    </row>
    <row r="612" customFormat="false" ht="15" hidden="true" customHeight="false" outlineLevel="0" collapsed="false">
      <c r="A612" s="210" t="s">
        <v>236</v>
      </c>
      <c r="B612" s="149" t="s">
        <v>2705</v>
      </c>
      <c r="C612" s="148" t="s">
        <v>3145</v>
      </c>
      <c r="D612" s="148"/>
      <c r="E612" s="148"/>
      <c r="F612" s="148"/>
      <c r="G612" s="193"/>
      <c r="H612" s="105" t="n">
        <f aca="false">'[2]$ зима'!j612-'[2]$ зима'!au612-'[2]$ зима'!at612-'[2]$ зима'!as612-'[2]$ зима'!ar612-'[2]$ зима'!aq612-'[2]$ зима'!ap612-'[2]$ зима'!an612-'[2]$ зима'!am612-'[2]$ зима'!al612-'[2]$ зима'!ak612-'[2]$ зима'!aj612-'[2]$ зима'!ah612-'[2]$ зима'!ag612-'[2]$ зима'!af612-'[2]$ зима'!ae612-'[2]$ зима'!ad612-'[2]$ зима'!ab612-'[2]$ зима'!aa612-'[2]$ зима'!z612-'[2]$ зима'!y612-'[2]$ зима'!x612-'[2]$ зима'!v612-'[2]$ зима'!u612-'[2]$ зима'!t612-'[2]$ зима'!s612-'[2]$ зима'!r612-'[2]$ зима'!p612-'[2]$ зима'!o612-'[2]$ зима'!n612-'[2]$ зима'!m612-'[2]$ зима'!l612+'[2]$ зима'!q612+'[2]$ зима'!w612+'[2]$ зима'!ac612+'[2]$ зима'!ai612+'[2]$ зима'!ao612+'[2]$ зима'!k612</f>
        <v>0</v>
      </c>
      <c r="I612" s="191" t="n">
        <f aca="false">'[2]$ зима'!ay612*1.1</f>
        <v>1324.4</v>
      </c>
    </row>
    <row r="613" customFormat="false" ht="15" hidden="true" customHeight="false" outlineLevel="0" collapsed="false">
      <c r="A613" s="210" t="s">
        <v>236</v>
      </c>
      <c r="B613" s="149" t="s">
        <v>844</v>
      </c>
      <c r="C613" s="148" t="s">
        <v>3192</v>
      </c>
      <c r="D613" s="148"/>
      <c r="E613" s="148"/>
      <c r="F613" s="148"/>
      <c r="G613" s="193"/>
      <c r="H613" s="105" t="n">
        <f aca="false">'[2]$ зима'!j613-'[2]$ зима'!au613-'[2]$ зима'!at613-'[2]$ зима'!as613-'[2]$ зима'!ar613-'[2]$ зима'!aq613-'[2]$ зима'!ap613-'[2]$ зима'!an613-'[2]$ зима'!am613-'[2]$ зима'!al613-'[2]$ зима'!ak613-'[2]$ зима'!aj613-'[2]$ зима'!ah613-'[2]$ зима'!ag613-'[2]$ зима'!af613-'[2]$ зима'!ae613-'[2]$ зима'!ad613-'[2]$ зима'!ab613-'[2]$ зима'!aa613-'[2]$ зима'!z613-'[2]$ зима'!y613-'[2]$ зима'!x613-'[2]$ зима'!v613-'[2]$ зима'!u613-'[2]$ зима'!t613-'[2]$ зима'!s613-'[2]$ зима'!r613-'[2]$ зима'!p613-'[2]$ зима'!o613-'[2]$ зима'!n613-'[2]$ зима'!m613-'[2]$ зима'!l613+'[2]$ зима'!q613+'[2]$ зима'!w613+'[2]$ зима'!ac613+'[2]$ зима'!ai613+'[2]$ зима'!ao613+'[2]$ зима'!k613</f>
        <v>0</v>
      </c>
      <c r="I613" s="191" t="n">
        <f aca="false">'[2]$ зима'!ay613*1.1</f>
        <v>2002</v>
      </c>
    </row>
    <row r="614" customFormat="false" ht="15" hidden="true" customHeight="false" outlineLevel="0" collapsed="false">
      <c r="A614" s="210" t="s">
        <v>236</v>
      </c>
      <c r="B614" s="149" t="s">
        <v>601</v>
      </c>
      <c r="C614" s="148" t="s">
        <v>3439</v>
      </c>
      <c r="D614" s="148" t="s">
        <v>3147</v>
      </c>
      <c r="E614" s="148"/>
      <c r="F614" s="148"/>
      <c r="G614" s="193"/>
      <c r="H614" s="105" t="n">
        <f aca="false">'[2]$ зима'!j614-'[2]$ зима'!au614-'[2]$ зима'!at614-'[2]$ зима'!as614-'[2]$ зима'!ar614-'[2]$ зима'!aq614-'[2]$ зима'!ap614-'[2]$ зима'!an614-'[2]$ зима'!am614-'[2]$ зима'!al614-'[2]$ зима'!ak614-'[2]$ зима'!aj614-'[2]$ зима'!ah614-'[2]$ зима'!ag614-'[2]$ зима'!af614-'[2]$ зима'!ae614-'[2]$ зима'!ad614-'[2]$ зима'!ab614-'[2]$ зима'!aa614-'[2]$ зима'!z614-'[2]$ зима'!y614-'[2]$ зима'!x614-'[2]$ зима'!v614-'[2]$ зима'!u614-'[2]$ зима'!t614-'[2]$ зима'!s614-'[2]$ зима'!r614-'[2]$ зима'!p614-'[2]$ зима'!o614-'[2]$ зима'!n614-'[2]$ зима'!m614-'[2]$ зима'!l614+'[2]$ зима'!q614+'[2]$ зима'!w614+'[2]$ зима'!ac614+'[2]$ зима'!ai614+'[2]$ зима'!ao614+'[2]$ зима'!k614</f>
        <v>0</v>
      </c>
      <c r="I614" s="191" t="n">
        <f aca="false">'[2]$ зима'!ay614*1.1</f>
        <v>2156</v>
      </c>
    </row>
    <row r="615" customFormat="false" ht="15" hidden="true" customHeight="false" outlineLevel="0" collapsed="false">
      <c r="A615" s="210" t="s">
        <v>236</v>
      </c>
      <c r="B615" s="149" t="s">
        <v>601</v>
      </c>
      <c r="C615" s="148" t="s">
        <v>3151</v>
      </c>
      <c r="D615" s="148"/>
      <c r="E615" s="148"/>
      <c r="F615" s="148"/>
      <c r="G615" s="193"/>
      <c r="H615" s="105" t="n">
        <f aca="false">'[2]$ зима'!j615-'[2]$ зима'!au615-'[2]$ зима'!at615-'[2]$ зима'!as615-'[2]$ зима'!ar615-'[2]$ зима'!aq615-'[2]$ зима'!ap615-'[2]$ зима'!an615-'[2]$ зима'!am615-'[2]$ зима'!al615-'[2]$ зима'!ak615-'[2]$ зима'!aj615-'[2]$ зима'!ah615-'[2]$ зима'!ag615-'[2]$ зима'!af615-'[2]$ зима'!ae615-'[2]$ зима'!ad615-'[2]$ зима'!ab615-'[2]$ зима'!aa615-'[2]$ зима'!z615-'[2]$ зима'!y615-'[2]$ зима'!x615-'[2]$ зима'!v615-'[2]$ зима'!u615-'[2]$ зима'!t615-'[2]$ зима'!s615-'[2]$ зима'!r615-'[2]$ зима'!p615-'[2]$ зима'!o615-'[2]$ зима'!n615-'[2]$ зима'!m615-'[2]$ зима'!l615+'[2]$ зима'!q615+'[2]$ зима'!w615+'[2]$ зима'!ac615+'[2]$ зима'!ai615+'[2]$ зима'!ao615+'[2]$ зима'!k615</f>
        <v>0</v>
      </c>
      <c r="I615" s="191" t="n">
        <f aca="false">'[2]$ зима'!ay615*1.1</f>
        <v>2494.8</v>
      </c>
      <c r="J615" s="171" t="n">
        <v>2015</v>
      </c>
    </row>
    <row r="616" customFormat="false" ht="15" hidden="true" customHeight="false" outlineLevel="0" collapsed="false">
      <c r="A616" s="210" t="s">
        <v>236</v>
      </c>
      <c r="B616" s="149" t="s">
        <v>601</v>
      </c>
      <c r="C616" s="148" t="s">
        <v>3440</v>
      </c>
      <c r="D616" s="148"/>
      <c r="E616" s="148" t="n">
        <v>92</v>
      </c>
      <c r="F616" s="148" t="s">
        <v>1455</v>
      </c>
      <c r="G616" s="193"/>
      <c r="H616" s="105" t="n">
        <f aca="false">'[2]$ зима'!j616-'[2]$ зима'!au616-'[2]$ зима'!at616-'[2]$ зима'!as616-'[2]$ зима'!ar616-'[2]$ зима'!aq616-'[2]$ зима'!ap616-'[2]$ зима'!an616-'[2]$ зима'!am616-'[2]$ зима'!al616-'[2]$ зима'!ak616-'[2]$ зима'!aj616-'[2]$ зима'!ah616-'[2]$ зима'!ag616-'[2]$ зима'!af616-'[2]$ зима'!ae616-'[2]$ зима'!ad616-'[2]$ зима'!ab616-'[2]$ зима'!aa616-'[2]$ зима'!z616-'[2]$ зима'!y616-'[2]$ зима'!x616-'[2]$ зима'!v616-'[2]$ зима'!u616-'[2]$ зима'!t616-'[2]$ зима'!s616-'[2]$ зима'!r616-'[2]$ зима'!p616-'[2]$ зима'!o616-'[2]$ зима'!n616-'[2]$ зима'!m616-'[2]$ зима'!l616+'[2]$ зима'!q616+'[2]$ зима'!w616+'[2]$ зима'!ac616+'[2]$ зима'!ai616+'[2]$ зима'!ao616+'[2]$ зима'!k616</f>
        <v>0</v>
      </c>
      <c r="I616" s="191" t="n">
        <f aca="false">'[2]$ зима'!ay616*1.1</f>
        <v>2741.2</v>
      </c>
      <c r="J616" s="171" t="n">
        <v>2017</v>
      </c>
    </row>
    <row r="617" customFormat="false" ht="15" hidden="true" customHeight="false" outlineLevel="0" collapsed="false">
      <c r="A617" s="210" t="s">
        <v>236</v>
      </c>
      <c r="B617" s="149" t="s">
        <v>707</v>
      </c>
      <c r="C617" s="148" t="s">
        <v>3408</v>
      </c>
      <c r="D617" s="148"/>
      <c r="E617" s="148" t="n">
        <v>92</v>
      </c>
      <c r="F617" s="148" t="s">
        <v>634</v>
      </c>
      <c r="G617" s="193"/>
      <c r="H617" s="105" t="n">
        <f aca="false">'[2]$ зима'!j617-'[2]$ зима'!au617-'[2]$ зима'!at617-'[2]$ зима'!as617-'[2]$ зима'!ar617-'[2]$ зима'!aq617-'[2]$ зима'!ap617-'[2]$ зима'!an617-'[2]$ зима'!am617-'[2]$ зима'!al617-'[2]$ зима'!ak617-'[2]$ зима'!aj617-'[2]$ зима'!ah617-'[2]$ зима'!ag617-'[2]$ зима'!af617-'[2]$ зима'!ae617-'[2]$ зима'!ad617-'[2]$ зима'!ab617-'[2]$ зима'!aa617-'[2]$ зима'!z617-'[2]$ зима'!y617-'[2]$ зима'!x617-'[2]$ зима'!v617-'[2]$ зима'!u617-'[2]$ зима'!t617-'[2]$ зима'!s617-'[2]$ зима'!r617-'[2]$ зима'!p617-'[2]$ зима'!o617-'[2]$ зима'!n617-'[2]$ зима'!m617-'[2]$ зима'!l617+'[2]$ зима'!q617+'[2]$ зима'!w617+'[2]$ зима'!ac617+'[2]$ зима'!ai617+'[2]$ зима'!ao617+'[2]$ зима'!k617</f>
        <v>0</v>
      </c>
      <c r="I617" s="191" t="n">
        <f aca="false">'[2]$ зима'!ay617*1.1</f>
        <v>2310</v>
      </c>
    </row>
    <row r="618" customFormat="false" ht="15" hidden="true" customHeight="false" outlineLevel="0" collapsed="false">
      <c r="A618" s="210" t="s">
        <v>236</v>
      </c>
      <c r="B618" s="149" t="s">
        <v>557</v>
      </c>
      <c r="C618" s="148" t="s">
        <v>3441</v>
      </c>
      <c r="D618" s="148" t="s">
        <v>3127</v>
      </c>
      <c r="E618" s="148"/>
      <c r="F618" s="148"/>
      <c r="G618" s="193"/>
      <c r="H618" s="105" t="n">
        <f aca="false">'[2]$ зима'!j618-'[2]$ зима'!au618-'[2]$ зима'!at618-'[2]$ зима'!as618-'[2]$ зима'!ar618-'[2]$ зима'!aq618-'[2]$ зима'!ap618-'[2]$ зима'!an618-'[2]$ зима'!am618-'[2]$ зима'!al618-'[2]$ зима'!ak618-'[2]$ зима'!aj618-'[2]$ зима'!ah618-'[2]$ зима'!ag618-'[2]$ зима'!af618-'[2]$ зима'!ae618-'[2]$ зима'!ad618-'[2]$ зима'!ab618-'[2]$ зима'!aa618-'[2]$ зима'!z618-'[2]$ зима'!y618-'[2]$ зима'!x618-'[2]$ зима'!v618-'[2]$ зима'!u618-'[2]$ зима'!t618-'[2]$ зима'!s618-'[2]$ зима'!r618-'[2]$ зима'!p618-'[2]$ зима'!o618-'[2]$ зима'!n618-'[2]$ зима'!m618-'[2]$ зима'!l618+'[2]$ зима'!q618+'[2]$ зима'!w618+'[2]$ зима'!ac618+'[2]$ зима'!ai618+'[2]$ зима'!ao618+'[2]$ зима'!k618</f>
        <v>0</v>
      </c>
      <c r="I618" s="191" t="n">
        <f aca="false">'[2]$ зима'!ay618*1.1</f>
        <v>1540</v>
      </c>
    </row>
    <row r="619" customFormat="false" ht="15" hidden="true" customHeight="false" outlineLevel="0" collapsed="false">
      <c r="A619" s="210" t="s">
        <v>236</v>
      </c>
      <c r="B619" s="149" t="s">
        <v>604</v>
      </c>
      <c r="C619" s="148" t="s">
        <v>3442</v>
      </c>
      <c r="D619" s="148"/>
      <c r="E619" s="148"/>
      <c r="F619" s="148"/>
      <c r="G619" s="193" t="s">
        <v>868</v>
      </c>
      <c r="H619" s="105" t="n">
        <f aca="false">'[2]$ зима'!j619-'[2]$ зима'!au619-'[2]$ зима'!at619-'[2]$ зима'!as619-'[2]$ зима'!ar619-'[2]$ зима'!aq619-'[2]$ зима'!ap619-'[2]$ зима'!an619-'[2]$ зима'!am619-'[2]$ зима'!al619-'[2]$ зима'!ak619-'[2]$ зима'!aj619-'[2]$ зима'!ah619-'[2]$ зима'!ag619-'[2]$ зима'!af619-'[2]$ зима'!ae619-'[2]$ зима'!ad619-'[2]$ зима'!ab619-'[2]$ зима'!aa619-'[2]$ зима'!z619-'[2]$ зима'!y619-'[2]$ зима'!x619-'[2]$ зима'!v619-'[2]$ зима'!u619-'[2]$ зима'!t619-'[2]$ зима'!s619-'[2]$ зима'!r619-'[2]$ зима'!p619-'[2]$ зима'!o619-'[2]$ зима'!n619-'[2]$ зима'!m619-'[2]$ зима'!l619+'[2]$ зима'!q619+'[2]$ зима'!w619+'[2]$ зима'!ac619+'[2]$ зима'!ai619+'[2]$ зима'!ao619+'[2]$ зима'!k619</f>
        <v>0</v>
      </c>
      <c r="I619" s="191" t="n">
        <f aca="false">'[2]$ зима'!ay619*1.1</f>
        <v>1909.6</v>
      </c>
    </row>
    <row r="620" customFormat="false" ht="15" hidden="true" customHeight="false" outlineLevel="0" collapsed="false">
      <c r="A620" s="188" t="s">
        <v>236</v>
      </c>
      <c r="B620" s="149" t="s">
        <v>744</v>
      </c>
      <c r="C620" s="148" t="s">
        <v>3443</v>
      </c>
      <c r="D620" s="148" t="s">
        <v>3127</v>
      </c>
      <c r="E620" s="148"/>
      <c r="F620" s="148"/>
      <c r="G620" s="193"/>
      <c r="H620" s="105" t="n">
        <f aca="false">'[2]$ зима'!j620-'[2]$ зима'!au620-'[2]$ зима'!at620-'[2]$ зима'!as620-'[2]$ зима'!ar620-'[2]$ зима'!aq620-'[2]$ зима'!ap620-'[2]$ зима'!an620-'[2]$ зима'!am620-'[2]$ зима'!al620-'[2]$ зима'!ak620-'[2]$ зима'!aj620-'[2]$ зима'!ah620-'[2]$ зима'!ag620-'[2]$ зима'!af620-'[2]$ зима'!ae620-'[2]$ зима'!ad620-'[2]$ зима'!ab620-'[2]$ зима'!aa620-'[2]$ зима'!z620-'[2]$ зима'!y620-'[2]$ зима'!x620-'[2]$ зима'!v620-'[2]$ зима'!u620-'[2]$ зима'!t620-'[2]$ зима'!s620-'[2]$ зима'!r620-'[2]$ зима'!p620-'[2]$ зима'!o620-'[2]$ зима'!n620-'[2]$ зима'!m620-'[2]$ зима'!l620+'[2]$ зима'!q620+'[2]$ зима'!w620+'[2]$ зима'!ac620+'[2]$ зима'!ai620+'[2]$ зима'!ao620+'[2]$ зима'!k620</f>
        <v>0</v>
      </c>
      <c r="I620" s="191" t="n">
        <f aca="false">'[2]$ зима'!ay620*1.1</f>
        <v>1940.4</v>
      </c>
    </row>
    <row r="621" customFormat="false" ht="15" hidden="true" customHeight="false" outlineLevel="0" collapsed="false">
      <c r="A621" s="188" t="s">
        <v>236</v>
      </c>
      <c r="B621" s="149" t="s">
        <v>948</v>
      </c>
      <c r="C621" s="148" t="s">
        <v>3444</v>
      </c>
      <c r="D621" s="148"/>
      <c r="E621" s="148"/>
      <c r="F621" s="148"/>
      <c r="G621" s="193" t="s">
        <v>1127</v>
      </c>
      <c r="H621" s="105" t="n">
        <f aca="false">'[2]$ зима'!j621-'[2]$ зима'!au621-'[2]$ зима'!at621-'[2]$ зима'!as621-'[2]$ зима'!ar621-'[2]$ зима'!aq621-'[2]$ зима'!ap621-'[2]$ зима'!an621-'[2]$ зима'!am621-'[2]$ зима'!al621-'[2]$ зима'!ak621-'[2]$ зима'!aj621-'[2]$ зима'!ah621-'[2]$ зима'!ag621-'[2]$ зима'!af621-'[2]$ зима'!ae621-'[2]$ зима'!ad621-'[2]$ зима'!ab621-'[2]$ зима'!aa621-'[2]$ зима'!z621-'[2]$ зима'!y621-'[2]$ зима'!x621-'[2]$ зима'!v621-'[2]$ зима'!u621-'[2]$ зима'!t621-'[2]$ зима'!s621-'[2]$ зима'!r621-'[2]$ зима'!p621-'[2]$ зима'!o621-'[2]$ зима'!n621-'[2]$ зима'!m621-'[2]$ зима'!l621+'[2]$ зима'!q621+'[2]$ зима'!w621+'[2]$ зима'!ac621+'[2]$ зима'!ai621+'[2]$ зима'!ao621+'[2]$ зима'!k621</f>
        <v>0</v>
      </c>
      <c r="I621" s="191" t="n">
        <f aca="false">'[2]$ зима'!ay621*1.1</f>
        <v>2494.8</v>
      </c>
      <c r="J621" s="171" t="n">
        <v>2017</v>
      </c>
    </row>
    <row r="622" customFormat="false" ht="15" hidden="true" customHeight="false" outlineLevel="0" collapsed="false">
      <c r="A622" s="188" t="s">
        <v>236</v>
      </c>
      <c r="B622" s="149" t="s">
        <v>606</v>
      </c>
      <c r="C622" s="148" t="s">
        <v>3445</v>
      </c>
      <c r="D622" s="148"/>
      <c r="E622" s="148" t="n">
        <v>96</v>
      </c>
      <c r="F622" s="148" t="s">
        <v>634</v>
      </c>
      <c r="G622" s="193"/>
      <c r="H622" s="105" t="n">
        <f aca="false">'[2]$ зима'!j622-'[2]$ зима'!au622-'[2]$ зима'!at622-'[2]$ зима'!as622-'[2]$ зима'!ar622-'[2]$ зима'!aq622-'[2]$ зима'!ap622-'[2]$ зима'!an622-'[2]$ зима'!am622-'[2]$ зима'!al622-'[2]$ зима'!ak622-'[2]$ зима'!aj622-'[2]$ зима'!ah622-'[2]$ зима'!ag622-'[2]$ зима'!af622-'[2]$ зима'!ae622-'[2]$ зима'!ad622-'[2]$ зима'!ab622-'[2]$ зима'!aa622-'[2]$ зима'!z622-'[2]$ зима'!y622-'[2]$ зима'!x622-'[2]$ зима'!v622-'[2]$ зима'!u622-'[2]$ зима'!t622-'[2]$ зима'!s622-'[2]$ зима'!r622-'[2]$ зима'!p622-'[2]$ зима'!o622-'[2]$ зима'!n622-'[2]$ зима'!m622-'[2]$ зима'!l622+'[2]$ зима'!q622+'[2]$ зима'!w622+'[2]$ зима'!ac622+'[2]$ зима'!ai622+'[2]$ зима'!ao622+'[2]$ зима'!k622</f>
        <v>0</v>
      </c>
      <c r="I622" s="191" t="n">
        <f aca="false">'[2]$ зима'!ay622*1.1</f>
        <v>1909.6</v>
      </c>
    </row>
    <row r="623" customFormat="false" ht="15" hidden="false" customHeight="false" outlineLevel="0" collapsed="false">
      <c r="A623" s="188" t="s">
        <v>236</v>
      </c>
      <c r="B623" s="149" t="s">
        <v>606</v>
      </c>
      <c r="C623" s="148" t="s">
        <v>3245</v>
      </c>
      <c r="D623" s="148"/>
      <c r="E623" s="192" t="n">
        <v>96</v>
      </c>
      <c r="F623" s="192" t="s">
        <v>3216</v>
      </c>
      <c r="G623" s="193" t="s">
        <v>609</v>
      </c>
      <c r="H623" s="105" t="n">
        <f aca="false">'[2]$ зима'!j623-'[2]$ зима'!au623-'[2]$ зима'!at623-'[2]$ зима'!as623-'[2]$ зима'!ar623-'[2]$ зима'!aq623-'[2]$ зима'!ap623-'[2]$ зима'!an623-'[2]$ зима'!am623-'[2]$ зима'!al623-'[2]$ зима'!ak623-'[2]$ зима'!aj623-'[2]$ зима'!ah623-'[2]$ зима'!ag623-'[2]$ зима'!af623-'[2]$ зима'!ae623-'[2]$ зима'!ad623-'[2]$ зима'!ab623-'[2]$ зима'!aa623-'[2]$ зима'!z623-'[2]$ зима'!y623-'[2]$ зима'!x623-'[2]$ зима'!v623-'[2]$ зима'!u623-'[2]$ зима'!t623-'[2]$ зима'!s623-'[2]$ зима'!r623-'[2]$ зима'!p623-'[2]$ зима'!o623-'[2]$ зима'!n623-'[2]$ зима'!m623-'[2]$ зима'!l623+'[2]$ зима'!q623+'[2]$ зима'!w623+'[2]$ зима'!ac623+'[2]$ зима'!ai623+'[2]$ зима'!ao623+'[2]$ зима'!k623</f>
        <v>12</v>
      </c>
      <c r="I623" s="191" t="n">
        <f aca="false">'[2]$ зима'!ay623*1.1</f>
        <v>2063.6</v>
      </c>
      <c r="J623" s="171" t="n">
        <v>2018</v>
      </c>
    </row>
    <row r="624" customFormat="false" ht="15" hidden="true" customHeight="false" outlineLevel="0" collapsed="false">
      <c r="A624" s="188" t="s">
        <v>236</v>
      </c>
      <c r="B624" s="149" t="s">
        <v>606</v>
      </c>
      <c r="C624" s="148" t="s">
        <v>3186</v>
      </c>
      <c r="D624" s="148"/>
      <c r="E624" s="148"/>
      <c r="F624" s="148"/>
      <c r="G624" s="193"/>
      <c r="H624" s="105" t="n">
        <f aca="false">'[2]$ зима'!j624-'[2]$ зима'!au624-'[2]$ зима'!at624-'[2]$ зима'!as624-'[2]$ зима'!ar624-'[2]$ зима'!aq624-'[2]$ зима'!ap624-'[2]$ зима'!an624-'[2]$ зима'!am624-'[2]$ зима'!al624-'[2]$ зима'!ak624-'[2]$ зима'!aj624-'[2]$ зима'!ah624-'[2]$ зима'!ag624-'[2]$ зима'!af624-'[2]$ зима'!ae624-'[2]$ зима'!ad624-'[2]$ зима'!ab624-'[2]$ зима'!aa624-'[2]$ зима'!z624-'[2]$ зима'!y624-'[2]$ зима'!x624-'[2]$ зима'!v624-'[2]$ зима'!u624-'[2]$ зима'!t624-'[2]$ зима'!s624-'[2]$ зима'!r624-'[2]$ зима'!p624-'[2]$ зима'!o624-'[2]$ зима'!n624-'[2]$ зима'!m624-'[2]$ зима'!l624+'[2]$ зима'!q624+'[2]$ зима'!w624+'[2]$ зима'!ac624+'[2]$ зима'!ai624+'[2]$ зима'!ao624+'[2]$ зима'!k624</f>
        <v>0</v>
      </c>
      <c r="I624" s="191" t="n">
        <f aca="false">'[2]$ зима'!ay624*1.1</f>
        <v>1817.2</v>
      </c>
    </row>
    <row r="625" customFormat="false" ht="15" hidden="false" customHeight="false" outlineLevel="0" collapsed="false">
      <c r="A625" s="188" t="s">
        <v>236</v>
      </c>
      <c r="B625" s="149" t="s">
        <v>606</v>
      </c>
      <c r="C625" s="148" t="s">
        <v>3231</v>
      </c>
      <c r="D625" s="148"/>
      <c r="E625" s="192" t="n">
        <v>96</v>
      </c>
      <c r="F625" s="192" t="s">
        <v>3216</v>
      </c>
      <c r="G625" s="193" t="s">
        <v>609</v>
      </c>
      <c r="H625" s="105" t="n">
        <f aca="false">'[2]$ зима'!j625-'[2]$ зима'!au625-'[2]$ зима'!at625-'[2]$ зима'!as625-'[2]$ зима'!ar625-'[2]$ зима'!aq625-'[2]$ зима'!ap625-'[2]$ зима'!an625-'[2]$ зима'!am625-'[2]$ зима'!al625-'[2]$ зима'!ak625-'[2]$ зима'!aj625-'[2]$ зима'!ah625-'[2]$ зима'!ag625-'[2]$ зима'!af625-'[2]$ зима'!ae625-'[2]$ зима'!ad625-'[2]$ зима'!ab625-'[2]$ зима'!aa625-'[2]$ зима'!z625-'[2]$ зима'!y625-'[2]$ зима'!x625-'[2]$ зима'!v625-'[2]$ зима'!u625-'[2]$ зима'!t625-'[2]$ зима'!s625-'[2]$ зима'!r625-'[2]$ зима'!p625-'[2]$ зима'!o625-'[2]$ зима'!n625-'[2]$ зима'!m625-'[2]$ зима'!l625+'[2]$ зима'!q625+'[2]$ зима'!w625+'[2]$ зима'!ac625+'[2]$ зима'!ai625+'[2]$ зима'!ao625+'[2]$ зима'!k625</f>
        <v>20</v>
      </c>
      <c r="I625" s="191" t="n">
        <f aca="false">'[2]$ зима'!ay625*1.1</f>
        <v>2002</v>
      </c>
      <c r="J625" s="171" t="n">
        <v>2018</v>
      </c>
    </row>
    <row r="626" customFormat="false" ht="15" hidden="false" customHeight="false" outlineLevel="0" collapsed="false">
      <c r="A626" s="188" t="s">
        <v>236</v>
      </c>
      <c r="B626" s="149" t="s">
        <v>606</v>
      </c>
      <c r="C626" s="148" t="s">
        <v>3446</v>
      </c>
      <c r="D626" s="148"/>
      <c r="E626" s="192"/>
      <c r="F626" s="192"/>
      <c r="G626" s="193"/>
      <c r="H626" s="105" t="n">
        <f aca="false">'[2]$ зима'!j626-'[2]$ зима'!au626-'[2]$ зима'!at626-'[2]$ зима'!as626-'[2]$ зима'!ar626-'[2]$ зима'!aq626-'[2]$ зима'!ap626-'[2]$ зима'!an626-'[2]$ зима'!am626-'[2]$ зима'!al626-'[2]$ зима'!ak626-'[2]$ зима'!aj626-'[2]$ зима'!ah626-'[2]$ зима'!ag626-'[2]$ зима'!af626-'[2]$ зима'!ae626-'[2]$ зима'!ad626-'[2]$ зима'!ab626-'[2]$ зима'!aa626-'[2]$ зима'!z626-'[2]$ зима'!y626-'[2]$ зима'!x626-'[2]$ зима'!v626-'[2]$ зима'!u626-'[2]$ зима'!t626-'[2]$ зима'!s626-'[2]$ зима'!r626-'[2]$ зима'!p626-'[2]$ зима'!o626-'[2]$ зима'!n626-'[2]$ зима'!m626-'[2]$ зима'!l626+'[2]$ зима'!q626+'[2]$ зима'!w626+'[2]$ зима'!ac626+'[2]$ зима'!ai626+'[2]$ зима'!ao626+'[2]$ зима'!k626</f>
        <v>6</v>
      </c>
      <c r="I626" s="191" t="n">
        <f aca="false">'[2]$ зима'!ay626*1.1</f>
        <v>1878.8</v>
      </c>
    </row>
    <row r="627" customFormat="false" ht="15" hidden="false" customHeight="false" outlineLevel="0" collapsed="false">
      <c r="A627" s="188" t="s">
        <v>236</v>
      </c>
      <c r="B627" s="149" t="s">
        <v>666</v>
      </c>
      <c r="C627" s="148" t="s">
        <v>3302</v>
      </c>
      <c r="D627" s="148"/>
      <c r="E627" s="192"/>
      <c r="F627" s="192"/>
      <c r="G627" s="193" t="s">
        <v>663</v>
      </c>
      <c r="H627" s="105" t="n">
        <f aca="false">'[2]$ зима'!j627-'[2]$ зима'!au627-'[2]$ зима'!at627-'[2]$ зима'!as627-'[2]$ зима'!ar627-'[2]$ зима'!aq627-'[2]$ зима'!ap627-'[2]$ зима'!an627-'[2]$ зима'!am627-'[2]$ зима'!al627-'[2]$ зима'!ak627-'[2]$ зима'!aj627-'[2]$ зима'!ah627-'[2]$ зима'!ag627-'[2]$ зима'!af627-'[2]$ зима'!ae627-'[2]$ зима'!ad627-'[2]$ зима'!ab627-'[2]$ зима'!aa627-'[2]$ зима'!z627-'[2]$ зима'!y627-'[2]$ зима'!x627-'[2]$ зима'!v627-'[2]$ зима'!u627-'[2]$ зима'!t627-'[2]$ зима'!s627-'[2]$ зима'!r627-'[2]$ зима'!p627-'[2]$ зима'!o627-'[2]$ зима'!n627-'[2]$ зима'!m627-'[2]$ зима'!l627+'[2]$ зима'!q627+'[2]$ зима'!w627+'[2]$ зима'!ac627+'[2]$ зима'!ai627+'[2]$ зима'!ao627+'[2]$ зима'!k627</f>
        <v>6</v>
      </c>
      <c r="I627" s="191" t="n">
        <f aca="false">'[2]$ зима'!ay627*1.1</f>
        <v>2002</v>
      </c>
      <c r="J627" s="171" t="n">
        <v>2017</v>
      </c>
    </row>
    <row r="628" customFormat="false" ht="15" hidden="false" customHeight="false" outlineLevel="0" collapsed="false">
      <c r="A628" s="188" t="s">
        <v>236</v>
      </c>
      <c r="B628" s="149" t="s">
        <v>668</v>
      </c>
      <c r="C628" s="194" t="s">
        <v>3182</v>
      </c>
      <c r="D628" s="148"/>
      <c r="E628" s="148"/>
      <c r="F628" s="192"/>
      <c r="G628" s="193" t="s">
        <v>609</v>
      </c>
      <c r="H628" s="105" t="n">
        <f aca="false">'[2]$ зима'!j628-'[2]$ зима'!au628-'[2]$ зима'!at628-'[2]$ зима'!as628-'[2]$ зима'!ar628-'[2]$ зима'!aq628-'[2]$ зима'!ap628-'[2]$ зима'!an628-'[2]$ зима'!am628-'[2]$ зима'!al628-'[2]$ зима'!ak628-'[2]$ зима'!aj628-'[2]$ зима'!ah628-'[2]$ зима'!ag628-'[2]$ зима'!af628-'[2]$ зима'!ae628-'[2]$ зима'!ad628-'[2]$ зима'!ab628-'[2]$ зима'!aa628-'[2]$ зима'!z628-'[2]$ зима'!y628-'[2]$ зима'!x628-'[2]$ зима'!v628-'[2]$ зима'!u628-'[2]$ зима'!t628-'[2]$ зима'!s628-'[2]$ зима'!r628-'[2]$ зима'!p628-'[2]$ зима'!o628-'[2]$ зима'!n628-'[2]$ зима'!m628-'[2]$ зима'!l628+'[2]$ зима'!q628+'[2]$ зима'!w628+'[2]$ зима'!ac628+'[2]$ зима'!ai628+'[2]$ зима'!ao628+'[2]$ зима'!k628</f>
        <v>12</v>
      </c>
      <c r="I628" s="191" t="n">
        <f aca="false">'[2]$ зима'!ay628*1.1</f>
        <v>1817.2</v>
      </c>
      <c r="J628" s="171" t="n">
        <v>2018</v>
      </c>
    </row>
    <row r="629" customFormat="false" ht="15" hidden="true" customHeight="false" outlineLevel="0" collapsed="false">
      <c r="A629" s="188" t="s">
        <v>236</v>
      </c>
      <c r="B629" s="149" t="s">
        <v>668</v>
      </c>
      <c r="C629" s="148" t="s">
        <v>3233</v>
      </c>
      <c r="D629" s="148"/>
      <c r="E629" s="148"/>
      <c r="F629" s="148"/>
      <c r="G629" s="193"/>
      <c r="H629" s="105" t="n">
        <f aca="false">'[2]$ зима'!j629-'[2]$ зима'!au629-'[2]$ зима'!at629-'[2]$ зима'!as629-'[2]$ зима'!ar629-'[2]$ зима'!aq629-'[2]$ зима'!ap629-'[2]$ зима'!an629-'[2]$ зима'!am629-'[2]$ зима'!al629-'[2]$ зима'!ak629-'[2]$ зима'!aj629-'[2]$ зима'!ah629-'[2]$ зима'!ag629-'[2]$ зима'!af629-'[2]$ зима'!ae629-'[2]$ зима'!ad629-'[2]$ зима'!ab629-'[2]$ зима'!aa629-'[2]$ зима'!z629-'[2]$ зима'!y629-'[2]$ зима'!x629-'[2]$ зима'!v629-'[2]$ зима'!u629-'[2]$ зима'!t629-'[2]$ зима'!s629-'[2]$ зима'!r629-'[2]$ зима'!p629-'[2]$ зима'!o629-'[2]$ зима'!n629-'[2]$ зима'!m629-'[2]$ зима'!l629+'[2]$ зима'!q629+'[2]$ зима'!w629+'[2]$ зима'!ac629+'[2]$ зима'!ai629+'[2]$ зима'!ao629+'[2]$ зима'!k629</f>
        <v>0</v>
      </c>
      <c r="I629" s="191" t="n">
        <f aca="false">'[2]$ зима'!ay629*1.1</f>
        <v>1694</v>
      </c>
    </row>
    <row r="630" customFormat="false" ht="15" hidden="true" customHeight="false" outlineLevel="0" collapsed="false">
      <c r="A630" s="188" t="s">
        <v>236</v>
      </c>
      <c r="B630" s="149" t="s">
        <v>574</v>
      </c>
      <c r="C630" s="148" t="s">
        <v>3199</v>
      </c>
      <c r="D630" s="148"/>
      <c r="E630" s="148"/>
      <c r="F630" s="148"/>
      <c r="G630" s="193" t="s">
        <v>576</v>
      </c>
      <c r="H630" s="105" t="n">
        <f aca="false">'[2]$ зима'!j630-'[2]$ зима'!au630-'[2]$ зима'!at630-'[2]$ зима'!as630-'[2]$ зима'!ar630-'[2]$ зима'!aq630-'[2]$ зима'!ap630-'[2]$ зима'!an630-'[2]$ зима'!am630-'[2]$ зима'!al630-'[2]$ зима'!ak630-'[2]$ зима'!aj630-'[2]$ зима'!ah630-'[2]$ зима'!ag630-'[2]$ зима'!af630-'[2]$ зима'!ae630-'[2]$ зима'!ad630-'[2]$ зима'!ab630-'[2]$ зима'!aa630-'[2]$ зима'!z630-'[2]$ зима'!y630-'[2]$ зима'!x630-'[2]$ зима'!v630-'[2]$ зима'!u630-'[2]$ зима'!t630-'[2]$ зима'!s630-'[2]$ зима'!r630-'[2]$ зима'!p630-'[2]$ зима'!o630-'[2]$ зима'!n630-'[2]$ зима'!m630-'[2]$ зима'!l630+'[2]$ зима'!q630+'[2]$ зима'!w630+'[2]$ зима'!ac630+'[2]$ зима'!ai630+'[2]$ зима'!ao630+'[2]$ зима'!k630</f>
        <v>0</v>
      </c>
      <c r="I630" s="191" t="n">
        <f aca="false">'[2]$ зима'!ay630*1.1</f>
        <v>1867.8</v>
      </c>
    </row>
    <row r="631" customFormat="false" ht="15" hidden="true" customHeight="false" outlineLevel="0" collapsed="false">
      <c r="A631" s="188" t="s">
        <v>236</v>
      </c>
      <c r="B631" s="149" t="s">
        <v>574</v>
      </c>
      <c r="C631" s="148" t="s">
        <v>3200</v>
      </c>
      <c r="D631" s="148"/>
      <c r="E631" s="148"/>
      <c r="F631" s="148"/>
      <c r="G631" s="193" t="s">
        <v>576</v>
      </c>
      <c r="H631" s="105" t="n">
        <f aca="false">'[2]$ зима'!j631-'[2]$ зима'!au631-'[2]$ зима'!at631-'[2]$ зима'!as631-'[2]$ зима'!ar631-'[2]$ зима'!aq631-'[2]$ зима'!ap631-'[2]$ зима'!an631-'[2]$ зима'!am631-'[2]$ зима'!al631-'[2]$ зима'!ak631-'[2]$ зима'!aj631-'[2]$ зима'!ah631-'[2]$ зима'!ag631-'[2]$ зима'!af631-'[2]$ зима'!ae631-'[2]$ зима'!ad631-'[2]$ зима'!ab631-'[2]$ зима'!aa631-'[2]$ зима'!z631-'[2]$ зима'!y631-'[2]$ зима'!x631-'[2]$ зима'!v631-'[2]$ зима'!u631-'[2]$ зима'!t631-'[2]$ зима'!s631-'[2]$ зима'!r631-'[2]$ зима'!p631-'[2]$ зима'!o631-'[2]$ зима'!n631-'[2]$ зима'!m631-'[2]$ зима'!l631+'[2]$ зима'!q631+'[2]$ зима'!w631+'[2]$ зима'!ac631+'[2]$ зима'!ai631+'[2]$ зима'!ao631+'[2]$ зима'!k631</f>
        <v>0</v>
      </c>
      <c r="I631" s="191" t="n">
        <f aca="false">'[2]$ зима'!ay631*1.1</f>
        <v>1930.06</v>
      </c>
    </row>
    <row r="632" customFormat="false" ht="15" hidden="false" customHeight="false" outlineLevel="0" collapsed="false">
      <c r="A632" s="188" t="s">
        <v>236</v>
      </c>
      <c r="B632" s="149" t="s">
        <v>574</v>
      </c>
      <c r="C632" s="148" t="s">
        <v>3163</v>
      </c>
      <c r="D632" s="148"/>
      <c r="E632" s="148" t="n">
        <v>92</v>
      </c>
      <c r="F632" s="148" t="s">
        <v>562</v>
      </c>
      <c r="G632" s="193" t="s">
        <v>576</v>
      </c>
      <c r="H632" s="105" t="n">
        <f aca="false">'[2]$ зима'!j632-'[2]$ зима'!au632-'[2]$ зима'!at632-'[2]$ зима'!as632-'[2]$ зима'!ar632-'[2]$ зима'!aq632-'[2]$ зима'!ap632-'[2]$ зима'!an632-'[2]$ зима'!am632-'[2]$ зима'!al632-'[2]$ зима'!ak632-'[2]$ зима'!aj632-'[2]$ зима'!ah632-'[2]$ зима'!ag632-'[2]$ зима'!af632-'[2]$ зима'!ae632-'[2]$ зима'!ad632-'[2]$ зима'!ab632-'[2]$ зима'!aa632-'[2]$ зима'!z632-'[2]$ зима'!y632-'[2]$ зима'!x632-'[2]$ зима'!v632-'[2]$ зима'!u632-'[2]$ зима'!t632-'[2]$ зима'!s632-'[2]$ зима'!r632-'[2]$ зима'!p632-'[2]$ зима'!o632-'[2]$ зима'!n632-'[2]$ зима'!m632-'[2]$ зима'!l632+'[2]$ зима'!q632+'[2]$ зима'!w632+'[2]$ зима'!ac632+'[2]$ зима'!ai632+'[2]$ зима'!ao632+'[2]$ зима'!k632</f>
        <v>12</v>
      </c>
      <c r="I632" s="191" t="n">
        <f aca="false">'[2]$ зима'!ay632*1.1</f>
        <v>1836.67</v>
      </c>
      <c r="J632" s="171" t="n">
        <v>2018</v>
      </c>
    </row>
    <row r="633" customFormat="false" ht="15" hidden="false" customHeight="false" outlineLevel="0" collapsed="false">
      <c r="A633" s="188" t="s">
        <v>236</v>
      </c>
      <c r="B633" s="149" t="s">
        <v>577</v>
      </c>
      <c r="C633" s="148" t="s">
        <v>3251</v>
      </c>
      <c r="D633" s="148"/>
      <c r="E633" s="192" t="n">
        <v>96</v>
      </c>
      <c r="F633" s="192" t="s">
        <v>562</v>
      </c>
      <c r="G633" s="193" t="s">
        <v>563</v>
      </c>
      <c r="H633" s="105" t="n">
        <f aca="false">'[2]$ зима'!j633-'[2]$ зима'!au633-'[2]$ зима'!at633-'[2]$ зима'!as633-'[2]$ зима'!ar633-'[2]$ зима'!aq633-'[2]$ зима'!ap633-'[2]$ зима'!an633-'[2]$ зима'!am633-'[2]$ зима'!al633-'[2]$ зима'!ak633-'[2]$ зима'!aj633-'[2]$ зима'!ah633-'[2]$ зима'!ag633-'[2]$ зима'!af633-'[2]$ зима'!ae633-'[2]$ зима'!ad633-'[2]$ зима'!ab633-'[2]$ зима'!aa633-'[2]$ зима'!z633-'[2]$ зима'!y633-'[2]$ зима'!x633-'[2]$ зима'!v633-'[2]$ зима'!u633-'[2]$ зима'!t633-'[2]$ зима'!s633-'[2]$ зима'!r633-'[2]$ зима'!p633-'[2]$ зима'!o633-'[2]$ зима'!n633-'[2]$ зима'!m633-'[2]$ зима'!l633+'[2]$ зима'!q633+'[2]$ зима'!w633+'[2]$ зима'!ac633+'[2]$ зима'!ai633+'[2]$ зима'!ao633+'[2]$ зима'!k633</f>
        <v>8</v>
      </c>
      <c r="I633" s="191" t="n">
        <f aca="false">'[2]$ зима'!ay633*1.1</f>
        <v>1663.2</v>
      </c>
      <c r="J633" s="171" t="n">
        <v>2017</v>
      </c>
    </row>
    <row r="634" customFormat="false" ht="15" hidden="false" customHeight="false" outlineLevel="0" collapsed="false">
      <c r="A634" s="188" t="s">
        <v>236</v>
      </c>
      <c r="B634" s="149" t="s">
        <v>1471</v>
      </c>
      <c r="C634" s="148" t="s">
        <v>3129</v>
      </c>
      <c r="D634" s="148"/>
      <c r="E634" s="192" t="n">
        <v>96</v>
      </c>
      <c r="F634" s="192" t="s">
        <v>3220</v>
      </c>
      <c r="G634" s="193" t="s">
        <v>609</v>
      </c>
      <c r="H634" s="105" t="n">
        <f aca="false">'[2]$ зима'!j634-'[2]$ зима'!au634-'[2]$ зима'!at634-'[2]$ зима'!as634-'[2]$ зима'!ar634-'[2]$ зима'!aq634-'[2]$ зима'!ap634-'[2]$ зима'!an634-'[2]$ зима'!am634-'[2]$ зима'!al634-'[2]$ зима'!ak634-'[2]$ зима'!aj634-'[2]$ зима'!ah634-'[2]$ зима'!ag634-'[2]$ зима'!af634-'[2]$ зима'!ae634-'[2]$ зима'!ad634-'[2]$ зима'!ab634-'[2]$ зима'!aa634-'[2]$ зима'!z634-'[2]$ зима'!y634-'[2]$ зима'!x634-'[2]$ зима'!v634-'[2]$ зима'!u634-'[2]$ зима'!t634-'[2]$ зима'!s634-'[2]$ зима'!r634-'[2]$ зима'!p634-'[2]$ зима'!o634-'[2]$ зима'!n634-'[2]$ зима'!m634-'[2]$ зима'!l634+'[2]$ зима'!q634+'[2]$ зима'!w634+'[2]$ зима'!ac634+'[2]$ зима'!ai634+'[2]$ зима'!ao634+'[2]$ зима'!k634</f>
        <v>20</v>
      </c>
      <c r="I634" s="191" t="n">
        <f aca="false">'[2]$ зима'!ay634*1.1</f>
        <v>1817.2</v>
      </c>
      <c r="J634" s="171" t="n">
        <v>2018</v>
      </c>
    </row>
    <row r="635" customFormat="false" ht="15" hidden="false" customHeight="false" outlineLevel="0" collapsed="false">
      <c r="A635" s="210" t="s">
        <v>236</v>
      </c>
      <c r="B635" s="198" t="s">
        <v>583</v>
      </c>
      <c r="C635" s="148" t="s">
        <v>3313</v>
      </c>
      <c r="D635" s="194"/>
      <c r="E635" s="195"/>
      <c r="F635" s="195"/>
      <c r="G635" s="200" t="s">
        <v>631</v>
      </c>
      <c r="H635" s="105" t="n">
        <f aca="false">'[2]$ зима'!j635-'[2]$ зима'!au635-'[2]$ зима'!at635-'[2]$ зима'!as635-'[2]$ зима'!ar635-'[2]$ зима'!aq635-'[2]$ зима'!ap635-'[2]$ зима'!an635-'[2]$ зима'!am635-'[2]$ зима'!al635-'[2]$ зима'!ak635-'[2]$ зима'!aj635-'[2]$ зима'!ah635-'[2]$ зима'!ag635-'[2]$ зима'!af635-'[2]$ зима'!ae635-'[2]$ зима'!ad635-'[2]$ зима'!ab635-'[2]$ зима'!aa635-'[2]$ зима'!z635-'[2]$ зима'!y635-'[2]$ зима'!x635-'[2]$ зима'!v635-'[2]$ зима'!u635-'[2]$ зима'!t635-'[2]$ зима'!s635-'[2]$ зима'!r635-'[2]$ зима'!p635-'[2]$ зима'!o635-'[2]$ зима'!n635-'[2]$ зима'!m635-'[2]$ зима'!l635+'[2]$ зима'!q635+'[2]$ зима'!w635+'[2]$ зима'!ac635+'[2]$ зима'!ai635+'[2]$ зима'!ao635+'[2]$ зима'!k635</f>
        <v>2</v>
      </c>
      <c r="I635" s="191" t="n">
        <f aca="false">'[2]$ зима'!ay635*1.1</f>
        <v>1601.6</v>
      </c>
      <c r="J635" s="201" t="n">
        <v>2017</v>
      </c>
    </row>
    <row r="636" customFormat="false" ht="15" hidden="false" customHeight="false" outlineLevel="0" collapsed="false">
      <c r="A636" s="210" t="s">
        <v>236</v>
      </c>
      <c r="B636" s="198" t="s">
        <v>613</v>
      </c>
      <c r="C636" s="148" t="s">
        <v>3447</v>
      </c>
      <c r="D636" s="194"/>
      <c r="E636" s="195" t="n">
        <v>96</v>
      </c>
      <c r="F636" s="195" t="s">
        <v>562</v>
      </c>
      <c r="G636" s="200"/>
      <c r="H636" s="105" t="n">
        <f aca="false">'[2]$ зима'!j636-'[2]$ зима'!au636-'[2]$ зима'!at636-'[2]$ зима'!as636-'[2]$ зима'!ar636-'[2]$ зима'!aq636-'[2]$ зима'!ap636-'[2]$ зима'!an636-'[2]$ зима'!am636-'[2]$ зима'!al636-'[2]$ зима'!ak636-'[2]$ зима'!aj636-'[2]$ зима'!ah636-'[2]$ зима'!ag636-'[2]$ зима'!af636-'[2]$ зима'!ae636-'[2]$ зима'!ad636-'[2]$ зима'!ab636-'[2]$ зима'!aa636-'[2]$ зима'!z636-'[2]$ зима'!y636-'[2]$ зима'!x636-'[2]$ зима'!v636-'[2]$ зима'!u636-'[2]$ зима'!t636-'[2]$ зима'!s636-'[2]$ зима'!r636-'[2]$ зима'!p636-'[2]$ зима'!o636-'[2]$ зима'!n636-'[2]$ зима'!m636-'[2]$ зима'!l636+'[2]$ зима'!q636+'[2]$ зима'!w636+'[2]$ зима'!ac636+'[2]$ зима'!ai636+'[2]$ зима'!ao636+'[2]$ зима'!k636</f>
        <v>2</v>
      </c>
      <c r="I636" s="191" t="n">
        <f aca="false">'[2]$ зима'!ay636*1.1</f>
        <v>1509.2</v>
      </c>
      <c r="J636" s="201"/>
    </row>
    <row r="637" customFormat="false" ht="15" hidden="true" customHeight="false" outlineLevel="0" collapsed="false">
      <c r="A637" s="188" t="s">
        <v>236</v>
      </c>
      <c r="B637" s="149" t="s">
        <v>593</v>
      </c>
      <c r="C637" s="194" t="s">
        <v>3448</v>
      </c>
      <c r="D637" s="194"/>
      <c r="E637" s="194"/>
      <c r="F637" s="194"/>
      <c r="G637" s="193"/>
      <c r="H637" s="105" t="n">
        <f aca="false">'[2]$ зима'!j637-'[2]$ зима'!au637-'[2]$ зима'!at637-'[2]$ зима'!as637-'[2]$ зима'!ar637-'[2]$ зима'!aq637-'[2]$ зима'!ap637-'[2]$ зима'!an637-'[2]$ зима'!am637-'[2]$ зима'!al637-'[2]$ зима'!ak637-'[2]$ зима'!aj637-'[2]$ зима'!ah637-'[2]$ зима'!ag637-'[2]$ зима'!af637-'[2]$ зима'!ae637-'[2]$ зима'!ad637-'[2]$ зима'!ab637-'[2]$ зима'!aa637-'[2]$ зима'!z637-'[2]$ зима'!y637-'[2]$ зима'!x637-'[2]$ зима'!v637-'[2]$ зима'!u637-'[2]$ зима'!t637-'[2]$ зима'!s637-'[2]$ зима'!r637-'[2]$ зима'!p637-'[2]$ зима'!o637-'[2]$ зима'!n637-'[2]$ зима'!m637-'[2]$ зима'!l637+'[2]$ зима'!q637+'[2]$ зима'!w637+'[2]$ зима'!ac637+'[2]$ зима'!ai637+'[2]$ зима'!ao637+'[2]$ зима'!k637</f>
        <v>0</v>
      </c>
      <c r="I637" s="191" t="n">
        <f aca="false">'[2]$ зима'!ay637*1.1</f>
        <v>2464</v>
      </c>
    </row>
    <row r="638" customFormat="false" ht="15" hidden="false" customHeight="false" outlineLevel="0" collapsed="false">
      <c r="A638" s="217" t="s">
        <v>236</v>
      </c>
      <c r="B638" s="157" t="s">
        <v>593</v>
      </c>
      <c r="C638" s="158" t="s">
        <v>3449</v>
      </c>
      <c r="D638" s="158"/>
      <c r="E638" s="224" t="n">
        <v>91</v>
      </c>
      <c r="F638" s="224"/>
      <c r="G638" s="218" t="s">
        <v>911</v>
      </c>
      <c r="H638" s="105" t="n">
        <f aca="false">'[2]$ зима'!j638-'[2]$ зима'!au638-'[2]$ зима'!at638-'[2]$ зима'!as638-'[2]$ зима'!ar638-'[2]$ зима'!aq638-'[2]$ зима'!ap638-'[2]$ зима'!an638-'[2]$ зима'!am638-'[2]$ зима'!al638-'[2]$ зима'!ak638-'[2]$ зима'!aj638-'[2]$ зима'!ah638-'[2]$ зима'!ag638-'[2]$ зима'!af638-'[2]$ зима'!ae638-'[2]$ зима'!ad638-'[2]$ зима'!ab638-'[2]$ зима'!aa638-'[2]$ зима'!z638-'[2]$ зима'!y638-'[2]$ зима'!x638-'[2]$ зима'!v638-'[2]$ зима'!u638-'[2]$ зима'!t638-'[2]$ зима'!s638-'[2]$ зима'!r638-'[2]$ зима'!p638-'[2]$ зима'!o638-'[2]$ зима'!n638-'[2]$ зима'!m638-'[2]$ зима'!l638+'[2]$ зима'!q638+'[2]$ зима'!w638+'[2]$ зима'!ac638+'[2]$ зима'!ai638+'[2]$ зима'!ao638+'[2]$ зима'!k638</f>
        <v>2</v>
      </c>
      <c r="I638" s="219" t="n">
        <f aca="false">'[2]$ зима'!ay638*1.1</f>
        <v>1650</v>
      </c>
    </row>
    <row r="639" customFormat="false" ht="15" hidden="false" customHeight="false" outlineLevel="0" collapsed="false">
      <c r="A639" s="188" t="s">
        <v>236</v>
      </c>
      <c r="B639" s="149" t="s">
        <v>593</v>
      </c>
      <c r="C639" s="194" t="s">
        <v>3428</v>
      </c>
      <c r="D639" s="194"/>
      <c r="E639" s="195" t="n">
        <v>96</v>
      </c>
      <c r="F639" s="195" t="s">
        <v>634</v>
      </c>
      <c r="G639" s="193" t="s">
        <v>911</v>
      </c>
      <c r="H639" s="105" t="n">
        <f aca="false">'[2]$ зима'!j639-'[2]$ зима'!au639-'[2]$ зима'!at639-'[2]$ зима'!as639-'[2]$ зима'!ar639-'[2]$ зима'!aq639-'[2]$ зима'!ap639-'[2]$ зима'!an639-'[2]$ зима'!am639-'[2]$ зима'!al639-'[2]$ зима'!ak639-'[2]$ зима'!aj639-'[2]$ зима'!ah639-'[2]$ зима'!ag639-'[2]$ зима'!af639-'[2]$ зима'!ae639-'[2]$ зима'!ad639-'[2]$ зима'!ab639-'[2]$ зима'!aa639-'[2]$ зима'!z639-'[2]$ зима'!y639-'[2]$ зима'!x639-'[2]$ зима'!v639-'[2]$ зима'!u639-'[2]$ зима'!t639-'[2]$ зима'!s639-'[2]$ зима'!r639-'[2]$ зима'!p639-'[2]$ зима'!o639-'[2]$ зима'!n639-'[2]$ зима'!m639-'[2]$ зима'!l639+'[2]$ зима'!q639+'[2]$ зима'!w639+'[2]$ зима'!ac639+'[2]$ зима'!ai639+'[2]$ зима'!ao639+'[2]$ зима'!k639</f>
        <v>14</v>
      </c>
      <c r="I639" s="191" t="n">
        <f aca="false">'[2]$ зима'!ay639*1.1</f>
        <v>2618</v>
      </c>
      <c r="J639" s="171" t="n">
        <v>2016</v>
      </c>
    </row>
    <row r="640" customFormat="false" ht="15" hidden="false" customHeight="false" outlineLevel="0" collapsed="false">
      <c r="A640" s="188" t="s">
        <v>236</v>
      </c>
      <c r="B640" s="149" t="s">
        <v>593</v>
      </c>
      <c r="C640" s="194" t="s">
        <v>3188</v>
      </c>
      <c r="D640" s="194"/>
      <c r="E640" s="195" t="n">
        <v>96</v>
      </c>
      <c r="F640" s="195" t="s">
        <v>634</v>
      </c>
      <c r="G640" s="193" t="s">
        <v>935</v>
      </c>
      <c r="H640" s="105" t="n">
        <f aca="false">'[2]$ зима'!j640-'[2]$ зима'!au640-'[2]$ зима'!at640-'[2]$ зима'!as640-'[2]$ зима'!ar640-'[2]$ зима'!aq640-'[2]$ зима'!ap640-'[2]$ зима'!an640-'[2]$ зима'!am640-'[2]$ зима'!al640-'[2]$ зима'!ak640-'[2]$ зима'!aj640-'[2]$ зима'!ah640-'[2]$ зима'!ag640-'[2]$ зима'!af640-'[2]$ зима'!ae640-'[2]$ зима'!ad640-'[2]$ зима'!ab640-'[2]$ зима'!aa640-'[2]$ зима'!z640-'[2]$ зима'!y640-'[2]$ зима'!x640-'[2]$ зима'!v640-'[2]$ зима'!u640-'[2]$ зима'!t640-'[2]$ зима'!s640-'[2]$ зима'!r640-'[2]$ зима'!p640-'[2]$ зима'!o640-'[2]$ зима'!n640-'[2]$ зима'!m640-'[2]$ зима'!l640+'[2]$ зима'!q640+'[2]$ зима'!w640+'[2]$ зима'!ac640+'[2]$ зима'!ai640+'[2]$ зима'!ao640+'[2]$ зима'!k640</f>
        <v>2</v>
      </c>
      <c r="I640" s="191" t="n">
        <f aca="false">'[2]$ зима'!ay640*1.1</f>
        <v>2772</v>
      </c>
      <c r="J640" s="171" t="n">
        <v>2014</v>
      </c>
    </row>
    <row r="641" customFormat="false" ht="15" hidden="false" customHeight="false" outlineLevel="0" collapsed="false">
      <c r="A641" s="188" t="s">
        <v>236</v>
      </c>
      <c r="B641" s="149" t="s">
        <v>586</v>
      </c>
      <c r="C641" s="194" t="s">
        <v>3305</v>
      </c>
      <c r="D641" s="194"/>
      <c r="E641" s="195" t="n">
        <v>92</v>
      </c>
      <c r="F641" s="195" t="s">
        <v>634</v>
      </c>
      <c r="G641" s="193" t="s">
        <v>520</v>
      </c>
      <c r="H641" s="105" t="n">
        <f aca="false">'[2]$ зима'!j641-'[2]$ зима'!au641-'[2]$ зима'!at641-'[2]$ зима'!as641-'[2]$ зима'!ar641-'[2]$ зима'!aq641-'[2]$ зима'!ap641-'[2]$ зима'!an641-'[2]$ зима'!am641-'[2]$ зима'!al641-'[2]$ зима'!ak641-'[2]$ зима'!aj641-'[2]$ зима'!ah641-'[2]$ зима'!ag641-'[2]$ зима'!af641-'[2]$ зима'!ae641-'[2]$ зима'!ad641-'[2]$ зима'!ab641-'[2]$ зима'!aa641-'[2]$ зима'!z641-'[2]$ зима'!y641-'[2]$ зима'!x641-'[2]$ зима'!v641-'[2]$ зима'!u641-'[2]$ зима'!t641-'[2]$ зима'!s641-'[2]$ зима'!r641-'[2]$ зима'!p641-'[2]$ зима'!o641-'[2]$ зима'!n641-'[2]$ зима'!m641-'[2]$ зима'!l641+'[2]$ зима'!q641+'[2]$ зима'!w641+'[2]$ зима'!ac641+'[2]$ зима'!ai641+'[2]$ зима'!ao641+'[2]$ зима'!k641</f>
        <v>8</v>
      </c>
      <c r="I641" s="191" t="n">
        <f aca="false">'[2]$ зима'!ay641*1.1</f>
        <v>1293.6</v>
      </c>
      <c r="J641" s="171" t="n">
        <v>2018</v>
      </c>
    </row>
    <row r="642" customFormat="false" ht="15" hidden="false" customHeight="false" outlineLevel="0" collapsed="false">
      <c r="A642" s="188" t="s">
        <v>236</v>
      </c>
      <c r="B642" s="149" t="s">
        <v>762</v>
      </c>
      <c r="C642" s="194" t="s">
        <v>3450</v>
      </c>
      <c r="D642" s="194"/>
      <c r="E642" s="195" t="n">
        <v>92</v>
      </c>
      <c r="F642" s="195" t="s">
        <v>634</v>
      </c>
      <c r="G642" s="193" t="s">
        <v>631</v>
      </c>
      <c r="H642" s="105" t="n">
        <f aca="false">'[2]$ зима'!j642-'[2]$ зима'!au642-'[2]$ зима'!at642-'[2]$ зима'!as642-'[2]$ зима'!ar642-'[2]$ зима'!aq642-'[2]$ зима'!ap642-'[2]$ зима'!an642-'[2]$ зима'!am642-'[2]$ зима'!al642-'[2]$ зима'!ak642-'[2]$ зима'!aj642-'[2]$ зима'!ah642-'[2]$ зима'!ag642-'[2]$ зима'!af642-'[2]$ зима'!ae642-'[2]$ зима'!ad642-'[2]$ зима'!ab642-'[2]$ зима'!aa642-'[2]$ зима'!z642-'[2]$ зима'!y642-'[2]$ зима'!x642-'[2]$ зима'!v642-'[2]$ зима'!u642-'[2]$ зима'!t642-'[2]$ зима'!s642-'[2]$ зима'!r642-'[2]$ зима'!p642-'[2]$ зима'!o642-'[2]$ зима'!n642-'[2]$ зима'!m642-'[2]$ зима'!l642+'[2]$ зима'!q642+'[2]$ зима'!w642+'[2]$ зима'!ac642+'[2]$ зима'!ai642+'[2]$ зима'!ao642+'[2]$ зима'!k642</f>
        <v>2</v>
      </c>
      <c r="I642" s="191" t="n">
        <f aca="false">'[2]$ зима'!ay642*1.1</f>
        <v>1540</v>
      </c>
      <c r="J642" s="171" t="n">
        <v>2017</v>
      </c>
    </row>
    <row r="643" customFormat="false" ht="15" hidden="false" customHeight="false" outlineLevel="0" collapsed="false">
      <c r="A643" s="188" t="s">
        <v>236</v>
      </c>
      <c r="B643" s="149" t="s">
        <v>621</v>
      </c>
      <c r="C643" s="148" t="s">
        <v>3307</v>
      </c>
      <c r="D643" s="148"/>
      <c r="E643" s="192" t="n">
        <v>92</v>
      </c>
      <c r="F643" s="192" t="s">
        <v>562</v>
      </c>
      <c r="G643" s="193" t="s">
        <v>520</v>
      </c>
      <c r="H643" s="105" t="n">
        <f aca="false">'[2]$ зима'!j643-'[2]$ зима'!au643-'[2]$ зима'!at643-'[2]$ зима'!as643-'[2]$ зима'!ar643-'[2]$ зима'!aq643-'[2]$ зима'!ap643-'[2]$ зима'!an643-'[2]$ зима'!am643-'[2]$ зима'!al643-'[2]$ зима'!ak643-'[2]$ зима'!aj643-'[2]$ зима'!ah643-'[2]$ зима'!ag643-'[2]$ зима'!af643-'[2]$ зима'!ae643-'[2]$ зима'!ad643-'[2]$ зима'!ab643-'[2]$ зима'!aa643-'[2]$ зима'!z643-'[2]$ зима'!y643-'[2]$ зима'!x643-'[2]$ зима'!v643-'[2]$ зима'!u643-'[2]$ зима'!t643-'[2]$ зима'!s643-'[2]$ зима'!r643-'[2]$ зима'!p643-'[2]$ зима'!o643-'[2]$ зима'!n643-'[2]$ зима'!m643-'[2]$ зима'!l643+'[2]$ зима'!q643+'[2]$ зима'!w643+'[2]$ зима'!ac643+'[2]$ зима'!ai643+'[2]$ зима'!ao643+'[2]$ зима'!k643</f>
        <v>12</v>
      </c>
      <c r="I643" s="191" t="n">
        <f aca="false">'[2]$ зима'!ay643*1.1</f>
        <v>1562</v>
      </c>
      <c r="J643" s="171" t="n">
        <v>2018</v>
      </c>
    </row>
    <row r="644" customFormat="false" ht="15" hidden="true" customHeight="false" outlineLevel="0" collapsed="false">
      <c r="A644" s="188" t="s">
        <v>236</v>
      </c>
      <c r="B644" s="149" t="s">
        <v>677</v>
      </c>
      <c r="C644" s="194" t="s">
        <v>3451</v>
      </c>
      <c r="D644" s="148"/>
      <c r="E644" s="148" t="n">
        <v>92</v>
      </c>
      <c r="F644" s="148" t="s">
        <v>634</v>
      </c>
      <c r="G644" s="193"/>
      <c r="H644" s="105" t="n">
        <f aca="false">'[2]$ зима'!j644-'[2]$ зима'!au644-'[2]$ зима'!at644-'[2]$ зима'!as644-'[2]$ зима'!ar644-'[2]$ зима'!aq644-'[2]$ зима'!ap644-'[2]$ зима'!an644-'[2]$ зима'!am644-'[2]$ зима'!al644-'[2]$ зима'!ak644-'[2]$ зима'!aj644-'[2]$ зима'!ah644-'[2]$ зима'!ag644-'[2]$ зима'!af644-'[2]$ зима'!ae644-'[2]$ зима'!ad644-'[2]$ зима'!ab644-'[2]$ зима'!aa644-'[2]$ зима'!z644-'[2]$ зима'!y644-'[2]$ зима'!x644-'[2]$ зима'!v644-'[2]$ зима'!u644-'[2]$ зима'!t644-'[2]$ зима'!s644-'[2]$ зима'!r644-'[2]$ зима'!p644-'[2]$ зима'!o644-'[2]$ зима'!n644-'[2]$ зима'!m644-'[2]$ зима'!l644+'[2]$ зима'!q644+'[2]$ зима'!w644+'[2]$ зима'!ac644+'[2]$ зима'!ai644+'[2]$ зима'!ao644+'[2]$ зима'!k644</f>
        <v>0</v>
      </c>
      <c r="I644" s="191" t="n">
        <f aca="false">'[2]$ зима'!ay644*1.1</f>
        <v>1478.4</v>
      </c>
      <c r="J644" s="171" t="n">
        <v>2017</v>
      </c>
    </row>
    <row r="645" customFormat="false" ht="15" hidden="true" customHeight="false" outlineLevel="0" collapsed="false">
      <c r="A645" s="188" t="s">
        <v>236</v>
      </c>
      <c r="B645" s="149" t="s">
        <v>1161</v>
      </c>
      <c r="C645" s="148" t="s">
        <v>3452</v>
      </c>
      <c r="D645" s="148"/>
      <c r="E645" s="148"/>
      <c r="F645" s="148"/>
      <c r="G645" s="193"/>
      <c r="H645" s="105" t="n">
        <f aca="false">'[2]$ зима'!j645-'[2]$ зима'!au645-'[2]$ зима'!at645-'[2]$ зима'!as645-'[2]$ зима'!ar645-'[2]$ зима'!aq645-'[2]$ зима'!ap645-'[2]$ зима'!an645-'[2]$ зима'!am645-'[2]$ зима'!al645-'[2]$ зима'!ak645-'[2]$ зима'!aj645-'[2]$ зима'!ah645-'[2]$ зима'!ag645-'[2]$ зима'!af645-'[2]$ зима'!ae645-'[2]$ зима'!ad645-'[2]$ зима'!ab645-'[2]$ зима'!aa645-'[2]$ зима'!z645-'[2]$ зима'!y645-'[2]$ зима'!x645-'[2]$ зима'!v645-'[2]$ зима'!u645-'[2]$ зима'!t645-'[2]$ зима'!s645-'[2]$ зима'!r645-'[2]$ зима'!p645-'[2]$ зима'!o645-'[2]$ зима'!n645-'[2]$ зима'!m645-'[2]$ зима'!l645+'[2]$ зима'!q645+'[2]$ зима'!w645+'[2]$ зима'!ac645+'[2]$ зима'!ai645+'[2]$ зима'!ao645+'[2]$ зима'!k645</f>
        <v>0</v>
      </c>
      <c r="I645" s="191" t="n">
        <f aca="false">'[2]$ зима'!ay645*1.1</f>
        <v>1386</v>
      </c>
    </row>
    <row r="646" customFormat="false" ht="15" hidden="true" customHeight="false" outlineLevel="0" collapsed="false">
      <c r="A646" s="188" t="s">
        <v>236</v>
      </c>
      <c r="B646" s="149" t="s">
        <v>589</v>
      </c>
      <c r="C646" s="148" t="s">
        <v>3258</v>
      </c>
      <c r="D646" s="148"/>
      <c r="E646" s="148"/>
      <c r="F646" s="148"/>
      <c r="G646" s="193" t="s">
        <v>626</v>
      </c>
      <c r="H646" s="105" t="n">
        <f aca="false">'[2]$ зима'!j646-'[2]$ зима'!au646-'[2]$ зима'!at646-'[2]$ зима'!as646-'[2]$ зима'!ar646-'[2]$ зима'!aq646-'[2]$ зима'!ap646-'[2]$ зима'!an646-'[2]$ зима'!am646-'[2]$ зима'!al646-'[2]$ зима'!ak646-'[2]$ зима'!aj646-'[2]$ зима'!ah646-'[2]$ зима'!ag646-'[2]$ зима'!af646-'[2]$ зима'!ae646-'[2]$ зима'!ad646-'[2]$ зима'!ab646-'[2]$ зима'!aa646-'[2]$ зима'!z646-'[2]$ зима'!y646-'[2]$ зима'!x646-'[2]$ зима'!v646-'[2]$ зима'!u646-'[2]$ зима'!t646-'[2]$ зима'!s646-'[2]$ зима'!r646-'[2]$ зима'!p646-'[2]$ зима'!o646-'[2]$ зима'!n646-'[2]$ зима'!m646-'[2]$ зима'!l646+'[2]$ зима'!q646+'[2]$ зима'!w646+'[2]$ зима'!ac646+'[2]$ зима'!ai646+'[2]$ зима'!ao646+'[2]$ зима'!k646</f>
        <v>0</v>
      </c>
      <c r="I646" s="191" t="n">
        <f aca="false">'[2]$ зима'!ay646*1.1</f>
        <v>1805.54</v>
      </c>
    </row>
    <row r="647" customFormat="false" ht="15" hidden="false" customHeight="false" outlineLevel="0" collapsed="false">
      <c r="A647" s="188" t="s">
        <v>236</v>
      </c>
      <c r="B647" s="149" t="s">
        <v>589</v>
      </c>
      <c r="C647" s="148" t="s">
        <v>3206</v>
      </c>
      <c r="D647" s="148"/>
      <c r="E647" s="192" t="n">
        <v>92</v>
      </c>
      <c r="F647" s="192" t="s">
        <v>3207</v>
      </c>
      <c r="G647" s="193" t="s">
        <v>626</v>
      </c>
      <c r="H647" s="105" t="n">
        <f aca="false">'[2]$ зима'!j647-'[2]$ зима'!au647-'[2]$ зима'!at647-'[2]$ зима'!as647-'[2]$ зима'!ar647-'[2]$ зима'!aq647-'[2]$ зима'!ap647-'[2]$ зима'!an647-'[2]$ зима'!am647-'[2]$ зима'!al647-'[2]$ зима'!ak647-'[2]$ зима'!aj647-'[2]$ зима'!ah647-'[2]$ зима'!ag647-'[2]$ зима'!af647-'[2]$ зима'!ae647-'[2]$ зима'!ad647-'[2]$ зима'!ab647-'[2]$ зима'!aa647-'[2]$ зима'!z647-'[2]$ зима'!y647-'[2]$ зима'!x647-'[2]$ зима'!v647-'[2]$ зима'!u647-'[2]$ зима'!t647-'[2]$ зима'!s647-'[2]$ зима'!r647-'[2]$ зима'!p647-'[2]$ зима'!o647-'[2]$ зима'!n647-'[2]$ зима'!m647-'[2]$ зима'!l647+'[2]$ зима'!q647+'[2]$ зима'!w647+'[2]$ зима'!ac647+'[2]$ зима'!ai647+'[2]$ зима'!ao647+'[2]$ зима'!k647</f>
        <v>16</v>
      </c>
      <c r="I647" s="191" t="n">
        <f aca="false">'[2]$ зима'!ay647*1.1</f>
        <v>2436.72</v>
      </c>
      <c r="J647" s="171" t="n">
        <v>2018</v>
      </c>
    </row>
    <row r="648" customFormat="false" ht="15" hidden="false" customHeight="false" outlineLevel="0" collapsed="false">
      <c r="A648" s="188" t="s">
        <v>236</v>
      </c>
      <c r="B648" s="149" t="s">
        <v>589</v>
      </c>
      <c r="C648" s="148" t="s">
        <v>3259</v>
      </c>
      <c r="D648" s="148"/>
      <c r="E648" s="192" t="n">
        <v>92</v>
      </c>
      <c r="F648" s="192" t="s">
        <v>3207</v>
      </c>
      <c r="G648" s="193" t="s">
        <v>626</v>
      </c>
      <c r="H648" s="105" t="n">
        <f aca="false">'[2]$ зима'!j648-'[2]$ зима'!au648-'[2]$ зима'!at648-'[2]$ зима'!as648-'[2]$ зима'!ar648-'[2]$ зима'!aq648-'[2]$ зима'!ap648-'[2]$ зима'!an648-'[2]$ зима'!am648-'[2]$ зима'!al648-'[2]$ зима'!ak648-'[2]$ зима'!aj648-'[2]$ зима'!ah648-'[2]$ зима'!ag648-'[2]$ зима'!af648-'[2]$ зима'!ae648-'[2]$ зима'!ad648-'[2]$ зима'!ab648-'[2]$ зима'!aa648-'[2]$ зима'!z648-'[2]$ зима'!y648-'[2]$ зима'!x648-'[2]$ зима'!v648-'[2]$ зима'!u648-'[2]$ зима'!t648-'[2]$ зима'!s648-'[2]$ зима'!r648-'[2]$ зима'!p648-'[2]$ зима'!o648-'[2]$ зима'!n648-'[2]$ зима'!m648-'[2]$ зима'!l648+'[2]$ зима'!q648+'[2]$ зима'!w648+'[2]$ зима'!ac648+'[2]$ зима'!ai648+'[2]$ зима'!ao648+'[2]$ зима'!k648</f>
        <v>24</v>
      </c>
      <c r="I648" s="191" t="n">
        <f aca="false">'[2]$ зима'!ay648*1.1</f>
        <v>2343</v>
      </c>
      <c r="J648" s="171" t="n">
        <v>2018</v>
      </c>
    </row>
    <row r="649" customFormat="false" ht="15" hidden="true" customHeight="false" outlineLevel="0" collapsed="false">
      <c r="A649" s="188" t="s">
        <v>236</v>
      </c>
      <c r="B649" s="149" t="s">
        <v>1524</v>
      </c>
      <c r="C649" s="148" t="s">
        <v>3453</v>
      </c>
      <c r="D649" s="148"/>
      <c r="E649" s="148"/>
      <c r="F649" s="148"/>
      <c r="G649" s="193"/>
      <c r="H649" s="105" t="n">
        <f aca="false">'[2]$ зима'!j649-'[2]$ зима'!au649-'[2]$ зима'!at649-'[2]$ зима'!as649-'[2]$ зима'!ar649-'[2]$ зима'!aq649-'[2]$ зима'!ap649-'[2]$ зима'!an649-'[2]$ зима'!am649-'[2]$ зима'!al649-'[2]$ зима'!ak649-'[2]$ зима'!aj649-'[2]$ зима'!ah649-'[2]$ зима'!ag649-'[2]$ зима'!af649-'[2]$ зима'!ae649-'[2]$ зима'!ad649-'[2]$ зима'!ab649-'[2]$ зима'!aa649-'[2]$ зима'!z649-'[2]$ зима'!y649-'[2]$ зима'!x649-'[2]$ зима'!v649-'[2]$ зима'!u649-'[2]$ зима'!t649-'[2]$ зима'!s649-'[2]$ зима'!r649-'[2]$ зима'!p649-'[2]$ зима'!o649-'[2]$ зима'!n649-'[2]$ зима'!m649-'[2]$ зима'!l649+'[2]$ зима'!q649+'[2]$ зима'!w649+'[2]$ зима'!ac649+'[2]$ зима'!ai649+'[2]$ зима'!ao649+'[2]$ зима'!k649</f>
        <v>0</v>
      </c>
      <c r="I649" s="191" t="n">
        <f aca="false">'[2]$ зима'!ay649*1.1</f>
        <v>1447.6</v>
      </c>
    </row>
    <row r="650" customFormat="false" ht="15" hidden="true" customHeight="false" outlineLevel="0" collapsed="false">
      <c r="A650" s="188" t="s">
        <v>236</v>
      </c>
      <c r="B650" s="149" t="s">
        <v>1028</v>
      </c>
      <c r="C650" s="148" t="s">
        <v>3176</v>
      </c>
      <c r="D650" s="148"/>
      <c r="E650" s="148"/>
      <c r="F650" s="148"/>
      <c r="G650" s="193"/>
      <c r="H650" s="105" t="n">
        <f aca="false">'[2]$ зима'!j650-'[2]$ зима'!au650-'[2]$ зима'!at650-'[2]$ зима'!as650-'[2]$ зима'!ar650-'[2]$ зима'!aq650-'[2]$ зима'!ap650-'[2]$ зима'!an650-'[2]$ зима'!am650-'[2]$ зима'!al650-'[2]$ зима'!ak650-'[2]$ зима'!aj650-'[2]$ зима'!ah650-'[2]$ зима'!ag650-'[2]$ зима'!af650-'[2]$ зима'!ae650-'[2]$ зима'!ad650-'[2]$ зима'!ab650-'[2]$ зима'!aa650-'[2]$ зима'!z650-'[2]$ зима'!y650-'[2]$ зима'!x650-'[2]$ зима'!v650-'[2]$ зима'!u650-'[2]$ зима'!t650-'[2]$ зима'!s650-'[2]$ зима'!r650-'[2]$ зима'!p650-'[2]$ зима'!o650-'[2]$ зима'!n650-'[2]$ зима'!m650-'[2]$ зима'!l650+'[2]$ зима'!q650+'[2]$ зима'!w650+'[2]$ зима'!ac650+'[2]$ зима'!ai650+'[2]$ зима'!ao650+'[2]$ зима'!k650</f>
        <v>0</v>
      </c>
      <c r="I650" s="191" t="n">
        <f aca="false">'[2]$ зима'!ay650*1.1</f>
        <v>2002</v>
      </c>
    </row>
    <row r="651" customFormat="false" ht="15" hidden="true" customHeight="false" outlineLevel="0" collapsed="false">
      <c r="A651" s="196" t="s">
        <v>240</v>
      </c>
      <c r="B651" s="149" t="s">
        <v>2421</v>
      </c>
      <c r="C651" s="148" t="s">
        <v>2368</v>
      </c>
      <c r="D651" s="148"/>
      <c r="E651" s="148"/>
      <c r="F651" s="148"/>
      <c r="G651" s="193"/>
      <c r="H651" s="105" t="n">
        <f aca="false">'[2]$ зима'!j651-'[2]$ зима'!au651-'[2]$ зима'!at651-'[2]$ зима'!as651-'[2]$ зима'!ar651-'[2]$ зима'!aq651-'[2]$ зима'!ap651-'[2]$ зима'!an651-'[2]$ зима'!am651-'[2]$ зима'!al651-'[2]$ зима'!ak651-'[2]$ зима'!aj651-'[2]$ зима'!ah651-'[2]$ зима'!ag651-'[2]$ зима'!af651-'[2]$ зима'!ae651-'[2]$ зима'!ad651-'[2]$ зима'!ab651-'[2]$ зима'!aa651-'[2]$ зима'!z651-'[2]$ зима'!y651-'[2]$ зима'!x651-'[2]$ зима'!v651-'[2]$ зима'!u651-'[2]$ зима'!t651-'[2]$ зима'!s651-'[2]$ зима'!r651-'[2]$ зима'!p651-'[2]$ зима'!o651-'[2]$ зима'!n651-'[2]$ зима'!m651-'[2]$ зима'!l651+'[2]$ зима'!q651+'[2]$ зима'!w651+'[2]$ зима'!ac651+'[2]$ зима'!ai651+'[2]$ зима'!ao651+'[2]$ зима'!k651</f>
        <v>0</v>
      </c>
      <c r="I651" s="191" t="n">
        <f aca="false">'[2]$ зима'!ay651*1.1</f>
        <v>2310</v>
      </c>
    </row>
    <row r="652" customFormat="false" ht="15" hidden="true" customHeight="false" outlineLevel="0" collapsed="false">
      <c r="A652" s="196" t="s">
        <v>240</v>
      </c>
      <c r="B652" s="149" t="s">
        <v>601</v>
      </c>
      <c r="C652" s="148" t="s">
        <v>3150</v>
      </c>
      <c r="D652" s="148"/>
      <c r="E652" s="148"/>
      <c r="F652" s="148"/>
      <c r="G652" s="193"/>
      <c r="H652" s="105" t="n">
        <f aca="false">'[2]$ зима'!j652-'[2]$ зима'!au652-'[2]$ зима'!at652-'[2]$ зима'!as652-'[2]$ зима'!ar652-'[2]$ зима'!aq652-'[2]$ зима'!ap652-'[2]$ зима'!an652-'[2]$ зима'!am652-'[2]$ зима'!al652-'[2]$ зима'!ak652-'[2]$ зима'!aj652-'[2]$ зима'!ah652-'[2]$ зима'!ag652-'[2]$ зима'!af652-'[2]$ зима'!ae652-'[2]$ зима'!ad652-'[2]$ зима'!ab652-'[2]$ зима'!aa652-'[2]$ зима'!z652-'[2]$ зима'!y652-'[2]$ зима'!x652-'[2]$ зима'!v652-'[2]$ зима'!u652-'[2]$ зима'!t652-'[2]$ зима'!s652-'[2]$ зима'!r652-'[2]$ зима'!p652-'[2]$ зима'!o652-'[2]$ зима'!n652-'[2]$ зима'!m652-'[2]$ зима'!l652+'[2]$ зима'!q652+'[2]$ зима'!w652+'[2]$ зима'!ac652+'[2]$ зима'!ai652+'[2]$ зима'!ao652+'[2]$ зима'!k652</f>
        <v>0</v>
      </c>
      <c r="I652" s="191" t="n">
        <f aca="false">'[2]$ зима'!ay652*1.1</f>
        <v>1971.2</v>
      </c>
    </row>
    <row r="653" customFormat="false" ht="15" hidden="false" customHeight="false" outlineLevel="0" collapsed="false">
      <c r="A653" s="196" t="s">
        <v>240</v>
      </c>
      <c r="B653" s="149" t="s">
        <v>606</v>
      </c>
      <c r="C653" s="148" t="s">
        <v>3309</v>
      </c>
      <c r="D653" s="148"/>
      <c r="E653" s="192" t="n">
        <v>95</v>
      </c>
      <c r="F653" s="192" t="s">
        <v>562</v>
      </c>
      <c r="G653" s="193" t="s">
        <v>609</v>
      </c>
      <c r="H653" s="105" t="n">
        <f aca="false">'[2]$ зима'!j653-'[2]$ зима'!au653-'[2]$ зима'!at653-'[2]$ зима'!as653-'[2]$ зима'!ar653-'[2]$ зима'!aq653-'[2]$ зима'!ap653-'[2]$ зима'!an653-'[2]$ зима'!am653-'[2]$ зима'!al653-'[2]$ зима'!ak653-'[2]$ зима'!aj653-'[2]$ зима'!ah653-'[2]$ зима'!ag653-'[2]$ зима'!af653-'[2]$ зима'!ae653-'[2]$ зима'!ad653-'[2]$ зима'!ab653-'[2]$ зима'!aa653-'[2]$ зима'!z653-'[2]$ зима'!y653-'[2]$ зима'!x653-'[2]$ зима'!v653-'[2]$ зима'!u653-'[2]$ зима'!t653-'[2]$ зима'!s653-'[2]$ зима'!r653-'[2]$ зима'!p653-'[2]$ зима'!o653-'[2]$ зима'!n653-'[2]$ зима'!m653-'[2]$ зима'!l653+'[2]$ зима'!q653+'[2]$ зима'!w653+'[2]$ зима'!ac653+'[2]$ зима'!ai653+'[2]$ зима'!ao653+'[2]$ зима'!k653</f>
        <v>2</v>
      </c>
      <c r="I653" s="191" t="n">
        <f aca="false">'[2]$ зима'!ay653*1.1</f>
        <v>1940.4</v>
      </c>
    </row>
    <row r="654" customFormat="false" ht="15" hidden="false" customHeight="false" outlineLevel="0" collapsed="false">
      <c r="A654" s="196" t="s">
        <v>240</v>
      </c>
      <c r="B654" s="149" t="s">
        <v>606</v>
      </c>
      <c r="C654" s="148" t="s">
        <v>3231</v>
      </c>
      <c r="D654" s="148"/>
      <c r="E654" s="192" t="n">
        <v>99</v>
      </c>
      <c r="F654" s="192" t="s">
        <v>3216</v>
      </c>
      <c r="G654" s="193" t="s">
        <v>609</v>
      </c>
      <c r="H654" s="105" t="n">
        <f aca="false">'[2]$ зима'!j654-'[2]$ зима'!au654-'[2]$ зима'!at654-'[2]$ зима'!as654-'[2]$ зима'!ar654-'[2]$ зима'!aq654-'[2]$ зима'!ap654-'[2]$ зима'!an654-'[2]$ зима'!am654-'[2]$ зима'!al654-'[2]$ зима'!ak654-'[2]$ зима'!aj654-'[2]$ зима'!ah654-'[2]$ зима'!ag654-'[2]$ зима'!af654-'[2]$ зима'!ae654-'[2]$ зима'!ad654-'[2]$ зима'!ab654-'[2]$ зима'!aa654-'[2]$ зима'!z654-'[2]$ зима'!y654-'[2]$ зима'!x654-'[2]$ зима'!v654-'[2]$ зима'!u654-'[2]$ зима'!t654-'[2]$ зима'!s654-'[2]$ зима'!r654-'[2]$ зима'!p654-'[2]$ зима'!o654-'[2]$ зима'!n654-'[2]$ зима'!m654-'[2]$ зима'!l654+'[2]$ зима'!q654+'[2]$ зима'!w654+'[2]$ зима'!ac654+'[2]$ зима'!ai654+'[2]$ зима'!ao654+'[2]$ зима'!k654</f>
        <v>8</v>
      </c>
      <c r="I654" s="191" t="n">
        <f aca="false">'[2]$ зима'!ay654*1.1</f>
        <v>2002</v>
      </c>
      <c r="J654" s="171" t="n">
        <v>2018</v>
      </c>
    </row>
    <row r="655" customFormat="false" ht="15" hidden="false" customHeight="false" outlineLevel="0" collapsed="false">
      <c r="A655" s="196" t="s">
        <v>240</v>
      </c>
      <c r="B655" s="149" t="s">
        <v>668</v>
      </c>
      <c r="C655" s="194" t="s">
        <v>3182</v>
      </c>
      <c r="D655" s="148"/>
      <c r="E655" s="192"/>
      <c r="F655" s="192"/>
      <c r="G655" s="193" t="s">
        <v>609</v>
      </c>
      <c r="H655" s="105" t="n">
        <f aca="false">'[2]$ зима'!j655-'[2]$ зима'!au655-'[2]$ зима'!at655-'[2]$ зима'!as655-'[2]$ зима'!ar655-'[2]$ зима'!aq655-'[2]$ зима'!ap655-'[2]$ зима'!an655-'[2]$ зима'!am655-'[2]$ зима'!al655-'[2]$ зима'!ak655-'[2]$ зима'!aj655-'[2]$ зима'!ah655-'[2]$ зима'!ag655-'[2]$ зима'!af655-'[2]$ зима'!ae655-'[2]$ зима'!ad655-'[2]$ зима'!ab655-'[2]$ зима'!aa655-'[2]$ зима'!z655-'[2]$ зима'!y655-'[2]$ зима'!x655-'[2]$ зима'!v655-'[2]$ зима'!u655-'[2]$ зима'!t655-'[2]$ зима'!s655-'[2]$ зима'!r655-'[2]$ зима'!p655-'[2]$ зима'!o655-'[2]$ зима'!n655-'[2]$ зима'!m655-'[2]$ зима'!l655+'[2]$ зима'!q655+'[2]$ зима'!w655+'[2]$ зима'!ac655+'[2]$ зима'!ai655+'[2]$ зима'!ao655+'[2]$ зима'!k655</f>
        <v>2</v>
      </c>
      <c r="I655" s="191" t="n">
        <f aca="false">'[2]$ зима'!ay655*1.1</f>
        <v>1817.2</v>
      </c>
      <c r="J655" s="171" t="n">
        <v>2017</v>
      </c>
    </row>
    <row r="656" customFormat="false" ht="15" hidden="false" customHeight="false" outlineLevel="0" collapsed="false">
      <c r="A656" s="196" t="s">
        <v>240</v>
      </c>
      <c r="B656" s="149" t="s">
        <v>577</v>
      </c>
      <c r="C656" s="148" t="s">
        <v>3250</v>
      </c>
      <c r="D656" s="148"/>
      <c r="E656" s="192" t="n">
        <v>95</v>
      </c>
      <c r="F656" s="192" t="s">
        <v>562</v>
      </c>
      <c r="G656" s="193" t="s">
        <v>563</v>
      </c>
      <c r="H656" s="105" t="n">
        <f aca="false">'[2]$ зима'!j656-'[2]$ зима'!au656-'[2]$ зима'!at656-'[2]$ зима'!as656-'[2]$ зима'!ar656-'[2]$ зима'!aq656-'[2]$ зима'!ap656-'[2]$ зима'!an656-'[2]$ зима'!am656-'[2]$ зима'!al656-'[2]$ зима'!ak656-'[2]$ зима'!aj656-'[2]$ зима'!ah656-'[2]$ зима'!ag656-'[2]$ зима'!af656-'[2]$ зима'!ae656-'[2]$ зима'!ad656-'[2]$ зима'!ab656-'[2]$ зима'!aa656-'[2]$ зима'!z656-'[2]$ зима'!y656-'[2]$ зима'!x656-'[2]$ зима'!v656-'[2]$ зима'!u656-'[2]$ зима'!t656-'[2]$ зима'!s656-'[2]$ зима'!r656-'[2]$ зима'!p656-'[2]$ зима'!o656-'[2]$ зима'!n656-'[2]$ зима'!m656-'[2]$ зима'!l656+'[2]$ зима'!q656+'[2]$ зима'!w656+'[2]$ зима'!ac656+'[2]$ зима'!ai656+'[2]$ зима'!ao656+'[2]$ зима'!k656</f>
        <v>4</v>
      </c>
      <c r="I656" s="191" t="n">
        <f aca="false">'[2]$ зима'!ay656*1.1</f>
        <v>1632.4</v>
      </c>
      <c r="J656" s="171" t="n">
        <v>2018</v>
      </c>
    </row>
    <row r="657" customFormat="false" ht="15" hidden="true" customHeight="false" outlineLevel="0" collapsed="false">
      <c r="A657" s="196" t="s">
        <v>240</v>
      </c>
      <c r="B657" s="149" t="s">
        <v>593</v>
      </c>
      <c r="C657" s="148" t="s">
        <v>3167</v>
      </c>
      <c r="D657" s="214" t="s">
        <v>3147</v>
      </c>
      <c r="E657" s="148"/>
      <c r="F657" s="148"/>
      <c r="G657" s="193"/>
      <c r="H657" s="105" t="n">
        <f aca="false">'[2]$ зима'!j657-'[2]$ зима'!au657-'[2]$ зима'!at657-'[2]$ зима'!as657-'[2]$ зима'!ar657-'[2]$ зима'!aq657-'[2]$ зима'!ap657-'[2]$ зима'!an657-'[2]$ зима'!am657-'[2]$ зима'!al657-'[2]$ зима'!ak657-'[2]$ зима'!aj657-'[2]$ зима'!ah657-'[2]$ зима'!ag657-'[2]$ зима'!af657-'[2]$ зима'!ae657-'[2]$ зима'!ad657-'[2]$ зима'!ab657-'[2]$ зима'!aa657-'[2]$ зима'!z657-'[2]$ зима'!y657-'[2]$ зима'!x657-'[2]$ зима'!v657-'[2]$ зима'!u657-'[2]$ зима'!t657-'[2]$ зима'!s657-'[2]$ зима'!r657-'[2]$ зима'!p657-'[2]$ зима'!o657-'[2]$ зима'!n657-'[2]$ зима'!m657-'[2]$ зима'!l657+'[2]$ зима'!q657+'[2]$ зима'!w657+'[2]$ зима'!ac657+'[2]$ зима'!ai657+'[2]$ зима'!ao657+'[2]$ зима'!k657</f>
        <v>0</v>
      </c>
      <c r="I657" s="191" t="n">
        <f aca="false">'[2]$ зима'!ay657*1.1</f>
        <v>2464</v>
      </c>
    </row>
    <row r="658" customFormat="false" ht="15" hidden="false" customHeight="false" outlineLevel="0" collapsed="false">
      <c r="A658" s="196" t="s">
        <v>240</v>
      </c>
      <c r="B658" s="149" t="s">
        <v>593</v>
      </c>
      <c r="C658" s="148" t="s">
        <v>3324</v>
      </c>
      <c r="D658" s="148"/>
      <c r="E658" s="192" t="n">
        <v>99</v>
      </c>
      <c r="F658" s="192" t="s">
        <v>562</v>
      </c>
      <c r="G658" s="193" t="s">
        <v>935</v>
      </c>
      <c r="H658" s="105" t="n">
        <f aca="false">'[2]$ зима'!j658-'[2]$ зима'!au658-'[2]$ зима'!at658-'[2]$ зима'!as658-'[2]$ зима'!ar658-'[2]$ зима'!aq658-'[2]$ зима'!ap658-'[2]$ зима'!an658-'[2]$ зима'!am658-'[2]$ зима'!al658-'[2]$ зима'!ak658-'[2]$ зима'!aj658-'[2]$ зима'!ah658-'[2]$ зима'!ag658-'[2]$ зима'!af658-'[2]$ зима'!ae658-'[2]$ зима'!ad658-'[2]$ зима'!ab658-'[2]$ зима'!aa658-'[2]$ зима'!z658-'[2]$ зима'!y658-'[2]$ зима'!x658-'[2]$ зима'!v658-'[2]$ зима'!u658-'[2]$ зима'!t658-'[2]$ зима'!s658-'[2]$ зима'!r658-'[2]$ зима'!p658-'[2]$ зима'!o658-'[2]$ зима'!n658-'[2]$ зима'!m658-'[2]$ зима'!l658+'[2]$ зима'!q658+'[2]$ зима'!w658+'[2]$ зима'!ac658+'[2]$ зима'!ai658+'[2]$ зима'!ao658+'[2]$ зима'!k658</f>
        <v>4</v>
      </c>
      <c r="I658" s="191" t="n">
        <f aca="false">'[2]$ зима'!ay658*1.1</f>
        <v>2772</v>
      </c>
      <c r="J658" s="171" t="n">
        <v>2017</v>
      </c>
    </row>
    <row r="659" customFormat="false" ht="15" hidden="true" customHeight="false" outlineLevel="0" collapsed="false">
      <c r="A659" s="210" t="s">
        <v>240</v>
      </c>
      <c r="B659" s="149" t="s">
        <v>677</v>
      </c>
      <c r="C659" s="148" t="s">
        <v>3454</v>
      </c>
      <c r="D659" s="202" t="s">
        <v>3127</v>
      </c>
      <c r="E659" s="148"/>
      <c r="F659" s="148"/>
      <c r="G659" s="193"/>
      <c r="H659" s="105" t="n">
        <f aca="false">'[2]$ зима'!j659-'[2]$ зима'!au659-'[2]$ зима'!at659-'[2]$ зима'!as659-'[2]$ зима'!ar659-'[2]$ зима'!aq659-'[2]$ зима'!ap659-'[2]$ зима'!an659-'[2]$ зима'!am659-'[2]$ зима'!al659-'[2]$ зима'!ak659-'[2]$ зима'!aj659-'[2]$ зима'!ah659-'[2]$ зима'!ag659-'[2]$ зима'!af659-'[2]$ зима'!ae659-'[2]$ зима'!ad659-'[2]$ зима'!ab659-'[2]$ зима'!aa659-'[2]$ зима'!z659-'[2]$ зима'!y659-'[2]$ зима'!x659-'[2]$ зима'!v659-'[2]$ зима'!u659-'[2]$ зима'!t659-'[2]$ зима'!s659-'[2]$ зима'!r659-'[2]$ зима'!p659-'[2]$ зима'!o659-'[2]$ зима'!n659-'[2]$ зима'!m659-'[2]$ зима'!l659+'[2]$ зима'!q659+'[2]$ зима'!w659+'[2]$ зима'!ac659+'[2]$ зима'!ai659+'[2]$ зима'!ao659+'[2]$ зима'!k659</f>
        <v>0</v>
      </c>
      <c r="I659" s="191" t="n">
        <f aca="false">'[2]$ зима'!ay659*1.1</f>
        <v>1540</v>
      </c>
    </row>
    <row r="660" customFormat="false" ht="15" hidden="false" customHeight="false" outlineLevel="0" collapsed="false">
      <c r="A660" s="210" t="s">
        <v>240</v>
      </c>
      <c r="B660" s="149" t="s">
        <v>589</v>
      </c>
      <c r="C660" s="148" t="s">
        <v>3455</v>
      </c>
      <c r="D660" s="148"/>
      <c r="E660" s="192"/>
      <c r="F660" s="192"/>
      <c r="G660" s="193" t="s">
        <v>626</v>
      </c>
      <c r="H660" s="105" t="n">
        <f aca="false">'[2]$ зима'!j660-'[2]$ зима'!au660-'[2]$ зима'!at660-'[2]$ зима'!as660-'[2]$ зима'!ar660-'[2]$ зима'!aq660-'[2]$ зима'!ap660-'[2]$ зима'!an660-'[2]$ зима'!am660-'[2]$ зима'!al660-'[2]$ зима'!ak660-'[2]$ зима'!aj660-'[2]$ зима'!ah660-'[2]$ зима'!ag660-'[2]$ зима'!af660-'[2]$ зима'!ae660-'[2]$ зима'!ad660-'[2]$ зима'!ab660-'[2]$ зима'!aa660-'[2]$ зима'!z660-'[2]$ зима'!y660-'[2]$ зима'!x660-'[2]$ зима'!v660-'[2]$ зима'!u660-'[2]$ зима'!t660-'[2]$ зима'!s660-'[2]$ зима'!r660-'[2]$ зима'!p660-'[2]$ зима'!o660-'[2]$ зима'!n660-'[2]$ зима'!m660-'[2]$ зима'!l660+'[2]$ зима'!q660+'[2]$ зима'!w660+'[2]$ зима'!ac660+'[2]$ зима'!ai660+'[2]$ зима'!ao660+'[2]$ зима'!k660</f>
        <v>2</v>
      </c>
      <c r="I660" s="191" t="n">
        <f aca="false">'[2]$ зима'!ay660*1.1</f>
        <v>1874.4</v>
      </c>
      <c r="J660" s="201"/>
    </row>
    <row r="661" customFormat="false" ht="15" hidden="true" customHeight="false" outlineLevel="0" collapsed="false">
      <c r="A661" s="210" t="s">
        <v>240</v>
      </c>
      <c r="B661" s="149" t="s">
        <v>589</v>
      </c>
      <c r="C661" s="148" t="s">
        <v>3259</v>
      </c>
      <c r="D661" s="148"/>
      <c r="E661" s="148"/>
      <c r="F661" s="148"/>
      <c r="G661" s="193" t="s">
        <v>626</v>
      </c>
      <c r="H661" s="105" t="n">
        <f aca="false">'[2]$ зима'!j661-'[2]$ зима'!au661-'[2]$ зима'!at661-'[2]$ зима'!as661-'[2]$ зима'!ar661-'[2]$ зима'!aq661-'[2]$ зима'!ap661-'[2]$ зима'!an661-'[2]$ зима'!am661-'[2]$ зима'!al661-'[2]$ зима'!ak661-'[2]$ зима'!aj661-'[2]$ зима'!ah661-'[2]$ зима'!ag661-'[2]$ зима'!af661-'[2]$ зима'!ae661-'[2]$ зима'!ad661-'[2]$ зима'!ab661-'[2]$ зима'!aa661-'[2]$ зима'!z661-'[2]$ зима'!y661-'[2]$ зима'!x661-'[2]$ зима'!v661-'[2]$ зима'!u661-'[2]$ зима'!t661-'[2]$ зима'!s661-'[2]$ зима'!r661-'[2]$ зима'!p661-'[2]$ зима'!o661-'[2]$ зима'!n661-'[2]$ зима'!m661-'[2]$ зима'!l661+'[2]$ зима'!q661+'[2]$ зима'!w661+'[2]$ зима'!ac661+'[2]$ зима'!ai661+'[2]$ зима'!ao661+'[2]$ зима'!k661</f>
        <v>0</v>
      </c>
      <c r="I661" s="191" t="n">
        <f aca="false">'[2]$ зима'!ay661*1.1</f>
        <v>2646.05</v>
      </c>
      <c r="J661" s="201"/>
    </row>
    <row r="662" customFormat="false" ht="15" hidden="false" customHeight="false" outlineLevel="0" collapsed="false">
      <c r="A662" s="188" t="s">
        <v>246</v>
      </c>
      <c r="B662" s="149" t="s">
        <v>601</v>
      </c>
      <c r="C662" s="148" t="s">
        <v>3150</v>
      </c>
      <c r="D662" s="148"/>
      <c r="E662" s="192" t="n">
        <v>93</v>
      </c>
      <c r="F662" s="192" t="s">
        <v>1455</v>
      </c>
      <c r="G662" s="193" t="s">
        <v>626</v>
      </c>
      <c r="H662" s="105" t="n">
        <f aca="false">'[2]$ зима'!j662-'[2]$ зима'!au662-'[2]$ зима'!at662-'[2]$ зима'!as662-'[2]$ зима'!ar662-'[2]$ зима'!aq662-'[2]$ зима'!ap662-'[2]$ зима'!an662-'[2]$ зима'!am662-'[2]$ зима'!al662-'[2]$ зима'!ak662-'[2]$ зима'!aj662-'[2]$ зима'!ah662-'[2]$ зима'!ag662-'[2]$ зима'!af662-'[2]$ зима'!ae662-'[2]$ зима'!ad662-'[2]$ зима'!ab662-'[2]$ зима'!aa662-'[2]$ зима'!z662-'[2]$ зима'!y662-'[2]$ зима'!x662-'[2]$ зима'!v662-'[2]$ зима'!u662-'[2]$ зима'!t662-'[2]$ зима'!s662-'[2]$ зима'!r662-'[2]$ зима'!p662-'[2]$ зима'!o662-'[2]$ зима'!n662-'[2]$ зима'!m662-'[2]$ зима'!l662+'[2]$ зима'!q662+'[2]$ зима'!w662+'[2]$ зима'!ac662+'[2]$ зима'!ai662+'[2]$ зима'!ao662+'[2]$ зима'!k662</f>
        <v>2</v>
      </c>
      <c r="I662" s="191" t="n">
        <f aca="false">'[2]$ зима'!ay662*1.1</f>
        <v>3264.8</v>
      </c>
      <c r="J662" s="171" t="n">
        <v>2017</v>
      </c>
    </row>
    <row r="663" customFormat="false" ht="15" hidden="false" customHeight="false" outlineLevel="0" collapsed="false">
      <c r="A663" s="188" t="s">
        <v>246</v>
      </c>
      <c r="B663" s="149" t="s">
        <v>658</v>
      </c>
      <c r="C663" s="148" t="s">
        <v>3456</v>
      </c>
      <c r="D663" s="148"/>
      <c r="E663" s="192" t="n">
        <v>93</v>
      </c>
      <c r="F663" s="192" t="s">
        <v>634</v>
      </c>
      <c r="G663" s="193" t="s">
        <v>631</v>
      </c>
      <c r="H663" s="105" t="n">
        <f aca="false">'[2]$ зима'!j663-'[2]$ зима'!au663-'[2]$ зима'!at663-'[2]$ зима'!as663-'[2]$ зима'!ar663-'[2]$ зима'!aq663-'[2]$ зима'!ap663-'[2]$ зима'!an663-'[2]$ зима'!am663-'[2]$ зима'!al663-'[2]$ зима'!ak663-'[2]$ зима'!aj663-'[2]$ зима'!ah663-'[2]$ зима'!ag663-'[2]$ зима'!af663-'[2]$ зима'!ae663-'[2]$ зима'!ad663-'[2]$ зима'!ab663-'[2]$ зима'!aa663-'[2]$ зима'!z663-'[2]$ зима'!y663-'[2]$ зима'!x663-'[2]$ зима'!v663-'[2]$ зима'!u663-'[2]$ зима'!t663-'[2]$ зима'!s663-'[2]$ зима'!r663-'[2]$ зима'!p663-'[2]$ зима'!o663-'[2]$ зима'!n663-'[2]$ зима'!m663-'[2]$ зима'!l663+'[2]$ зима'!q663+'[2]$ зима'!w663+'[2]$ зима'!ac663+'[2]$ зима'!ai663+'[2]$ зима'!ao663+'[2]$ зима'!k663</f>
        <v>4</v>
      </c>
      <c r="I663" s="191" t="n">
        <f aca="false">'[2]$ зима'!ay663*1.1</f>
        <v>2156</v>
      </c>
    </row>
    <row r="664" customFormat="false" ht="15" hidden="false" customHeight="false" outlineLevel="0" collapsed="false">
      <c r="A664" s="188" t="s">
        <v>246</v>
      </c>
      <c r="B664" s="149" t="s">
        <v>1905</v>
      </c>
      <c r="C664" s="148" t="s">
        <v>3457</v>
      </c>
      <c r="D664" s="148"/>
      <c r="E664" s="192"/>
      <c r="F664" s="192"/>
      <c r="G664" s="193"/>
      <c r="H664" s="105" t="n">
        <f aca="false">'[2]$ зима'!j664-'[2]$ зима'!au664-'[2]$ зима'!at664-'[2]$ зима'!as664-'[2]$ зима'!ar664-'[2]$ зима'!aq664-'[2]$ зима'!ap664-'[2]$ зима'!an664-'[2]$ зима'!am664-'[2]$ зима'!al664-'[2]$ зима'!ak664-'[2]$ зима'!aj664-'[2]$ зима'!ah664-'[2]$ зима'!ag664-'[2]$ зима'!af664-'[2]$ зима'!ae664-'[2]$ зима'!ad664-'[2]$ зима'!ab664-'[2]$ зима'!aa664-'[2]$ зима'!z664-'[2]$ зима'!y664-'[2]$ зима'!x664-'[2]$ зима'!v664-'[2]$ зима'!u664-'[2]$ зима'!t664-'[2]$ зима'!s664-'[2]$ зима'!r664-'[2]$ зима'!p664-'[2]$ зима'!o664-'[2]$ зима'!n664-'[2]$ зима'!m664-'[2]$ зима'!l664+'[2]$ зима'!q664+'[2]$ зима'!w664+'[2]$ зима'!ac664+'[2]$ зима'!ai664+'[2]$ зима'!ao664+'[2]$ зима'!k664</f>
        <v>4</v>
      </c>
      <c r="I664" s="191" t="n">
        <f aca="false">'[2]$ зима'!ay664*1.1</f>
        <v>1540</v>
      </c>
    </row>
    <row r="665" customFormat="false" ht="15" hidden="false" customHeight="false" outlineLevel="0" collapsed="false">
      <c r="A665" s="188" t="s">
        <v>246</v>
      </c>
      <c r="B665" s="149" t="s">
        <v>2480</v>
      </c>
      <c r="C665" s="148" t="s">
        <v>3458</v>
      </c>
      <c r="D665" s="148" t="s">
        <v>3127</v>
      </c>
      <c r="E665" s="192"/>
      <c r="F665" s="192"/>
      <c r="G665" s="193"/>
      <c r="H665" s="105" t="n">
        <f aca="false">'[2]$ зима'!j665-'[2]$ зима'!au665-'[2]$ зима'!at665-'[2]$ зима'!as665-'[2]$ зима'!ar665-'[2]$ зима'!aq665-'[2]$ зима'!ap665-'[2]$ зима'!an665-'[2]$ зима'!am665-'[2]$ зима'!al665-'[2]$ зима'!ak665-'[2]$ зима'!aj665-'[2]$ зима'!ah665-'[2]$ зима'!ag665-'[2]$ зима'!af665-'[2]$ зима'!ae665-'[2]$ зима'!ad665-'[2]$ зима'!ab665-'[2]$ зима'!aa665-'[2]$ зима'!z665-'[2]$ зима'!y665-'[2]$ зима'!x665-'[2]$ зима'!v665-'[2]$ зима'!u665-'[2]$ зима'!t665-'[2]$ зима'!s665-'[2]$ зима'!r665-'[2]$ зима'!p665-'[2]$ зима'!o665-'[2]$ зима'!n665-'[2]$ зима'!m665-'[2]$ зима'!l665+'[2]$ зима'!q665+'[2]$ зима'!w665+'[2]$ зима'!ac665+'[2]$ зима'!ai665+'[2]$ зима'!ao665+'[2]$ зима'!k665</f>
        <v>6</v>
      </c>
      <c r="I665" s="191" t="n">
        <f aca="false">'[2]$ зима'!ay665*1.1</f>
        <v>1848</v>
      </c>
    </row>
    <row r="666" customFormat="false" ht="15" hidden="false" customHeight="false" outlineLevel="0" collapsed="false">
      <c r="A666" s="188" t="s">
        <v>246</v>
      </c>
      <c r="B666" s="149" t="s">
        <v>2480</v>
      </c>
      <c r="C666" s="148" t="s">
        <v>3412</v>
      </c>
      <c r="D666" s="148" t="s">
        <v>3147</v>
      </c>
      <c r="E666" s="192"/>
      <c r="F666" s="192"/>
      <c r="G666" s="193"/>
      <c r="H666" s="105" t="n">
        <f aca="false">'[2]$ зима'!j666-'[2]$ зима'!au666-'[2]$ зима'!at666-'[2]$ зима'!as666-'[2]$ зима'!ar666-'[2]$ зима'!aq666-'[2]$ зима'!ap666-'[2]$ зима'!an666-'[2]$ зима'!am666-'[2]$ зима'!al666-'[2]$ зима'!ak666-'[2]$ зима'!aj666-'[2]$ зима'!ah666-'[2]$ зима'!ag666-'[2]$ зима'!af666-'[2]$ зима'!ae666-'[2]$ зима'!ad666-'[2]$ зима'!ab666-'[2]$ зима'!aa666-'[2]$ зима'!z666-'[2]$ зима'!y666-'[2]$ зима'!x666-'[2]$ зима'!v666-'[2]$ зима'!u666-'[2]$ зима'!t666-'[2]$ зима'!s666-'[2]$ зима'!r666-'[2]$ зима'!p666-'[2]$ зима'!o666-'[2]$ зима'!n666-'[2]$ зима'!m666-'[2]$ зима'!l666+'[2]$ зима'!q666+'[2]$ зима'!w666+'[2]$ зима'!ac666+'[2]$ зима'!ai666+'[2]$ зима'!ao666+'[2]$ зима'!k666</f>
        <v>14</v>
      </c>
      <c r="I666" s="191" t="n">
        <f aca="false">'[2]$ зима'!ay666*1.1</f>
        <v>2156</v>
      </c>
      <c r="J666" s="171" t="n">
        <v>2006</v>
      </c>
    </row>
    <row r="667" customFormat="false" ht="15" hidden="false" customHeight="false" outlineLevel="0" collapsed="false">
      <c r="A667" s="188" t="s">
        <v>246</v>
      </c>
      <c r="B667" s="149" t="s">
        <v>606</v>
      </c>
      <c r="C667" s="148" t="s">
        <v>3459</v>
      </c>
      <c r="D667" s="148"/>
      <c r="E667" s="192" t="n">
        <v>97</v>
      </c>
      <c r="F667" s="192" t="s">
        <v>634</v>
      </c>
      <c r="G667" s="193"/>
      <c r="H667" s="105" t="n">
        <f aca="false">'[2]$ зима'!j667-'[2]$ зима'!au667-'[2]$ зима'!at667-'[2]$ зима'!as667-'[2]$ зима'!ar667-'[2]$ зима'!aq667-'[2]$ зима'!ap667-'[2]$ зима'!an667-'[2]$ зима'!am667-'[2]$ зима'!al667-'[2]$ зима'!ak667-'[2]$ зима'!aj667-'[2]$ зима'!ah667-'[2]$ зима'!ag667-'[2]$ зима'!af667-'[2]$ зима'!ae667-'[2]$ зима'!ad667-'[2]$ зима'!ab667-'[2]$ зима'!aa667-'[2]$ зима'!z667-'[2]$ зима'!y667-'[2]$ зима'!x667-'[2]$ зима'!v667-'[2]$ зима'!u667-'[2]$ зима'!t667-'[2]$ зима'!s667-'[2]$ зима'!r667-'[2]$ зима'!p667-'[2]$ зима'!o667-'[2]$ зима'!n667-'[2]$ зима'!m667-'[2]$ зима'!l667+'[2]$ зима'!q667+'[2]$ зима'!w667+'[2]$ зима'!ac667+'[2]$ зима'!ai667+'[2]$ зима'!ao667+'[2]$ зима'!k667</f>
        <v>4</v>
      </c>
      <c r="I667" s="191" t="n">
        <f aca="false">'[2]$ зима'!ay667*1.1</f>
        <v>2186.8</v>
      </c>
    </row>
    <row r="668" customFormat="false" ht="15" hidden="false" customHeight="false" outlineLevel="0" collapsed="false">
      <c r="A668" s="188" t="s">
        <v>246</v>
      </c>
      <c r="B668" s="149" t="s">
        <v>606</v>
      </c>
      <c r="C668" s="148" t="s">
        <v>3125</v>
      </c>
      <c r="D668" s="148"/>
      <c r="E668" s="192"/>
      <c r="F668" s="192"/>
      <c r="G668" s="193"/>
      <c r="H668" s="105" t="n">
        <f aca="false">'[2]$ зима'!j668-'[2]$ зима'!au668-'[2]$ зима'!at668-'[2]$ зима'!as668-'[2]$ зима'!ar668-'[2]$ зима'!aq668-'[2]$ зима'!ap668-'[2]$ зима'!an668-'[2]$ зима'!am668-'[2]$ зима'!al668-'[2]$ зима'!ak668-'[2]$ зима'!aj668-'[2]$ зима'!ah668-'[2]$ зима'!ag668-'[2]$ зима'!af668-'[2]$ зима'!ae668-'[2]$ зима'!ad668-'[2]$ зима'!ab668-'[2]$ зима'!aa668-'[2]$ зима'!z668-'[2]$ зима'!y668-'[2]$ зима'!x668-'[2]$ зима'!v668-'[2]$ зима'!u668-'[2]$ зима'!t668-'[2]$ зима'!s668-'[2]$ зима'!r668-'[2]$ зима'!p668-'[2]$ зима'!o668-'[2]$ зима'!n668-'[2]$ зима'!m668-'[2]$ зима'!l668+'[2]$ зима'!q668+'[2]$ зима'!w668+'[2]$ зима'!ac668+'[2]$ зима'!ai668+'[2]$ зима'!ao668+'[2]$ зима'!k668</f>
        <v>4</v>
      </c>
      <c r="I668" s="191" t="n">
        <f aca="false">'[2]$ зима'!ay668*1.1</f>
        <v>2217.6</v>
      </c>
    </row>
    <row r="669" customFormat="false" ht="15" hidden="false" customHeight="false" outlineLevel="0" collapsed="false">
      <c r="A669" s="188" t="s">
        <v>246</v>
      </c>
      <c r="B669" s="149" t="s">
        <v>606</v>
      </c>
      <c r="C669" s="148" t="s">
        <v>3245</v>
      </c>
      <c r="D669" s="148"/>
      <c r="E669" s="192" t="n">
        <v>97</v>
      </c>
      <c r="F669" s="192" t="s">
        <v>3216</v>
      </c>
      <c r="G669" s="193" t="s">
        <v>609</v>
      </c>
      <c r="H669" s="105" t="n">
        <f aca="false">'[2]$ зима'!j669-'[2]$ зима'!au669-'[2]$ зима'!at669-'[2]$ зима'!as669-'[2]$ зима'!ar669-'[2]$ зима'!aq669-'[2]$ зима'!ap669-'[2]$ зима'!an669-'[2]$ зима'!am669-'[2]$ зима'!al669-'[2]$ зима'!ak669-'[2]$ зима'!aj669-'[2]$ зима'!ah669-'[2]$ зима'!ag669-'[2]$ зима'!af669-'[2]$ зима'!ae669-'[2]$ зима'!ad669-'[2]$ зима'!ab669-'[2]$ зима'!aa669-'[2]$ зима'!z669-'[2]$ зима'!y669-'[2]$ зима'!x669-'[2]$ зима'!v669-'[2]$ зима'!u669-'[2]$ зима'!t669-'[2]$ зима'!s669-'[2]$ зима'!r669-'[2]$ зима'!p669-'[2]$ зима'!o669-'[2]$ зима'!n669-'[2]$ зима'!m669-'[2]$ зима'!l669+'[2]$ зима'!q669+'[2]$ зима'!w669+'[2]$ зима'!ac669+'[2]$ зима'!ai669+'[2]$ зима'!ao669+'[2]$ зима'!k669</f>
        <v>8</v>
      </c>
      <c r="I669" s="191" t="n">
        <f aca="false">'[2]$ зима'!ay669*1.1</f>
        <v>2186.8</v>
      </c>
      <c r="J669" s="171" t="n">
        <v>2018</v>
      </c>
    </row>
    <row r="670" customFormat="false" ht="15" hidden="false" customHeight="false" outlineLevel="0" collapsed="false">
      <c r="A670" s="188" t="s">
        <v>246</v>
      </c>
      <c r="B670" s="149" t="s">
        <v>606</v>
      </c>
      <c r="C670" s="148" t="s">
        <v>3231</v>
      </c>
      <c r="D670" s="148"/>
      <c r="E670" s="192" t="n">
        <v>97</v>
      </c>
      <c r="F670" s="192" t="s">
        <v>3216</v>
      </c>
      <c r="G670" s="193"/>
      <c r="H670" s="105" t="n">
        <f aca="false">'[2]$ зима'!j670-'[2]$ зима'!au670-'[2]$ зима'!at670-'[2]$ зима'!as670-'[2]$ зима'!ar670-'[2]$ зима'!aq670-'[2]$ зима'!ap670-'[2]$ зима'!an670-'[2]$ зима'!am670-'[2]$ зима'!al670-'[2]$ зима'!ak670-'[2]$ зима'!aj670-'[2]$ зима'!ah670-'[2]$ зима'!ag670-'[2]$ зима'!af670-'[2]$ зима'!ae670-'[2]$ зима'!ad670-'[2]$ зима'!ab670-'[2]$ зима'!aa670-'[2]$ зима'!z670-'[2]$ зима'!y670-'[2]$ зима'!x670-'[2]$ зима'!v670-'[2]$ зима'!u670-'[2]$ зима'!t670-'[2]$ зима'!s670-'[2]$ зима'!r670-'[2]$ зима'!p670-'[2]$ зима'!o670-'[2]$ зима'!n670-'[2]$ зима'!m670-'[2]$ зима'!l670+'[2]$ зима'!q670+'[2]$ зима'!w670+'[2]$ зима'!ac670+'[2]$ зима'!ai670+'[2]$ зима'!ao670+'[2]$ зима'!k670</f>
        <v>8</v>
      </c>
      <c r="I670" s="191" t="n">
        <f aca="false">'[2]$ зима'!ay670*1.1</f>
        <v>2156</v>
      </c>
      <c r="J670" s="171" t="n">
        <v>2018</v>
      </c>
    </row>
    <row r="671" customFormat="false" ht="15" hidden="true" customHeight="false" outlineLevel="0" collapsed="false">
      <c r="A671" s="188" t="s">
        <v>246</v>
      </c>
      <c r="B671" s="149" t="s">
        <v>666</v>
      </c>
      <c r="C671" s="148" t="s">
        <v>3302</v>
      </c>
      <c r="D671" s="148"/>
      <c r="E671" s="192"/>
      <c r="F671" s="192"/>
      <c r="G671" s="193" t="s">
        <v>663</v>
      </c>
      <c r="H671" s="105" t="n">
        <f aca="false">'[2]$ зима'!j671-'[2]$ зима'!au671-'[2]$ зима'!at671-'[2]$ зима'!as671-'[2]$ зима'!ar671-'[2]$ зима'!aq671-'[2]$ зима'!ap671-'[2]$ зима'!an671-'[2]$ зима'!am671-'[2]$ зима'!al671-'[2]$ зима'!ak671-'[2]$ зима'!aj671-'[2]$ зима'!ah671-'[2]$ зима'!ag671-'[2]$ зима'!af671-'[2]$ зима'!ae671-'[2]$ зима'!ad671-'[2]$ зима'!ab671-'[2]$ зима'!aa671-'[2]$ зима'!z671-'[2]$ зима'!y671-'[2]$ зима'!x671-'[2]$ зима'!v671-'[2]$ зима'!u671-'[2]$ зима'!t671-'[2]$ зима'!s671-'[2]$ зима'!r671-'[2]$ зима'!p671-'[2]$ зима'!o671-'[2]$ зима'!n671-'[2]$ зима'!m671-'[2]$ зима'!l671+'[2]$ зима'!q671+'[2]$ зима'!w671+'[2]$ зима'!ac671+'[2]$ зима'!ai671+'[2]$ зима'!ao671+'[2]$ зима'!k671</f>
        <v>0</v>
      </c>
      <c r="I671" s="191" t="n">
        <f aca="false">'[2]$ зима'!ay671*1.1</f>
        <v>2002</v>
      </c>
      <c r="J671" s="171" t="n">
        <v>2017</v>
      </c>
    </row>
    <row r="672" customFormat="false" ht="15" hidden="false" customHeight="false" outlineLevel="0" collapsed="false">
      <c r="A672" s="210" t="s">
        <v>246</v>
      </c>
      <c r="B672" s="198" t="s">
        <v>668</v>
      </c>
      <c r="C672" s="194" t="s">
        <v>3232</v>
      </c>
      <c r="D672" s="194"/>
      <c r="E672" s="195"/>
      <c r="F672" s="195"/>
      <c r="G672" s="200"/>
      <c r="H672" s="105" t="n">
        <f aca="false">'[2]$ зима'!j672-'[2]$ зима'!au672-'[2]$ зима'!at672-'[2]$ зима'!as672-'[2]$ зима'!ar672-'[2]$ зима'!aq672-'[2]$ зима'!ap672-'[2]$ зима'!an672-'[2]$ зима'!am672-'[2]$ зима'!al672-'[2]$ зима'!ak672-'[2]$ зима'!aj672-'[2]$ зима'!ah672-'[2]$ зима'!ag672-'[2]$ зима'!af672-'[2]$ зима'!ae672-'[2]$ зима'!ad672-'[2]$ зима'!ab672-'[2]$ зима'!aa672-'[2]$ зима'!z672-'[2]$ зима'!y672-'[2]$ зима'!x672-'[2]$ зима'!v672-'[2]$ зима'!u672-'[2]$ зима'!t672-'[2]$ зима'!s672-'[2]$ зима'!r672-'[2]$ зима'!p672-'[2]$ зима'!o672-'[2]$ зима'!n672-'[2]$ зима'!m672-'[2]$ зима'!l672+'[2]$ зима'!q672+'[2]$ зима'!w672+'[2]$ зима'!ac672+'[2]$ зима'!ai672+'[2]$ зима'!ao672+'[2]$ зима'!k672</f>
        <v>2</v>
      </c>
      <c r="I672" s="191" t="n">
        <f aca="false">'[2]$ зима'!ay672*1.1</f>
        <v>1540</v>
      </c>
      <c r="J672" s="230"/>
    </row>
    <row r="673" customFormat="false" ht="15" hidden="false" customHeight="false" outlineLevel="0" collapsed="false">
      <c r="A673" s="210" t="s">
        <v>246</v>
      </c>
      <c r="B673" s="198" t="s">
        <v>668</v>
      </c>
      <c r="C673" s="194" t="s">
        <v>3182</v>
      </c>
      <c r="D673" s="194"/>
      <c r="E673" s="194"/>
      <c r="F673" s="195"/>
      <c r="G673" s="200" t="s">
        <v>609</v>
      </c>
      <c r="H673" s="105" t="n">
        <f aca="false">'[2]$ зима'!j673-'[2]$ зима'!au673-'[2]$ зима'!at673-'[2]$ зима'!as673-'[2]$ зима'!ar673-'[2]$ зима'!aq673-'[2]$ зима'!ap673-'[2]$ зима'!an673-'[2]$ зима'!am673-'[2]$ зима'!al673-'[2]$ зима'!ak673-'[2]$ зима'!aj673-'[2]$ зима'!ah673-'[2]$ зима'!ag673-'[2]$ зима'!af673-'[2]$ зима'!ae673-'[2]$ зима'!ad673-'[2]$ зима'!ab673-'[2]$ зима'!aa673-'[2]$ зима'!z673-'[2]$ зима'!y673-'[2]$ зима'!x673-'[2]$ зима'!v673-'[2]$ зима'!u673-'[2]$ зима'!t673-'[2]$ зима'!s673-'[2]$ зима'!r673-'[2]$ зима'!p673-'[2]$ зима'!o673-'[2]$ зима'!n673-'[2]$ зима'!m673-'[2]$ зима'!l673+'[2]$ зима'!q673+'[2]$ зима'!w673+'[2]$ зима'!ac673+'[2]$ зима'!ai673+'[2]$ зима'!ao673+'[2]$ зима'!k673</f>
        <v>4</v>
      </c>
      <c r="I673" s="191" t="n">
        <f aca="false">'[2]$ зима'!ay673*1.1</f>
        <v>1971.2</v>
      </c>
      <c r="J673" s="230" t="n">
        <v>2018</v>
      </c>
    </row>
    <row r="674" customFormat="false" ht="15" hidden="true" customHeight="false" outlineLevel="0" collapsed="false">
      <c r="A674" s="210" t="s">
        <v>246</v>
      </c>
      <c r="B674" s="198" t="s">
        <v>574</v>
      </c>
      <c r="C674" s="194" t="s">
        <v>3460</v>
      </c>
      <c r="D674" s="194"/>
      <c r="E674" s="194" t="n">
        <v>93</v>
      </c>
      <c r="F674" s="194" t="s">
        <v>634</v>
      </c>
      <c r="G674" s="193" t="s">
        <v>576</v>
      </c>
      <c r="H674" s="105" t="n">
        <f aca="false">'[2]$ зима'!j674-'[2]$ зима'!au674-'[2]$ зима'!at674-'[2]$ зима'!as674-'[2]$ зима'!ar674-'[2]$ зима'!aq674-'[2]$ зима'!ap674-'[2]$ зима'!an674-'[2]$ зима'!am674-'[2]$ зима'!al674-'[2]$ зима'!ak674-'[2]$ зима'!aj674-'[2]$ зима'!ah674-'[2]$ зима'!ag674-'[2]$ зима'!af674-'[2]$ зима'!ae674-'[2]$ зима'!ad674-'[2]$ зима'!ab674-'[2]$ зима'!aa674-'[2]$ зима'!z674-'[2]$ зима'!y674-'[2]$ зима'!x674-'[2]$ зима'!v674-'[2]$ зима'!u674-'[2]$ зима'!t674-'[2]$ зима'!s674-'[2]$ зима'!r674-'[2]$ зима'!p674-'[2]$ зима'!o674-'[2]$ зима'!n674-'[2]$ зима'!m674-'[2]$ зима'!l674+'[2]$ зима'!q674+'[2]$ зима'!w674+'[2]$ зима'!ac674+'[2]$ зима'!ai674+'[2]$ зима'!ao674+'[2]$ зима'!k674</f>
        <v>0</v>
      </c>
      <c r="I674" s="191" t="n">
        <f aca="false">'[2]$ зима'!ay674*1.1</f>
        <v>1867.8</v>
      </c>
      <c r="J674" s="230"/>
    </row>
    <row r="675" customFormat="false" ht="15" hidden="false" customHeight="false" outlineLevel="0" collapsed="false">
      <c r="A675" s="210" t="s">
        <v>246</v>
      </c>
      <c r="B675" s="198" t="s">
        <v>577</v>
      </c>
      <c r="C675" s="148" t="s">
        <v>3250</v>
      </c>
      <c r="D675" s="194"/>
      <c r="E675" s="195" t="n">
        <v>97</v>
      </c>
      <c r="F675" s="195" t="s">
        <v>3216</v>
      </c>
      <c r="G675" s="193" t="s">
        <v>563</v>
      </c>
      <c r="H675" s="105" t="n">
        <f aca="false">'[2]$ зима'!j675-'[2]$ зима'!au675-'[2]$ зима'!at675-'[2]$ зима'!as675-'[2]$ зима'!ar675-'[2]$ зима'!aq675-'[2]$ зима'!ap675-'[2]$ зима'!an675-'[2]$ зима'!am675-'[2]$ зима'!al675-'[2]$ зима'!ak675-'[2]$ зима'!aj675-'[2]$ зима'!ah675-'[2]$ зима'!ag675-'[2]$ зима'!af675-'[2]$ зима'!ae675-'[2]$ зима'!ad675-'[2]$ зима'!ab675-'[2]$ зима'!aa675-'[2]$ зима'!z675-'[2]$ зима'!y675-'[2]$ зима'!x675-'[2]$ зима'!v675-'[2]$ зима'!u675-'[2]$ зима'!t675-'[2]$ зима'!s675-'[2]$ зима'!r675-'[2]$ зима'!p675-'[2]$ зима'!o675-'[2]$ зима'!n675-'[2]$ зима'!m675-'[2]$ зима'!l675+'[2]$ зима'!q675+'[2]$ зима'!w675+'[2]$ зима'!ac675+'[2]$ зима'!ai675+'[2]$ зима'!ao675+'[2]$ зима'!k675</f>
        <v>4</v>
      </c>
      <c r="I675" s="191" t="n">
        <f aca="false">'[2]$ зима'!ay675*1.1</f>
        <v>1817.2</v>
      </c>
      <c r="J675" s="230" t="n">
        <v>2018</v>
      </c>
    </row>
    <row r="676" customFormat="false" ht="15" hidden="false" customHeight="false" outlineLevel="0" collapsed="false">
      <c r="A676" s="188" t="s">
        <v>246</v>
      </c>
      <c r="B676" s="198" t="s">
        <v>1471</v>
      </c>
      <c r="C676" s="194" t="s">
        <v>3129</v>
      </c>
      <c r="D676" s="194"/>
      <c r="E676" s="195" t="n">
        <v>97</v>
      </c>
      <c r="F676" s="195" t="s">
        <v>3461</v>
      </c>
      <c r="G676" s="193" t="s">
        <v>609</v>
      </c>
      <c r="H676" s="105" t="n">
        <f aca="false">'[2]$ зима'!j676-'[2]$ зима'!au676-'[2]$ зима'!at676-'[2]$ зима'!as676-'[2]$ зима'!ar676-'[2]$ зима'!aq676-'[2]$ зима'!ap676-'[2]$ зима'!an676-'[2]$ зима'!am676-'[2]$ зима'!al676-'[2]$ зима'!ak676-'[2]$ зима'!aj676-'[2]$ зима'!ah676-'[2]$ зима'!ag676-'[2]$ зима'!af676-'[2]$ зима'!ae676-'[2]$ зима'!ad676-'[2]$ зима'!ab676-'[2]$ зима'!aa676-'[2]$ зима'!z676-'[2]$ зима'!y676-'[2]$ зима'!x676-'[2]$ зима'!v676-'[2]$ зима'!u676-'[2]$ зима'!t676-'[2]$ зима'!s676-'[2]$ зима'!r676-'[2]$ зима'!p676-'[2]$ зима'!o676-'[2]$ зима'!n676-'[2]$ зима'!m676-'[2]$ зима'!l676+'[2]$ зима'!q676+'[2]$ зима'!w676+'[2]$ зима'!ac676+'[2]$ зима'!ai676+'[2]$ зима'!ao676+'[2]$ зима'!k676</f>
        <v>8</v>
      </c>
      <c r="I676" s="191" t="n">
        <f aca="false">'[2]$ зима'!ay676*1.1</f>
        <v>2032.8</v>
      </c>
      <c r="J676" s="230" t="n">
        <v>2018</v>
      </c>
    </row>
    <row r="677" customFormat="false" ht="15" hidden="false" customHeight="false" outlineLevel="0" collapsed="false">
      <c r="A677" s="188" t="s">
        <v>246</v>
      </c>
      <c r="B677" s="149" t="s">
        <v>593</v>
      </c>
      <c r="C677" s="148" t="s">
        <v>3324</v>
      </c>
      <c r="D677" s="148"/>
      <c r="E677" s="192"/>
      <c r="F677" s="192"/>
      <c r="G677" s="193" t="s">
        <v>847</v>
      </c>
      <c r="H677" s="105" t="n">
        <f aca="false">'[2]$ зима'!j677-'[2]$ зима'!au677-'[2]$ зима'!at677-'[2]$ зима'!as677-'[2]$ зима'!ar677-'[2]$ зима'!aq677-'[2]$ зима'!ap677-'[2]$ зима'!an677-'[2]$ зима'!am677-'[2]$ зима'!al677-'[2]$ зима'!ak677-'[2]$ зима'!aj677-'[2]$ зима'!ah677-'[2]$ зима'!ag677-'[2]$ зима'!af677-'[2]$ зима'!ae677-'[2]$ зима'!ad677-'[2]$ зима'!ab677-'[2]$ зима'!aa677-'[2]$ зима'!z677-'[2]$ зима'!y677-'[2]$ зима'!x677-'[2]$ зима'!v677-'[2]$ зима'!u677-'[2]$ зима'!t677-'[2]$ зима'!s677-'[2]$ зима'!r677-'[2]$ зима'!p677-'[2]$ зима'!o677-'[2]$ зима'!n677-'[2]$ зима'!m677-'[2]$ зима'!l677+'[2]$ зима'!q677+'[2]$ зима'!w677+'[2]$ зима'!ac677+'[2]$ зима'!ai677+'[2]$ зима'!ao677+'[2]$ зима'!k677</f>
        <v>12</v>
      </c>
      <c r="I677" s="191" t="n">
        <f aca="false">'[2]$ зима'!ay677*1.1</f>
        <v>3018.4</v>
      </c>
      <c r="J677" s="171" t="n">
        <v>2017</v>
      </c>
    </row>
    <row r="678" customFormat="false" ht="15" hidden="false" customHeight="false" outlineLevel="0" collapsed="false">
      <c r="A678" s="188" t="s">
        <v>246</v>
      </c>
      <c r="B678" s="149" t="s">
        <v>593</v>
      </c>
      <c r="C678" s="148" t="s">
        <v>3326</v>
      </c>
      <c r="D678" s="214" t="s">
        <v>3147</v>
      </c>
      <c r="E678" s="192"/>
      <c r="F678" s="192"/>
      <c r="G678" s="193" t="s">
        <v>722</v>
      </c>
      <c r="H678" s="105" t="n">
        <f aca="false">'[2]$ зима'!j678-'[2]$ зима'!au678-'[2]$ зима'!at678-'[2]$ зима'!as678-'[2]$ зима'!ar678-'[2]$ зима'!aq678-'[2]$ зима'!ap678-'[2]$ зима'!an678-'[2]$ зима'!am678-'[2]$ зима'!al678-'[2]$ зима'!ak678-'[2]$ зима'!aj678-'[2]$ зима'!ah678-'[2]$ зима'!ag678-'[2]$ зима'!af678-'[2]$ зима'!ae678-'[2]$ зима'!ad678-'[2]$ зима'!ab678-'[2]$ зима'!aa678-'[2]$ зима'!z678-'[2]$ зима'!y678-'[2]$ зима'!x678-'[2]$ зима'!v678-'[2]$ зима'!u678-'[2]$ зима'!t678-'[2]$ зима'!s678-'[2]$ зима'!r678-'[2]$ зима'!p678-'[2]$ зима'!o678-'[2]$ зима'!n678-'[2]$ зима'!m678-'[2]$ зима'!l678+'[2]$ зима'!q678+'[2]$ зима'!w678+'[2]$ зима'!ac678+'[2]$ зима'!ai678+'[2]$ зима'!ao678+'[2]$ зима'!k678</f>
        <v>2</v>
      </c>
      <c r="I678" s="191" t="n">
        <f aca="false">'[2]$ зима'!ay678*1.1</f>
        <v>3080</v>
      </c>
    </row>
    <row r="679" customFormat="false" ht="15" hidden="false" customHeight="false" outlineLevel="0" collapsed="false">
      <c r="A679" s="188" t="s">
        <v>246</v>
      </c>
      <c r="B679" s="149" t="s">
        <v>593</v>
      </c>
      <c r="C679" s="148" t="s">
        <v>3236</v>
      </c>
      <c r="D679" s="148"/>
      <c r="E679" s="192" t="n">
        <v>97</v>
      </c>
      <c r="F679" s="192" t="s">
        <v>832</v>
      </c>
      <c r="G679" s="193" t="s">
        <v>843</v>
      </c>
      <c r="H679" s="105" t="n">
        <f aca="false">'[2]$ зима'!j679-'[2]$ зима'!au679-'[2]$ зима'!at679-'[2]$ зима'!as679-'[2]$ зима'!ar679-'[2]$ зима'!aq679-'[2]$ зима'!ap679-'[2]$ зима'!an679-'[2]$ зима'!am679-'[2]$ зима'!al679-'[2]$ зима'!ak679-'[2]$ зима'!aj679-'[2]$ зима'!ah679-'[2]$ зима'!ag679-'[2]$ зима'!af679-'[2]$ зима'!ae679-'[2]$ зима'!ad679-'[2]$ зима'!ab679-'[2]$ зима'!aa679-'[2]$ зима'!z679-'[2]$ зима'!y679-'[2]$ зима'!x679-'[2]$ зима'!v679-'[2]$ зима'!u679-'[2]$ зима'!t679-'[2]$ зима'!s679-'[2]$ зима'!r679-'[2]$ зима'!p679-'[2]$ зима'!o679-'[2]$ зима'!n679-'[2]$ зима'!m679-'[2]$ зима'!l679+'[2]$ зима'!q679+'[2]$ зима'!w679+'[2]$ зима'!ac679+'[2]$ зима'!ai679+'[2]$ зима'!ao679+'[2]$ зима'!k679</f>
        <v>4</v>
      </c>
      <c r="I679" s="191" t="n">
        <f aca="false">'[2]$ зима'!ay679*1.1</f>
        <v>2772</v>
      </c>
      <c r="J679" s="171" t="n">
        <v>2014</v>
      </c>
    </row>
    <row r="680" customFormat="false" ht="15" hidden="false" customHeight="false" outlineLevel="0" collapsed="false">
      <c r="A680" s="217" t="s">
        <v>246</v>
      </c>
      <c r="B680" s="157" t="s">
        <v>593</v>
      </c>
      <c r="C680" s="158" t="s">
        <v>3342</v>
      </c>
      <c r="D680" s="158"/>
      <c r="E680" s="192" t="n">
        <v>97</v>
      </c>
      <c r="F680" s="192" t="s">
        <v>832</v>
      </c>
      <c r="G680" s="193" t="s">
        <v>843</v>
      </c>
      <c r="H680" s="105" t="n">
        <f aca="false">'[2]$ зима'!j680-'[2]$ зима'!au680-'[2]$ зима'!at680-'[2]$ зима'!as680-'[2]$ зима'!ar680-'[2]$ зима'!aq680-'[2]$ зима'!ap680-'[2]$ зима'!an680-'[2]$ зима'!am680-'[2]$ зима'!al680-'[2]$ зима'!ak680-'[2]$ зима'!aj680-'[2]$ зима'!ah680-'[2]$ зима'!ag680-'[2]$ зима'!af680-'[2]$ зима'!ae680-'[2]$ зима'!ad680-'[2]$ зима'!ab680-'[2]$ зима'!aa680-'[2]$ зима'!z680-'[2]$ зима'!y680-'[2]$ зима'!x680-'[2]$ зима'!v680-'[2]$ зима'!u680-'[2]$ зима'!t680-'[2]$ зима'!s680-'[2]$ зима'!r680-'[2]$ зима'!p680-'[2]$ зима'!o680-'[2]$ зима'!n680-'[2]$ зима'!m680-'[2]$ зима'!l680+'[2]$ зима'!q680+'[2]$ зима'!w680+'[2]$ зима'!ac680+'[2]$ зима'!ai680+'[2]$ зима'!ao680+'[2]$ зима'!k680</f>
        <v>1</v>
      </c>
      <c r="I680" s="219" t="n">
        <f aca="false">'[2]$ зима'!ay680*1.1</f>
        <v>1650</v>
      </c>
    </row>
    <row r="681" customFormat="false" ht="15" hidden="false" customHeight="false" outlineLevel="0" collapsed="false">
      <c r="A681" s="188" t="s">
        <v>246</v>
      </c>
      <c r="B681" s="149" t="s">
        <v>3142</v>
      </c>
      <c r="C681" s="148" t="s">
        <v>3462</v>
      </c>
      <c r="D681" s="148" t="s">
        <v>3127</v>
      </c>
      <c r="E681" s="192"/>
      <c r="F681" s="192"/>
      <c r="G681" s="193"/>
      <c r="H681" s="105" t="n">
        <f aca="false">'[2]$ зима'!j681-'[2]$ зима'!au681-'[2]$ зима'!at681-'[2]$ зима'!as681-'[2]$ зима'!ar681-'[2]$ зима'!aq681-'[2]$ зима'!ap681-'[2]$ зима'!an681-'[2]$ зима'!am681-'[2]$ зима'!al681-'[2]$ зима'!ak681-'[2]$ зима'!aj681-'[2]$ зима'!ah681-'[2]$ зима'!ag681-'[2]$ зима'!af681-'[2]$ зима'!ae681-'[2]$ зима'!ad681-'[2]$ зима'!ab681-'[2]$ зима'!aa681-'[2]$ зима'!z681-'[2]$ зима'!y681-'[2]$ зима'!x681-'[2]$ зима'!v681-'[2]$ зима'!u681-'[2]$ зима'!t681-'[2]$ зима'!s681-'[2]$ зима'!r681-'[2]$ зима'!p681-'[2]$ зима'!o681-'[2]$ зима'!n681-'[2]$ зима'!m681-'[2]$ зима'!l681+'[2]$ зима'!q681+'[2]$ зима'!w681+'[2]$ зима'!ac681+'[2]$ зима'!ai681+'[2]$ зима'!ao681+'[2]$ зима'!k681</f>
        <v>8</v>
      </c>
      <c r="I681" s="191" t="n">
        <f aca="false">'[2]$ зима'!ay681*1.1</f>
        <v>1755.6</v>
      </c>
    </row>
    <row r="682" customFormat="false" ht="15" hidden="true" customHeight="false" outlineLevel="0" collapsed="false">
      <c r="A682" s="188" t="s">
        <v>246</v>
      </c>
      <c r="B682" s="149" t="s">
        <v>3307</v>
      </c>
      <c r="C682" s="148" t="s">
        <v>3463</v>
      </c>
      <c r="D682" s="148"/>
      <c r="E682" s="148"/>
      <c r="F682" s="148"/>
      <c r="G682" s="193"/>
      <c r="H682" s="105" t="n">
        <f aca="false">'[2]$ зима'!j682-'[2]$ зима'!au682-'[2]$ зима'!at682-'[2]$ зима'!as682-'[2]$ зима'!ar682-'[2]$ зима'!aq682-'[2]$ зима'!ap682-'[2]$ зима'!an682-'[2]$ зима'!am682-'[2]$ зима'!al682-'[2]$ зима'!ak682-'[2]$ зима'!aj682-'[2]$ зима'!ah682-'[2]$ зима'!ag682-'[2]$ зима'!af682-'[2]$ зима'!ae682-'[2]$ зима'!ad682-'[2]$ зима'!ab682-'[2]$ зима'!aa682-'[2]$ зима'!z682-'[2]$ зима'!y682-'[2]$ зима'!x682-'[2]$ зима'!v682-'[2]$ зима'!u682-'[2]$ зима'!t682-'[2]$ зима'!s682-'[2]$ зима'!r682-'[2]$ зима'!p682-'[2]$ зима'!o682-'[2]$ зима'!n682-'[2]$ зима'!m682-'[2]$ зима'!l682+'[2]$ зима'!q682+'[2]$ зима'!w682+'[2]$ зима'!ac682+'[2]$ зима'!ai682+'[2]$ зима'!ao682+'[2]$ зима'!k682</f>
        <v>0</v>
      </c>
      <c r="I682" s="191" t="n">
        <f aca="false">'[2]$ зима'!ay682*1.1</f>
        <v>1447.6</v>
      </c>
    </row>
    <row r="683" customFormat="false" ht="15" hidden="false" customHeight="false" outlineLevel="0" collapsed="false">
      <c r="A683" s="188" t="s">
        <v>246</v>
      </c>
      <c r="B683" s="149" t="s">
        <v>623</v>
      </c>
      <c r="C683" s="148" t="s">
        <v>3374</v>
      </c>
      <c r="D683" s="148"/>
      <c r="E683" s="192"/>
      <c r="F683" s="192"/>
      <c r="G683" s="193"/>
      <c r="H683" s="105" t="n">
        <f aca="false">'[2]$ зима'!j683-'[2]$ зима'!au683-'[2]$ зима'!at683-'[2]$ зима'!as683-'[2]$ зима'!ar683-'[2]$ зима'!aq683-'[2]$ зима'!ap683-'[2]$ зима'!an683-'[2]$ зима'!am683-'[2]$ зима'!al683-'[2]$ зима'!ak683-'[2]$ зима'!aj683-'[2]$ зима'!ah683-'[2]$ зима'!ag683-'[2]$ зима'!af683-'[2]$ зима'!ae683-'[2]$ зима'!ad683-'[2]$ зима'!ab683-'[2]$ зима'!aa683-'[2]$ зима'!z683-'[2]$ зима'!y683-'[2]$ зима'!x683-'[2]$ зима'!v683-'[2]$ зима'!u683-'[2]$ зима'!t683-'[2]$ зима'!s683-'[2]$ зима'!r683-'[2]$ зима'!p683-'[2]$ зима'!o683-'[2]$ зима'!n683-'[2]$ зима'!m683-'[2]$ зима'!l683+'[2]$ зима'!q683+'[2]$ зима'!w683+'[2]$ зима'!ac683+'[2]$ зима'!ai683+'[2]$ зима'!ao683+'[2]$ зима'!k683</f>
        <v>2</v>
      </c>
      <c r="I683" s="191" t="n">
        <f aca="false">'[2]$ зима'!ay683*1.1</f>
        <v>1540</v>
      </c>
      <c r="J683" s="171" t="n">
        <v>2014</v>
      </c>
    </row>
    <row r="684" customFormat="false" ht="15" hidden="false" customHeight="false" outlineLevel="0" collapsed="false">
      <c r="A684" s="188" t="s">
        <v>246</v>
      </c>
      <c r="B684" s="149" t="s">
        <v>589</v>
      </c>
      <c r="C684" s="148" t="s">
        <v>3208</v>
      </c>
      <c r="D684" s="148" t="s">
        <v>3127</v>
      </c>
      <c r="E684" s="192"/>
      <c r="F684" s="192"/>
      <c r="G684" s="193" t="s">
        <v>626</v>
      </c>
      <c r="H684" s="105" t="n">
        <f aca="false">'[2]$ зима'!j684-'[2]$ зима'!au684-'[2]$ зима'!at684-'[2]$ зима'!as684-'[2]$ зима'!ar684-'[2]$ зима'!aq684-'[2]$ зима'!ap684-'[2]$ зима'!an684-'[2]$ зима'!am684-'[2]$ зима'!al684-'[2]$ зима'!ak684-'[2]$ зима'!aj684-'[2]$ зима'!ah684-'[2]$ зима'!ag684-'[2]$ зима'!af684-'[2]$ зима'!ae684-'[2]$ зима'!ad684-'[2]$ зима'!ab684-'[2]$ зима'!aa684-'[2]$ зима'!z684-'[2]$ зима'!y684-'[2]$ зима'!x684-'[2]$ зима'!v684-'[2]$ зима'!u684-'[2]$ зима'!t684-'[2]$ зима'!s684-'[2]$ зима'!r684-'[2]$ зима'!p684-'[2]$ зима'!o684-'[2]$ зима'!n684-'[2]$ зима'!m684-'[2]$ зима'!l684+'[2]$ зима'!q684+'[2]$ зима'!w684+'[2]$ зима'!ac684+'[2]$ зима'!ai684+'[2]$ зима'!ao684+'[2]$ зима'!k684</f>
        <v>4</v>
      </c>
      <c r="I684" s="191" t="n">
        <f aca="false">'[2]$ зима'!ay684*1.1</f>
        <v>2467.96</v>
      </c>
      <c r="J684" s="171" t="n">
        <v>2017</v>
      </c>
    </row>
    <row r="685" customFormat="false" ht="15" hidden="false" customHeight="false" outlineLevel="0" collapsed="false">
      <c r="A685" s="188" t="s">
        <v>246</v>
      </c>
      <c r="B685" s="149" t="s">
        <v>589</v>
      </c>
      <c r="C685" s="148" t="s">
        <v>3259</v>
      </c>
      <c r="D685" s="148"/>
      <c r="E685" s="192" t="n">
        <v>93</v>
      </c>
      <c r="F685" s="192" t="s">
        <v>3207</v>
      </c>
      <c r="G685" s="193" t="s">
        <v>626</v>
      </c>
      <c r="H685" s="105" t="n">
        <f aca="false">'[2]$ зима'!j685-'[2]$ зима'!au685-'[2]$ зима'!at685-'[2]$ зима'!as685-'[2]$ зима'!ar685-'[2]$ зима'!aq685-'[2]$ зима'!ap685-'[2]$ зима'!an685-'[2]$ зима'!am685-'[2]$ зима'!al685-'[2]$ зима'!ak685-'[2]$ зима'!aj685-'[2]$ зима'!ah685-'[2]$ зима'!ag685-'[2]$ зима'!af685-'[2]$ зима'!ae685-'[2]$ зима'!ad685-'[2]$ зима'!ab685-'[2]$ зима'!aa685-'[2]$ зима'!z685-'[2]$ зима'!y685-'[2]$ зима'!x685-'[2]$ зима'!v685-'[2]$ зима'!u685-'[2]$ зима'!t685-'[2]$ зима'!s685-'[2]$ зима'!r685-'[2]$ зима'!p685-'[2]$ зима'!o685-'[2]$ зима'!n685-'[2]$ зима'!m685-'[2]$ зима'!l685+'[2]$ зима'!q685+'[2]$ зима'!w685+'[2]$ зима'!ac685+'[2]$ зима'!ai685+'[2]$ зима'!ao685+'[2]$ зима'!k685</f>
        <v>20</v>
      </c>
      <c r="I685" s="191" t="n">
        <f aca="false">'[2]$ зима'!ay685*1.1</f>
        <v>2655.4</v>
      </c>
      <c r="J685" s="171" t="n">
        <v>2018</v>
      </c>
    </row>
    <row r="686" customFormat="false" ht="15" hidden="false" customHeight="false" outlineLevel="0" collapsed="false">
      <c r="A686" s="188" t="s">
        <v>246</v>
      </c>
      <c r="B686" s="149" t="s">
        <v>564</v>
      </c>
      <c r="C686" s="148" t="s">
        <v>3308</v>
      </c>
      <c r="D686" s="148"/>
      <c r="E686" s="192"/>
      <c r="F686" s="192"/>
      <c r="G686" s="193"/>
      <c r="H686" s="105" t="n">
        <f aca="false">'[2]$ зима'!j686-'[2]$ зима'!au686-'[2]$ зима'!at686-'[2]$ зима'!as686-'[2]$ зима'!ar686-'[2]$ зима'!aq686-'[2]$ зима'!ap686-'[2]$ зима'!an686-'[2]$ зима'!am686-'[2]$ зима'!al686-'[2]$ зима'!ak686-'[2]$ зима'!aj686-'[2]$ зима'!ah686-'[2]$ зима'!ag686-'[2]$ зима'!af686-'[2]$ зима'!ae686-'[2]$ зима'!ad686-'[2]$ зима'!ab686-'[2]$ зима'!aa686-'[2]$ зима'!z686-'[2]$ зима'!y686-'[2]$ зима'!x686-'[2]$ зима'!v686-'[2]$ зима'!u686-'[2]$ зима'!t686-'[2]$ зима'!s686-'[2]$ зима'!r686-'[2]$ зима'!p686-'[2]$ зима'!o686-'[2]$ зима'!n686-'[2]$ зима'!m686-'[2]$ зима'!l686+'[2]$ зима'!q686+'[2]$ зима'!w686+'[2]$ зима'!ac686+'[2]$ зима'!ai686+'[2]$ зима'!ao686+'[2]$ зима'!k686</f>
        <v>10</v>
      </c>
      <c r="I686" s="191" t="n">
        <f aca="false">'[2]$ зима'!ay686*1.1</f>
        <v>1447.6</v>
      </c>
    </row>
    <row r="687" customFormat="false" ht="15" hidden="false" customHeight="false" outlineLevel="0" collapsed="false">
      <c r="A687" s="188" t="s">
        <v>246</v>
      </c>
      <c r="B687" s="149" t="s">
        <v>1176</v>
      </c>
      <c r="C687" s="148" t="s">
        <v>3464</v>
      </c>
      <c r="D687" s="148"/>
      <c r="E687" s="192"/>
      <c r="F687" s="192"/>
      <c r="G687" s="193"/>
      <c r="H687" s="105" t="n">
        <f aca="false">'[2]$ зима'!j687-'[2]$ зима'!au687-'[2]$ зима'!at687-'[2]$ зима'!as687-'[2]$ зима'!ar687-'[2]$ зима'!aq687-'[2]$ зима'!ap687-'[2]$ зима'!an687-'[2]$ зима'!am687-'[2]$ зима'!al687-'[2]$ зима'!ak687-'[2]$ зима'!aj687-'[2]$ зима'!ah687-'[2]$ зима'!ag687-'[2]$ зима'!af687-'[2]$ зима'!ae687-'[2]$ зима'!ad687-'[2]$ зима'!ab687-'[2]$ зима'!aa687-'[2]$ зима'!z687-'[2]$ зима'!y687-'[2]$ зима'!x687-'[2]$ зима'!v687-'[2]$ зима'!u687-'[2]$ зима'!t687-'[2]$ зима'!s687-'[2]$ зима'!r687-'[2]$ зима'!p687-'[2]$ зима'!o687-'[2]$ зима'!n687-'[2]$ зима'!m687-'[2]$ зима'!l687+'[2]$ зима'!q687+'[2]$ зима'!w687+'[2]$ зима'!ac687+'[2]$ зима'!ai687+'[2]$ зима'!ao687+'[2]$ зима'!k687</f>
        <v>4</v>
      </c>
      <c r="I687" s="191" t="n">
        <f aca="false">'[2]$ зима'!ay687*1.1</f>
        <v>1478.4</v>
      </c>
    </row>
    <row r="688" customFormat="false" ht="15" hidden="true" customHeight="false" outlineLevel="0" collapsed="false">
      <c r="A688" s="188" t="s">
        <v>247</v>
      </c>
      <c r="B688" s="149" t="s">
        <v>568</v>
      </c>
      <c r="C688" s="148" t="s">
        <v>3121</v>
      </c>
      <c r="D688" s="148"/>
      <c r="E688" s="148"/>
      <c r="F688" s="148"/>
      <c r="G688" s="193"/>
      <c r="H688" s="105" t="n">
        <f aca="false">'[2]$ зима'!j688-'[2]$ зима'!au688-'[2]$ зима'!at688-'[2]$ зима'!as688-'[2]$ зима'!ar688-'[2]$ зима'!aq688-'[2]$ зима'!ap688-'[2]$ зима'!an688-'[2]$ зима'!am688-'[2]$ зима'!al688-'[2]$ зима'!ak688-'[2]$ зима'!aj688-'[2]$ зима'!ah688-'[2]$ зима'!ag688-'[2]$ зима'!af688-'[2]$ зима'!ae688-'[2]$ зима'!ad688-'[2]$ зима'!ab688-'[2]$ зима'!aa688-'[2]$ зима'!z688-'[2]$ зима'!y688-'[2]$ зима'!x688-'[2]$ зима'!v688-'[2]$ зима'!u688-'[2]$ зима'!t688-'[2]$ зима'!s688-'[2]$ зима'!r688-'[2]$ зима'!p688-'[2]$ зима'!o688-'[2]$ зима'!n688-'[2]$ зима'!m688-'[2]$ зима'!l688+'[2]$ зима'!q688+'[2]$ зима'!w688+'[2]$ зима'!ac688+'[2]$ зима'!ai688+'[2]$ зима'!ao688+'[2]$ зима'!k688</f>
        <v>0</v>
      </c>
      <c r="I688" s="191" t="n">
        <f aca="false">'[2]$ зима'!ay688*1.1</f>
        <v>1786.4</v>
      </c>
    </row>
    <row r="689" customFormat="false" ht="15" hidden="false" customHeight="false" outlineLevel="0" collapsed="false">
      <c r="A689" s="188" t="s">
        <v>247</v>
      </c>
      <c r="B689" s="149" t="s">
        <v>601</v>
      </c>
      <c r="C689" s="148" t="s">
        <v>3151</v>
      </c>
      <c r="D689" s="148"/>
      <c r="E689" s="192" t="n">
        <v>95</v>
      </c>
      <c r="F689" s="192" t="s">
        <v>1455</v>
      </c>
      <c r="G689" s="193"/>
      <c r="H689" s="105" t="n">
        <f aca="false">'[2]$ зима'!j689-'[2]$ зима'!au689-'[2]$ зима'!at689-'[2]$ зима'!as689-'[2]$ зима'!ar689-'[2]$ зима'!aq689-'[2]$ зима'!ap689-'[2]$ зима'!an689-'[2]$ зима'!am689-'[2]$ зима'!al689-'[2]$ зима'!ak689-'[2]$ зима'!aj689-'[2]$ зима'!ah689-'[2]$ зима'!ag689-'[2]$ зима'!af689-'[2]$ зима'!ae689-'[2]$ зима'!ad689-'[2]$ зима'!ab689-'[2]$ зима'!aa689-'[2]$ зима'!z689-'[2]$ зима'!y689-'[2]$ зима'!x689-'[2]$ зима'!v689-'[2]$ зима'!u689-'[2]$ зима'!t689-'[2]$ зима'!s689-'[2]$ зима'!r689-'[2]$ зима'!p689-'[2]$ зима'!o689-'[2]$ зима'!n689-'[2]$ зима'!m689-'[2]$ зима'!l689+'[2]$ зима'!q689+'[2]$ зима'!w689+'[2]$ зима'!ac689+'[2]$ зима'!ai689+'[2]$ зима'!ao689+'[2]$ зима'!k689</f>
        <v>4</v>
      </c>
      <c r="I689" s="191" t="n">
        <f aca="false">'[2]$ зима'!ay689*1.1</f>
        <v>3172.4</v>
      </c>
      <c r="J689" s="171" t="n">
        <v>2016</v>
      </c>
    </row>
    <row r="690" customFormat="false" ht="15" hidden="true" customHeight="false" outlineLevel="0" collapsed="false">
      <c r="A690" s="188" t="s">
        <v>247</v>
      </c>
      <c r="B690" s="149" t="s">
        <v>601</v>
      </c>
      <c r="C690" s="148" t="s">
        <v>3465</v>
      </c>
      <c r="D690" s="148"/>
      <c r="E690" s="148" t="n">
        <v>95</v>
      </c>
      <c r="F690" s="148" t="s">
        <v>1455</v>
      </c>
      <c r="G690" s="193"/>
      <c r="H690" s="105" t="n">
        <f aca="false">'[2]$ зима'!j690-'[2]$ зима'!au690-'[2]$ зима'!at690-'[2]$ зима'!as690-'[2]$ зима'!ar690-'[2]$ зима'!aq690-'[2]$ зима'!ap690-'[2]$ зима'!an690-'[2]$ зима'!am690-'[2]$ зима'!al690-'[2]$ зима'!ak690-'[2]$ зима'!aj690-'[2]$ зима'!ah690-'[2]$ зима'!ag690-'[2]$ зима'!af690-'[2]$ зима'!ae690-'[2]$ зима'!ad690-'[2]$ зима'!ab690-'[2]$ зима'!aa690-'[2]$ зима'!z690-'[2]$ зима'!y690-'[2]$ зима'!x690-'[2]$ зима'!v690-'[2]$ зима'!u690-'[2]$ зима'!t690-'[2]$ зима'!s690-'[2]$ зима'!r690-'[2]$ зима'!p690-'[2]$ зима'!o690-'[2]$ зима'!n690-'[2]$ зима'!m690-'[2]$ зима'!l690+'[2]$ зима'!q690+'[2]$ зима'!w690+'[2]$ зима'!ac690+'[2]$ зима'!ai690+'[2]$ зима'!ao690+'[2]$ зима'!k690</f>
        <v>0</v>
      </c>
      <c r="I690" s="191" t="n">
        <f aca="false">'[2]$ зима'!ay690*1.1</f>
        <v>3326.4</v>
      </c>
      <c r="J690" s="171" t="n">
        <v>2017</v>
      </c>
    </row>
    <row r="691" customFormat="false" ht="15" hidden="false" customHeight="false" outlineLevel="0" collapsed="false">
      <c r="A691" s="188" t="s">
        <v>247</v>
      </c>
      <c r="B691" s="149" t="s">
        <v>553</v>
      </c>
      <c r="C691" s="148" t="s">
        <v>3466</v>
      </c>
      <c r="D691" s="148"/>
      <c r="E691" s="192"/>
      <c r="F691" s="192"/>
      <c r="G691" s="193"/>
      <c r="H691" s="105" t="n">
        <f aca="false">'[2]$ зима'!j691-'[2]$ зима'!au691-'[2]$ зима'!at691-'[2]$ зима'!as691-'[2]$ зима'!ar691-'[2]$ зима'!aq691-'[2]$ зима'!ap691-'[2]$ зима'!an691-'[2]$ зима'!am691-'[2]$ зима'!al691-'[2]$ зима'!ak691-'[2]$ зима'!aj691-'[2]$ зима'!ah691-'[2]$ зима'!ag691-'[2]$ зима'!af691-'[2]$ зима'!ae691-'[2]$ зима'!ad691-'[2]$ зима'!ab691-'[2]$ зима'!aa691-'[2]$ зима'!z691-'[2]$ зима'!y691-'[2]$ зима'!x691-'[2]$ зима'!v691-'[2]$ зима'!u691-'[2]$ зима'!t691-'[2]$ зима'!s691-'[2]$ зима'!r691-'[2]$ зима'!p691-'[2]$ зима'!o691-'[2]$ зима'!n691-'[2]$ зима'!m691-'[2]$ зима'!l691+'[2]$ зима'!q691+'[2]$ зима'!w691+'[2]$ зима'!ac691+'[2]$ зима'!ai691+'[2]$ зима'!ao691+'[2]$ зима'!k691</f>
        <v>4</v>
      </c>
      <c r="I691" s="191" t="n">
        <f aca="false">'[2]$ зима'!ay691*1.1</f>
        <v>1540</v>
      </c>
      <c r="J691" s="171" t="n">
        <v>2011</v>
      </c>
    </row>
    <row r="692" customFormat="false" ht="15" hidden="false" customHeight="false" outlineLevel="0" collapsed="false">
      <c r="A692" s="188" t="s">
        <v>247</v>
      </c>
      <c r="B692" s="149" t="s">
        <v>553</v>
      </c>
      <c r="C692" s="148" t="s">
        <v>3467</v>
      </c>
      <c r="D692" s="148" t="s">
        <v>3127</v>
      </c>
      <c r="E692" s="192"/>
      <c r="F692" s="192"/>
      <c r="G692" s="193" t="s">
        <v>626</v>
      </c>
      <c r="H692" s="105" t="n">
        <f aca="false">'[2]$ зима'!j692-'[2]$ зима'!au692-'[2]$ зима'!at692-'[2]$ зима'!as692-'[2]$ зима'!ar692-'[2]$ зима'!aq692-'[2]$ зима'!ap692-'[2]$ зима'!an692-'[2]$ зима'!am692-'[2]$ зима'!al692-'[2]$ зима'!ak692-'[2]$ зима'!aj692-'[2]$ зима'!ah692-'[2]$ зима'!ag692-'[2]$ зима'!af692-'[2]$ зима'!ae692-'[2]$ зима'!ad692-'[2]$ зима'!ab692-'[2]$ зима'!aa692-'[2]$ зима'!z692-'[2]$ зима'!y692-'[2]$ зима'!x692-'[2]$ зима'!v692-'[2]$ зима'!u692-'[2]$ зима'!t692-'[2]$ зима'!s692-'[2]$ зима'!r692-'[2]$ зима'!p692-'[2]$ зима'!o692-'[2]$ зима'!n692-'[2]$ зима'!m692-'[2]$ зима'!l692+'[2]$ зима'!q692+'[2]$ зима'!w692+'[2]$ зима'!ac692+'[2]$ зима'!ai692+'[2]$ зима'!ao692+'[2]$ зима'!k692</f>
        <v>2</v>
      </c>
      <c r="I692" s="191" t="n">
        <f aca="false">'[2]$ зима'!ay692*1.1</f>
        <v>1447.6</v>
      </c>
      <c r="J692" s="171" t="n">
        <v>2011</v>
      </c>
    </row>
    <row r="693" customFormat="false" ht="15" hidden="false" customHeight="false" outlineLevel="0" collapsed="false">
      <c r="A693" s="188" t="s">
        <v>247</v>
      </c>
      <c r="B693" s="149" t="s">
        <v>557</v>
      </c>
      <c r="C693" s="148" t="s">
        <v>3468</v>
      </c>
      <c r="D693" s="148" t="s">
        <v>3127</v>
      </c>
      <c r="E693" s="192"/>
      <c r="F693" s="192"/>
      <c r="G693" s="193"/>
      <c r="H693" s="105" t="n">
        <f aca="false">'[2]$ зима'!j693-'[2]$ зима'!au693-'[2]$ зима'!at693-'[2]$ зима'!as693-'[2]$ зима'!ar693-'[2]$ зима'!aq693-'[2]$ зима'!ap693-'[2]$ зима'!an693-'[2]$ зима'!am693-'[2]$ зима'!al693-'[2]$ зима'!ak693-'[2]$ зима'!aj693-'[2]$ зима'!ah693-'[2]$ зима'!ag693-'[2]$ зима'!af693-'[2]$ зима'!ae693-'[2]$ зима'!ad693-'[2]$ зима'!ab693-'[2]$ зима'!aa693-'[2]$ зима'!z693-'[2]$ зима'!y693-'[2]$ зима'!x693-'[2]$ зима'!v693-'[2]$ зима'!u693-'[2]$ зима'!t693-'[2]$ зима'!s693-'[2]$ зима'!r693-'[2]$ зима'!p693-'[2]$ зима'!o693-'[2]$ зима'!n693-'[2]$ зима'!m693-'[2]$ зима'!l693+'[2]$ зима'!q693+'[2]$ зима'!w693+'[2]$ зима'!ac693+'[2]$ зима'!ai693+'[2]$ зима'!ao693+'[2]$ зима'!k693</f>
        <v>8</v>
      </c>
      <c r="I693" s="191" t="n">
        <f aca="false">'[2]$ зима'!ay693*1.1</f>
        <v>1755.6</v>
      </c>
    </row>
    <row r="694" customFormat="false" ht="15" hidden="false" customHeight="false" outlineLevel="0" collapsed="false">
      <c r="A694" s="188" t="s">
        <v>247</v>
      </c>
      <c r="B694" s="149" t="s">
        <v>604</v>
      </c>
      <c r="C694" s="148" t="s">
        <v>3442</v>
      </c>
      <c r="D694" s="148"/>
      <c r="E694" s="192"/>
      <c r="F694" s="192"/>
      <c r="G694" s="193" t="s">
        <v>843</v>
      </c>
      <c r="H694" s="105" t="n">
        <f aca="false">'[2]$ зима'!j694-'[2]$ зима'!au694-'[2]$ зима'!at694-'[2]$ зима'!as694-'[2]$ зима'!ar694-'[2]$ зима'!aq694-'[2]$ зима'!ap694-'[2]$ зима'!an694-'[2]$ зима'!am694-'[2]$ зима'!al694-'[2]$ зима'!ak694-'[2]$ зима'!aj694-'[2]$ зима'!ah694-'[2]$ зима'!ag694-'[2]$ зима'!af694-'[2]$ зима'!ae694-'[2]$ зима'!ad694-'[2]$ зима'!ab694-'[2]$ зима'!aa694-'[2]$ зима'!z694-'[2]$ зима'!y694-'[2]$ зима'!x694-'[2]$ зима'!v694-'[2]$ зима'!u694-'[2]$ зима'!t694-'[2]$ зима'!s694-'[2]$ зима'!r694-'[2]$ зима'!p694-'[2]$ зима'!o694-'[2]$ зима'!n694-'[2]$ зима'!m694-'[2]$ зима'!l694+'[2]$ зима'!q694+'[2]$ зима'!w694+'[2]$ зима'!ac694+'[2]$ зима'!ai694+'[2]$ зима'!ao694+'[2]$ зима'!k694</f>
        <v>4</v>
      </c>
      <c r="I694" s="191" t="n">
        <f aca="false">'[2]$ зима'!ay694*1.1</f>
        <v>2002</v>
      </c>
      <c r="J694" s="171" t="n">
        <v>2013</v>
      </c>
    </row>
    <row r="695" customFormat="false" ht="15" hidden="true" customHeight="false" outlineLevel="0" collapsed="false">
      <c r="A695" s="188" t="s">
        <v>247</v>
      </c>
      <c r="B695" s="149" t="s">
        <v>2480</v>
      </c>
      <c r="C695" s="148" t="s">
        <v>3469</v>
      </c>
      <c r="D695" s="148"/>
      <c r="E695" s="148"/>
      <c r="F695" s="148"/>
      <c r="G695" s="193"/>
      <c r="H695" s="105" t="n">
        <f aca="false">'[2]$ зима'!j695-'[2]$ зима'!au695-'[2]$ зима'!at695-'[2]$ зима'!as695-'[2]$ зима'!ar695-'[2]$ зима'!aq695-'[2]$ зима'!ap695-'[2]$ зима'!an695-'[2]$ зима'!am695-'[2]$ зима'!al695-'[2]$ зима'!ak695-'[2]$ зима'!aj695-'[2]$ зима'!ah695-'[2]$ зима'!ag695-'[2]$ зима'!af695-'[2]$ зима'!ae695-'[2]$ зима'!ad695-'[2]$ зима'!ab695-'[2]$ зима'!aa695-'[2]$ зима'!z695-'[2]$ зима'!y695-'[2]$ зима'!x695-'[2]$ зима'!v695-'[2]$ зима'!u695-'[2]$ зима'!t695-'[2]$ зима'!s695-'[2]$ зима'!r695-'[2]$ зима'!p695-'[2]$ зима'!o695-'[2]$ зима'!n695-'[2]$ зима'!m695-'[2]$ зима'!l695+'[2]$ зима'!q695+'[2]$ зима'!w695+'[2]$ зима'!ac695+'[2]$ зима'!ai695+'[2]$ зима'!ao695+'[2]$ зима'!k695</f>
        <v>0</v>
      </c>
      <c r="I695" s="191" t="n">
        <f aca="false">'[2]$ зима'!ay695*1.1</f>
        <v>1540</v>
      </c>
    </row>
    <row r="696" customFormat="false" ht="15" hidden="true" customHeight="false" outlineLevel="0" collapsed="false">
      <c r="A696" s="188" t="s">
        <v>247</v>
      </c>
      <c r="B696" s="149" t="s">
        <v>606</v>
      </c>
      <c r="C696" s="148" t="s">
        <v>3309</v>
      </c>
      <c r="D696" s="148"/>
      <c r="E696" s="192" t="n">
        <v>99</v>
      </c>
      <c r="F696" s="192" t="s">
        <v>3216</v>
      </c>
      <c r="G696" s="193" t="s">
        <v>609</v>
      </c>
      <c r="H696" s="105" t="n">
        <f aca="false">'[2]$ зима'!j696-'[2]$ зима'!au696-'[2]$ зима'!at696-'[2]$ зима'!as696-'[2]$ зима'!ar696-'[2]$ зима'!aq696-'[2]$ зима'!ap696-'[2]$ зима'!an696-'[2]$ зима'!am696-'[2]$ зима'!al696-'[2]$ зима'!ak696-'[2]$ зима'!aj696-'[2]$ зима'!ah696-'[2]$ зима'!ag696-'[2]$ зима'!af696-'[2]$ зима'!ae696-'[2]$ зима'!ad696-'[2]$ зима'!ab696-'[2]$ зима'!aa696-'[2]$ зима'!z696-'[2]$ зима'!y696-'[2]$ зима'!x696-'[2]$ зима'!v696-'[2]$ зима'!u696-'[2]$ зима'!t696-'[2]$ зима'!s696-'[2]$ зима'!r696-'[2]$ зима'!p696-'[2]$ зима'!o696-'[2]$ зима'!n696-'[2]$ зима'!m696-'[2]$ зима'!l696+'[2]$ зима'!q696+'[2]$ зима'!w696+'[2]$ зима'!ac696+'[2]$ зима'!ai696+'[2]$ зима'!ao696+'[2]$ зима'!k696</f>
        <v>0</v>
      </c>
      <c r="I696" s="191" t="n">
        <f aca="false">'[2]$ зима'!ay696*1.1</f>
        <v>2125.2</v>
      </c>
    </row>
    <row r="697" customFormat="false" ht="15" hidden="true" customHeight="false" outlineLevel="0" collapsed="false">
      <c r="A697" s="188" t="s">
        <v>247</v>
      </c>
      <c r="B697" s="149" t="s">
        <v>606</v>
      </c>
      <c r="C697" s="148" t="s">
        <v>3470</v>
      </c>
      <c r="D697" s="148"/>
      <c r="E697" s="148" t="n">
        <v>99</v>
      </c>
      <c r="F697" s="148" t="s">
        <v>832</v>
      </c>
      <c r="G697" s="193" t="s">
        <v>1037</v>
      </c>
      <c r="H697" s="105" t="n">
        <f aca="false">'[2]$ зима'!j697-'[2]$ зима'!au697-'[2]$ зима'!at697-'[2]$ зима'!as697-'[2]$ зима'!ar697-'[2]$ зима'!aq697-'[2]$ зима'!ap697-'[2]$ зима'!an697-'[2]$ зима'!am697-'[2]$ зима'!al697-'[2]$ зима'!ak697-'[2]$ зима'!aj697-'[2]$ зима'!ah697-'[2]$ зима'!ag697-'[2]$ зима'!af697-'[2]$ зима'!ae697-'[2]$ зима'!ad697-'[2]$ зима'!ab697-'[2]$ зима'!aa697-'[2]$ зима'!z697-'[2]$ зима'!y697-'[2]$ зима'!x697-'[2]$ зима'!v697-'[2]$ зима'!u697-'[2]$ зима'!t697-'[2]$ зима'!s697-'[2]$ зима'!r697-'[2]$ зима'!p697-'[2]$ зима'!o697-'[2]$ зима'!n697-'[2]$ зима'!m697-'[2]$ зима'!l697+'[2]$ зима'!q697+'[2]$ зима'!w697+'[2]$ зима'!ac697+'[2]$ зима'!ai697+'[2]$ зима'!ao697+'[2]$ зима'!k697</f>
        <v>0</v>
      </c>
      <c r="I697" s="191" t="n">
        <f aca="false">'[2]$ зима'!ay697*1.1</f>
        <v>2002</v>
      </c>
    </row>
    <row r="698" customFormat="false" ht="15" hidden="false" customHeight="false" outlineLevel="0" collapsed="false">
      <c r="A698" s="188" t="s">
        <v>247</v>
      </c>
      <c r="B698" s="149" t="s">
        <v>606</v>
      </c>
      <c r="C698" s="148" t="s">
        <v>3231</v>
      </c>
      <c r="D698" s="148"/>
      <c r="E698" s="192" t="n">
        <v>99</v>
      </c>
      <c r="F698" s="192" t="s">
        <v>3216</v>
      </c>
      <c r="G698" s="193" t="s">
        <v>609</v>
      </c>
      <c r="H698" s="105" t="n">
        <f aca="false">'[2]$ зима'!j698-'[2]$ зима'!au698-'[2]$ зима'!at698-'[2]$ зима'!as698-'[2]$ зима'!ar698-'[2]$ зима'!aq698-'[2]$ зима'!ap698-'[2]$ зима'!an698-'[2]$ зима'!am698-'[2]$ зима'!al698-'[2]$ зима'!ak698-'[2]$ зима'!aj698-'[2]$ зима'!ah698-'[2]$ зима'!ag698-'[2]$ зима'!af698-'[2]$ зима'!ae698-'[2]$ зима'!ad698-'[2]$ зима'!ab698-'[2]$ зима'!aa698-'[2]$ зима'!z698-'[2]$ зима'!y698-'[2]$ зима'!x698-'[2]$ зима'!v698-'[2]$ зима'!u698-'[2]$ зима'!t698-'[2]$ зима'!s698-'[2]$ зима'!r698-'[2]$ зима'!p698-'[2]$ зима'!o698-'[2]$ зима'!n698-'[2]$ зима'!m698-'[2]$ зима'!l698+'[2]$ зима'!q698+'[2]$ зима'!w698+'[2]$ зима'!ac698+'[2]$ зима'!ai698+'[2]$ зима'!ao698+'[2]$ зима'!k698</f>
        <v>12</v>
      </c>
      <c r="I698" s="191" t="n">
        <f aca="false">'[2]$ зима'!ay698*1.1</f>
        <v>2125.2</v>
      </c>
      <c r="J698" s="171" t="n">
        <v>2018</v>
      </c>
    </row>
    <row r="699" customFormat="false" ht="15" hidden="false" customHeight="false" outlineLevel="0" collapsed="false">
      <c r="A699" s="188" t="s">
        <v>247</v>
      </c>
      <c r="B699" s="149" t="s">
        <v>1905</v>
      </c>
      <c r="C699" s="148" t="s">
        <v>3457</v>
      </c>
      <c r="D699" s="148"/>
      <c r="E699" s="192"/>
      <c r="F699" s="192"/>
      <c r="G699" s="193"/>
      <c r="H699" s="105" t="n">
        <f aca="false">'[2]$ зима'!j699-'[2]$ зима'!au699-'[2]$ зима'!at699-'[2]$ зима'!as699-'[2]$ зима'!ar699-'[2]$ зима'!aq699-'[2]$ зима'!ap699-'[2]$ зима'!an699-'[2]$ зима'!am699-'[2]$ зима'!al699-'[2]$ зима'!ak699-'[2]$ зима'!aj699-'[2]$ зима'!ah699-'[2]$ зима'!ag699-'[2]$ зима'!af699-'[2]$ зима'!ae699-'[2]$ зима'!ad699-'[2]$ зима'!ab699-'[2]$ зима'!aa699-'[2]$ зима'!z699-'[2]$ зима'!y699-'[2]$ зима'!x699-'[2]$ зима'!v699-'[2]$ зима'!u699-'[2]$ зима'!t699-'[2]$ зима'!s699-'[2]$ зима'!r699-'[2]$ зима'!p699-'[2]$ зима'!o699-'[2]$ зима'!n699-'[2]$ зима'!m699-'[2]$ зима'!l699+'[2]$ зима'!q699+'[2]$ зима'!w699+'[2]$ зима'!ac699+'[2]$ зима'!ai699+'[2]$ зима'!ao699+'[2]$ зима'!k699</f>
        <v>2</v>
      </c>
      <c r="I699" s="191" t="n">
        <f aca="false">'[2]$ зима'!ay699*1.1</f>
        <v>1478.4</v>
      </c>
    </row>
    <row r="700" customFormat="false" ht="15" hidden="false" customHeight="false" outlineLevel="0" collapsed="false">
      <c r="A700" s="210" t="s">
        <v>247</v>
      </c>
      <c r="B700" s="198" t="s">
        <v>668</v>
      </c>
      <c r="C700" s="148" t="s">
        <v>3471</v>
      </c>
      <c r="D700" s="148"/>
      <c r="E700" s="148"/>
      <c r="F700" s="192"/>
      <c r="G700" s="193" t="s">
        <v>609</v>
      </c>
      <c r="H700" s="105" t="n">
        <f aca="false">'[2]$ зима'!j700-'[2]$ зима'!au700-'[2]$ зима'!at700-'[2]$ зима'!as700-'[2]$ зима'!ar700-'[2]$ зима'!aq700-'[2]$ зима'!ap700-'[2]$ зима'!an700-'[2]$ зима'!am700-'[2]$ зима'!al700-'[2]$ зима'!ak700-'[2]$ зима'!aj700-'[2]$ зима'!ah700-'[2]$ зима'!ag700-'[2]$ зима'!af700-'[2]$ зима'!ae700-'[2]$ зима'!ad700-'[2]$ зима'!ab700-'[2]$ зима'!aa700-'[2]$ зима'!z700-'[2]$ зима'!y700-'[2]$ зима'!x700-'[2]$ зима'!v700-'[2]$ зима'!u700-'[2]$ зима'!t700-'[2]$ зима'!s700-'[2]$ зима'!r700-'[2]$ зима'!p700-'[2]$ зима'!o700-'[2]$ зима'!n700-'[2]$ зима'!m700-'[2]$ зима'!l700+'[2]$ зима'!q700+'[2]$ зима'!w700+'[2]$ зима'!ac700+'[2]$ зима'!ai700+'[2]$ зима'!ao700+'[2]$ зима'!k700</f>
        <v>8</v>
      </c>
      <c r="I700" s="191" t="n">
        <f aca="false">'[2]$ зима'!ay700*1.1</f>
        <v>1940.4</v>
      </c>
      <c r="J700" s="171" t="n">
        <v>2018</v>
      </c>
    </row>
    <row r="701" customFormat="false" ht="15" hidden="true" customHeight="false" outlineLevel="0" collapsed="false">
      <c r="A701" s="210" t="s">
        <v>247</v>
      </c>
      <c r="B701" s="198" t="s">
        <v>668</v>
      </c>
      <c r="C701" s="148" t="s">
        <v>3380</v>
      </c>
      <c r="D701" s="194"/>
      <c r="E701" s="194"/>
      <c r="F701" s="194"/>
      <c r="G701" s="200"/>
      <c r="H701" s="105" t="n">
        <f aca="false">'[2]$ зима'!j701-'[2]$ зима'!au701-'[2]$ зима'!at701-'[2]$ зима'!as701-'[2]$ зима'!ar701-'[2]$ зима'!aq701-'[2]$ зима'!ap701-'[2]$ зима'!an701-'[2]$ зима'!am701-'[2]$ зима'!al701-'[2]$ зима'!ak701-'[2]$ зима'!aj701-'[2]$ зима'!ah701-'[2]$ зима'!ag701-'[2]$ зима'!af701-'[2]$ зима'!ae701-'[2]$ зима'!ad701-'[2]$ зима'!ab701-'[2]$ зима'!aa701-'[2]$ зима'!z701-'[2]$ зима'!y701-'[2]$ зима'!x701-'[2]$ зима'!v701-'[2]$ зима'!u701-'[2]$ зима'!t701-'[2]$ зима'!s701-'[2]$ зима'!r701-'[2]$ зима'!p701-'[2]$ зима'!o701-'[2]$ зима'!n701-'[2]$ зима'!m701-'[2]$ зима'!l701+'[2]$ зима'!q701+'[2]$ зима'!w701+'[2]$ зима'!ac701+'[2]$ зима'!ai701+'[2]$ зима'!ao701+'[2]$ зима'!k701</f>
        <v>0</v>
      </c>
      <c r="I701" s="191" t="n">
        <f aca="false">'[2]$ зима'!ay701*1.1</f>
        <v>2186.8</v>
      </c>
      <c r="J701" s="201"/>
    </row>
    <row r="702" customFormat="false" ht="15" hidden="false" customHeight="false" outlineLevel="0" collapsed="false">
      <c r="A702" s="217" t="s">
        <v>247</v>
      </c>
      <c r="B702" s="157" t="s">
        <v>574</v>
      </c>
      <c r="C702" s="158" t="s">
        <v>3249</v>
      </c>
      <c r="D702" s="158"/>
      <c r="E702" s="224" t="n">
        <v>99</v>
      </c>
      <c r="F702" s="224" t="s">
        <v>562</v>
      </c>
      <c r="G702" s="218" t="s">
        <v>576</v>
      </c>
      <c r="H702" s="105" t="n">
        <f aca="false">'[2]$ зима'!j702-'[2]$ зима'!au702-'[2]$ зима'!at702-'[2]$ зима'!as702-'[2]$ зима'!ar702-'[2]$ зима'!aq702-'[2]$ зима'!ap702-'[2]$ зима'!an702-'[2]$ зима'!am702-'[2]$ зима'!al702-'[2]$ зима'!ak702-'[2]$ зима'!aj702-'[2]$ зима'!ah702-'[2]$ зима'!ag702-'[2]$ зима'!af702-'[2]$ зима'!ae702-'[2]$ зима'!ad702-'[2]$ зима'!ab702-'[2]$ зима'!aa702-'[2]$ зима'!z702-'[2]$ зима'!y702-'[2]$ зима'!x702-'[2]$ зима'!v702-'[2]$ зима'!u702-'[2]$ зима'!t702-'[2]$ зима'!s702-'[2]$ зима'!r702-'[2]$ зима'!p702-'[2]$ зима'!o702-'[2]$ зима'!n702-'[2]$ зима'!m702-'[2]$ зима'!l702+'[2]$ зима'!q702+'[2]$ зима'!w702+'[2]$ зима'!ac702+'[2]$ зима'!ai702+'[2]$ зима'!ao702+'[2]$ зима'!k702</f>
        <v>2</v>
      </c>
      <c r="I702" s="219" t="n">
        <f aca="false">'[2]$ зима'!ay702*1.1</f>
        <v>1650</v>
      </c>
      <c r="J702" s="201"/>
    </row>
    <row r="703" customFormat="false" ht="15" hidden="false" customHeight="false" outlineLevel="0" collapsed="false">
      <c r="A703" s="210" t="s">
        <v>247</v>
      </c>
      <c r="B703" s="198" t="s">
        <v>574</v>
      </c>
      <c r="C703" s="194" t="s">
        <v>3201</v>
      </c>
      <c r="D703" s="194"/>
      <c r="E703" s="195"/>
      <c r="F703" s="195"/>
      <c r="G703" s="193" t="s">
        <v>576</v>
      </c>
      <c r="H703" s="105" t="n">
        <f aca="false">'[2]$ зима'!j703-'[2]$ зима'!au703-'[2]$ зима'!at703-'[2]$ зима'!as703-'[2]$ зима'!ar703-'[2]$ зима'!aq703-'[2]$ зима'!ap703-'[2]$ зима'!an703-'[2]$ зима'!am703-'[2]$ зима'!al703-'[2]$ зима'!ak703-'[2]$ зима'!aj703-'[2]$ зима'!ah703-'[2]$ зима'!ag703-'[2]$ зима'!af703-'[2]$ зима'!ae703-'[2]$ зима'!ad703-'[2]$ зима'!ab703-'[2]$ зима'!aa703-'[2]$ зима'!z703-'[2]$ зима'!y703-'[2]$ зима'!x703-'[2]$ зима'!v703-'[2]$ зима'!u703-'[2]$ зима'!t703-'[2]$ зима'!s703-'[2]$ зима'!r703-'[2]$ зима'!p703-'[2]$ зима'!o703-'[2]$ зима'!n703-'[2]$ зима'!m703-'[2]$ зима'!l703+'[2]$ зима'!q703+'[2]$ зима'!w703+'[2]$ зима'!ac703+'[2]$ зима'!ai703+'[2]$ зима'!ao703+'[2]$ зима'!k703</f>
        <v>2</v>
      </c>
      <c r="I703" s="191" t="n">
        <f aca="false">'[2]$ зима'!ay703*1.1</f>
        <v>1968.12</v>
      </c>
      <c r="J703" s="201"/>
    </row>
    <row r="704" customFormat="false" ht="15" hidden="false" customHeight="false" outlineLevel="0" collapsed="false">
      <c r="A704" s="210" t="s">
        <v>247</v>
      </c>
      <c r="B704" s="198" t="s">
        <v>574</v>
      </c>
      <c r="C704" s="194" t="s">
        <v>3249</v>
      </c>
      <c r="D704" s="194"/>
      <c r="E704" s="195" t="n">
        <v>99</v>
      </c>
      <c r="F704" s="195" t="s">
        <v>562</v>
      </c>
      <c r="G704" s="193" t="s">
        <v>576</v>
      </c>
      <c r="H704" s="105" t="n">
        <f aca="false">'[2]$ зима'!j704-'[2]$ зима'!au704-'[2]$ зима'!at704-'[2]$ зима'!as704-'[2]$ зима'!ar704-'[2]$ зима'!aq704-'[2]$ зима'!ap704-'[2]$ зима'!an704-'[2]$ зима'!am704-'[2]$ зима'!al704-'[2]$ зима'!ak704-'[2]$ зима'!aj704-'[2]$ зима'!ah704-'[2]$ зима'!ag704-'[2]$ зима'!af704-'[2]$ зима'!ae704-'[2]$ зима'!ad704-'[2]$ зима'!ab704-'[2]$ зима'!aa704-'[2]$ зима'!z704-'[2]$ зима'!y704-'[2]$ зима'!x704-'[2]$ зима'!v704-'[2]$ зима'!u704-'[2]$ зима'!t704-'[2]$ зима'!s704-'[2]$ зима'!r704-'[2]$ зима'!p704-'[2]$ зима'!o704-'[2]$ зима'!n704-'[2]$ зима'!m704-'[2]$ зима'!l704+'[2]$ зима'!q704+'[2]$ зима'!w704+'[2]$ зима'!ac704+'[2]$ зима'!ai704+'[2]$ зима'!ao704+'[2]$ зима'!k704</f>
        <v>8</v>
      </c>
      <c r="I704" s="191" t="n">
        <f aca="false">'[2]$ зима'!ay704*1.1</f>
        <v>2030.6</v>
      </c>
      <c r="J704" s="201" t="n">
        <v>2017</v>
      </c>
    </row>
    <row r="705" customFormat="false" ht="15" hidden="true" customHeight="false" outlineLevel="0" collapsed="false">
      <c r="A705" s="210" t="s">
        <v>247</v>
      </c>
      <c r="B705" s="149" t="s">
        <v>577</v>
      </c>
      <c r="C705" s="148" t="s">
        <v>3472</v>
      </c>
      <c r="D705" s="194"/>
      <c r="E705" s="194" t="n">
        <v>99</v>
      </c>
      <c r="F705" s="194" t="s">
        <v>634</v>
      </c>
      <c r="G705" s="193" t="s">
        <v>563</v>
      </c>
      <c r="H705" s="105" t="n">
        <f aca="false">'[2]$ зима'!j705-'[2]$ зима'!au705-'[2]$ зима'!at705-'[2]$ зима'!as705-'[2]$ зима'!ar705-'[2]$ зима'!aq705-'[2]$ зима'!ap705-'[2]$ зима'!an705-'[2]$ зима'!am705-'[2]$ зима'!al705-'[2]$ зима'!ak705-'[2]$ зима'!aj705-'[2]$ зима'!ah705-'[2]$ зима'!ag705-'[2]$ зима'!af705-'[2]$ зима'!ae705-'[2]$ зима'!ad705-'[2]$ зима'!ab705-'[2]$ зима'!aa705-'[2]$ зима'!z705-'[2]$ зима'!y705-'[2]$ зима'!x705-'[2]$ зима'!v705-'[2]$ зима'!u705-'[2]$ зима'!t705-'[2]$ зима'!s705-'[2]$ зима'!r705-'[2]$ зима'!p705-'[2]$ зима'!o705-'[2]$ зима'!n705-'[2]$ зима'!m705-'[2]$ зима'!l705+'[2]$ зима'!q705+'[2]$ зима'!w705+'[2]$ зима'!ac705+'[2]$ зима'!ai705+'[2]$ зима'!ao705+'[2]$ зима'!k705</f>
        <v>0</v>
      </c>
      <c r="I705" s="191" t="n">
        <f aca="false">'[2]$ зима'!ay705*1.1</f>
        <v>1663.2</v>
      </c>
      <c r="J705" s="201"/>
    </row>
    <row r="706" customFormat="false" ht="15" hidden="false" customHeight="false" outlineLevel="0" collapsed="false">
      <c r="A706" s="210" t="s">
        <v>247</v>
      </c>
      <c r="B706" s="149" t="s">
        <v>1471</v>
      </c>
      <c r="C706" s="194" t="s">
        <v>3129</v>
      </c>
      <c r="D706" s="194"/>
      <c r="E706" s="195" t="n">
        <v>99</v>
      </c>
      <c r="F706" s="195" t="s">
        <v>3220</v>
      </c>
      <c r="G706" s="193" t="s">
        <v>609</v>
      </c>
      <c r="H706" s="105" t="n">
        <f aca="false">'[2]$ зима'!j706-'[2]$ зима'!au706-'[2]$ зима'!at706-'[2]$ зима'!as706-'[2]$ зима'!ar706-'[2]$ зима'!aq706-'[2]$ зима'!ap706-'[2]$ зима'!an706-'[2]$ зима'!am706-'[2]$ зима'!al706-'[2]$ зима'!ak706-'[2]$ зима'!aj706-'[2]$ зима'!ah706-'[2]$ зима'!ag706-'[2]$ зима'!af706-'[2]$ зима'!ae706-'[2]$ зима'!ad706-'[2]$ зима'!ab706-'[2]$ зима'!aa706-'[2]$ зима'!z706-'[2]$ зима'!y706-'[2]$ зима'!x706-'[2]$ зима'!v706-'[2]$ зима'!u706-'[2]$ зима'!t706-'[2]$ зима'!s706-'[2]$ зима'!r706-'[2]$ зима'!p706-'[2]$ зима'!o706-'[2]$ зима'!n706-'[2]$ зима'!m706-'[2]$ зима'!l706+'[2]$ зима'!q706+'[2]$ зима'!w706+'[2]$ зима'!ac706+'[2]$ зима'!ai706+'[2]$ зима'!ao706+'[2]$ зима'!k706</f>
        <v>8</v>
      </c>
      <c r="I706" s="191" t="n">
        <f aca="false">'[2]$ зима'!ay706*1.1</f>
        <v>2032.8</v>
      </c>
      <c r="J706" s="201" t="n">
        <v>2018</v>
      </c>
    </row>
    <row r="707" customFormat="false" ht="15" hidden="false" customHeight="false" outlineLevel="0" collapsed="false">
      <c r="A707" s="210" t="s">
        <v>247</v>
      </c>
      <c r="B707" s="198" t="s">
        <v>613</v>
      </c>
      <c r="C707" s="148" t="s">
        <v>3447</v>
      </c>
      <c r="D707" s="194"/>
      <c r="E707" s="195" t="n">
        <v>99</v>
      </c>
      <c r="F707" s="195" t="s">
        <v>562</v>
      </c>
      <c r="G707" s="200"/>
      <c r="H707" s="105" t="n">
        <f aca="false">'[2]$ зима'!j707-'[2]$ зима'!au707-'[2]$ зима'!at707-'[2]$ зима'!as707-'[2]$ зима'!ar707-'[2]$ зима'!aq707-'[2]$ зима'!ap707-'[2]$ зима'!an707-'[2]$ зима'!am707-'[2]$ зима'!al707-'[2]$ зима'!ak707-'[2]$ зима'!aj707-'[2]$ зима'!ah707-'[2]$ зима'!ag707-'[2]$ зима'!af707-'[2]$ зима'!ae707-'[2]$ зима'!ad707-'[2]$ зима'!ab707-'[2]$ зима'!aa707-'[2]$ зима'!z707-'[2]$ зима'!y707-'[2]$ зима'!x707-'[2]$ зима'!v707-'[2]$ зима'!u707-'[2]$ зима'!t707-'[2]$ зима'!s707-'[2]$ зима'!r707-'[2]$ зима'!p707-'[2]$ зима'!o707-'[2]$ зима'!n707-'[2]$ зима'!m707-'[2]$ зима'!l707+'[2]$ зима'!q707+'[2]$ зима'!w707+'[2]$ зима'!ac707+'[2]$ зима'!ai707+'[2]$ зима'!ao707+'[2]$ зима'!k707</f>
        <v>6</v>
      </c>
      <c r="I707" s="191" t="n">
        <f aca="false">'[2]$ зима'!ay707*1.1</f>
        <v>1817.2</v>
      </c>
      <c r="J707" s="201"/>
    </row>
    <row r="708" customFormat="false" ht="15" hidden="true" customHeight="false" outlineLevel="0" collapsed="false">
      <c r="A708" s="188" t="s">
        <v>247</v>
      </c>
      <c r="B708" s="149" t="s">
        <v>593</v>
      </c>
      <c r="C708" s="148" t="s">
        <v>3473</v>
      </c>
      <c r="D708" s="148"/>
      <c r="E708" s="148" t="n">
        <v>99</v>
      </c>
      <c r="F708" s="148" t="s">
        <v>562</v>
      </c>
      <c r="G708" s="193" t="s">
        <v>1062</v>
      </c>
      <c r="H708" s="105" t="n">
        <f aca="false">'[2]$ зима'!j708-'[2]$ зима'!au708-'[2]$ зима'!at708-'[2]$ зима'!as708-'[2]$ зима'!ar708-'[2]$ зима'!aq708-'[2]$ зима'!ap708-'[2]$ зима'!an708-'[2]$ зима'!am708-'[2]$ зима'!al708-'[2]$ зима'!ak708-'[2]$ зима'!aj708-'[2]$ зима'!ah708-'[2]$ зима'!ag708-'[2]$ зима'!af708-'[2]$ зима'!ae708-'[2]$ зима'!ad708-'[2]$ зима'!ab708-'[2]$ зима'!aa708-'[2]$ зима'!z708-'[2]$ зима'!y708-'[2]$ зима'!x708-'[2]$ зима'!v708-'[2]$ зима'!u708-'[2]$ зима'!t708-'[2]$ зима'!s708-'[2]$ зима'!r708-'[2]$ зима'!p708-'[2]$ зима'!o708-'[2]$ зима'!n708-'[2]$ зима'!m708-'[2]$ зима'!l708+'[2]$ зима'!q708+'[2]$ зима'!w708+'[2]$ зима'!ac708+'[2]$ зима'!ai708+'[2]$ зима'!ao708+'[2]$ зима'!k708</f>
        <v>0</v>
      </c>
      <c r="I708" s="191" t="n">
        <f aca="false">'[2]$ зима'!ay708*1.1</f>
        <v>2802.8</v>
      </c>
    </row>
    <row r="709" customFormat="false" ht="15" hidden="true" customHeight="false" outlineLevel="0" collapsed="false">
      <c r="A709" s="188" t="s">
        <v>247</v>
      </c>
      <c r="B709" s="149" t="s">
        <v>593</v>
      </c>
      <c r="C709" s="148" t="s">
        <v>3474</v>
      </c>
      <c r="D709" s="148"/>
      <c r="E709" s="148" t="n">
        <v>95</v>
      </c>
      <c r="F709" s="148" t="s">
        <v>562</v>
      </c>
      <c r="G709" s="193"/>
      <c r="H709" s="105" t="n">
        <f aca="false">'[2]$ зима'!j709-'[2]$ зима'!au709-'[2]$ зима'!at709-'[2]$ зима'!as709-'[2]$ зима'!ar709-'[2]$ зима'!aq709-'[2]$ зима'!ap709-'[2]$ зима'!an709-'[2]$ зима'!am709-'[2]$ зима'!al709-'[2]$ зима'!ak709-'[2]$ зима'!aj709-'[2]$ зима'!ah709-'[2]$ зима'!ag709-'[2]$ зима'!af709-'[2]$ зима'!ae709-'[2]$ зима'!ad709-'[2]$ зима'!ab709-'[2]$ зима'!aa709-'[2]$ зима'!z709-'[2]$ зима'!y709-'[2]$ зима'!x709-'[2]$ зима'!v709-'[2]$ зима'!u709-'[2]$ зима'!t709-'[2]$ зима'!s709-'[2]$ зима'!r709-'[2]$ зима'!p709-'[2]$ зима'!o709-'[2]$ зима'!n709-'[2]$ зима'!m709-'[2]$ зима'!l709+'[2]$ зима'!q709+'[2]$ зима'!w709+'[2]$ зима'!ac709+'[2]$ зима'!ai709+'[2]$ зима'!ao709+'[2]$ зима'!k709</f>
        <v>0</v>
      </c>
      <c r="I709" s="191" t="n">
        <f aca="false">'[2]$ зима'!ay709*1.1</f>
        <v>2772</v>
      </c>
    </row>
    <row r="710" customFormat="false" ht="15" hidden="false" customHeight="false" outlineLevel="0" collapsed="false">
      <c r="A710" s="188" t="s">
        <v>247</v>
      </c>
      <c r="B710" s="149" t="s">
        <v>593</v>
      </c>
      <c r="C710" s="148" t="s">
        <v>3475</v>
      </c>
      <c r="D710" s="148"/>
      <c r="E710" s="192" t="n">
        <v>99</v>
      </c>
      <c r="F710" s="192" t="s">
        <v>634</v>
      </c>
      <c r="G710" s="200" t="s">
        <v>911</v>
      </c>
      <c r="H710" s="105" t="n">
        <f aca="false">'[2]$ зима'!j710-'[2]$ зима'!au710-'[2]$ зима'!at710-'[2]$ зима'!as710-'[2]$ зима'!ar710-'[2]$ зима'!aq710-'[2]$ зима'!ap710-'[2]$ зима'!an710-'[2]$ зима'!am710-'[2]$ зима'!al710-'[2]$ зима'!ak710-'[2]$ зима'!aj710-'[2]$ зима'!ah710-'[2]$ зима'!ag710-'[2]$ зима'!af710-'[2]$ зима'!ae710-'[2]$ зима'!ad710-'[2]$ зима'!ab710-'[2]$ зима'!aa710-'[2]$ зима'!z710-'[2]$ зима'!y710-'[2]$ зима'!x710-'[2]$ зима'!v710-'[2]$ зима'!u710-'[2]$ зима'!t710-'[2]$ зима'!s710-'[2]$ зима'!r710-'[2]$ зима'!p710-'[2]$ зима'!o710-'[2]$ зима'!n710-'[2]$ зима'!m710-'[2]$ зима'!l710+'[2]$ зима'!q710+'[2]$ зима'!w710+'[2]$ зима'!ac710+'[2]$ зима'!ai710+'[2]$ зима'!ao710+'[2]$ зима'!k710</f>
        <v>20</v>
      </c>
      <c r="I710" s="191" t="n">
        <f aca="false">'[2]$ зима'!ay710*1.1</f>
        <v>3234</v>
      </c>
      <c r="J710" s="201" t="n">
        <v>2018</v>
      </c>
    </row>
    <row r="711" customFormat="false" ht="15" hidden="true" customHeight="false" outlineLevel="0" collapsed="false">
      <c r="A711" s="188" t="s">
        <v>247</v>
      </c>
      <c r="B711" s="149" t="s">
        <v>593</v>
      </c>
      <c r="C711" s="148" t="s">
        <v>3476</v>
      </c>
      <c r="D711" s="214" t="s">
        <v>3147</v>
      </c>
      <c r="E711" s="148"/>
      <c r="F711" s="148"/>
      <c r="G711" s="193"/>
      <c r="H711" s="105" t="n">
        <f aca="false">'[2]$ зима'!j711-'[2]$ зима'!au711-'[2]$ зима'!at711-'[2]$ зима'!as711-'[2]$ зима'!ar711-'[2]$ зима'!aq711-'[2]$ зима'!ap711-'[2]$ зима'!an711-'[2]$ зима'!am711-'[2]$ зима'!al711-'[2]$ зима'!ak711-'[2]$ зима'!aj711-'[2]$ зима'!ah711-'[2]$ зима'!ag711-'[2]$ зима'!af711-'[2]$ зима'!ae711-'[2]$ зима'!ad711-'[2]$ зима'!ab711-'[2]$ зима'!aa711-'[2]$ зима'!z711-'[2]$ зима'!y711-'[2]$ зима'!x711-'[2]$ зима'!v711-'[2]$ зима'!u711-'[2]$ зима'!t711-'[2]$ зима'!s711-'[2]$ зима'!r711-'[2]$ зима'!p711-'[2]$ зима'!o711-'[2]$ зима'!n711-'[2]$ зима'!m711-'[2]$ зима'!l711+'[2]$ зима'!q711+'[2]$ зима'!w711+'[2]$ зима'!ac711+'[2]$ зима'!ai711+'[2]$ зима'!ao711+'[2]$ зима'!k711</f>
        <v>0</v>
      </c>
      <c r="I711" s="191" t="n">
        <f aca="false">'[2]$ зима'!ay711*1.1</f>
        <v>4004</v>
      </c>
    </row>
    <row r="712" customFormat="false" ht="15" hidden="false" customHeight="false" outlineLevel="0" collapsed="false">
      <c r="A712" s="188" t="s">
        <v>247</v>
      </c>
      <c r="B712" s="149" t="s">
        <v>593</v>
      </c>
      <c r="C712" s="148" t="s">
        <v>3477</v>
      </c>
      <c r="D712" s="148"/>
      <c r="E712" s="192" t="n">
        <v>99</v>
      </c>
      <c r="F712" s="192" t="s">
        <v>832</v>
      </c>
      <c r="G712" s="193" t="s">
        <v>935</v>
      </c>
      <c r="H712" s="105" t="n">
        <f aca="false">'[2]$ зима'!j712-'[2]$ зима'!au712-'[2]$ зима'!at712-'[2]$ зима'!as712-'[2]$ зима'!ar712-'[2]$ зима'!aq712-'[2]$ зима'!ap712-'[2]$ зима'!an712-'[2]$ зима'!am712-'[2]$ зима'!al712-'[2]$ зима'!ak712-'[2]$ зима'!aj712-'[2]$ зима'!ah712-'[2]$ зима'!ag712-'[2]$ зима'!af712-'[2]$ зима'!ae712-'[2]$ зима'!ad712-'[2]$ зима'!ab712-'[2]$ зима'!aa712-'[2]$ зима'!z712-'[2]$ зима'!y712-'[2]$ зима'!x712-'[2]$ зима'!v712-'[2]$ зима'!u712-'[2]$ зима'!t712-'[2]$ зима'!s712-'[2]$ зима'!r712-'[2]$ зима'!p712-'[2]$ зима'!o712-'[2]$ зима'!n712-'[2]$ зима'!m712-'[2]$ зима'!l712+'[2]$ зима'!q712+'[2]$ зима'!w712+'[2]$ зима'!ac712+'[2]$ зима'!ai712+'[2]$ зима'!ao712+'[2]$ зима'!k712</f>
        <v>8</v>
      </c>
      <c r="I712" s="191" t="n">
        <f aca="false">'[2]$ зима'!ay712*1.1</f>
        <v>3018.4</v>
      </c>
      <c r="J712" s="171" t="n">
        <v>2018</v>
      </c>
    </row>
    <row r="713" customFormat="false" ht="15" hidden="false" customHeight="false" outlineLevel="0" collapsed="false">
      <c r="A713" s="188" t="s">
        <v>247</v>
      </c>
      <c r="B713" s="149" t="s">
        <v>3142</v>
      </c>
      <c r="C713" s="148" t="s">
        <v>3462</v>
      </c>
      <c r="D713" s="148" t="s">
        <v>3127</v>
      </c>
      <c r="E713" s="192"/>
      <c r="F713" s="192"/>
      <c r="G713" s="193"/>
      <c r="H713" s="105" t="n">
        <f aca="false">'[2]$ зима'!j713-'[2]$ зима'!au713-'[2]$ зима'!at713-'[2]$ зима'!as713-'[2]$ зима'!ar713-'[2]$ зима'!aq713-'[2]$ зима'!ap713-'[2]$ зима'!an713-'[2]$ зима'!am713-'[2]$ зима'!al713-'[2]$ зима'!ak713-'[2]$ зима'!aj713-'[2]$ зима'!ah713-'[2]$ зима'!ag713-'[2]$ зима'!af713-'[2]$ зима'!ae713-'[2]$ зима'!ad713-'[2]$ зима'!ab713-'[2]$ зима'!aa713-'[2]$ зима'!z713-'[2]$ зима'!y713-'[2]$ зима'!x713-'[2]$ зима'!v713-'[2]$ зима'!u713-'[2]$ зима'!t713-'[2]$ зима'!s713-'[2]$ зима'!r713-'[2]$ зима'!p713-'[2]$ зима'!o713-'[2]$ зима'!n713-'[2]$ зима'!m713-'[2]$ зима'!l713+'[2]$ зима'!q713+'[2]$ зима'!w713+'[2]$ зима'!ac713+'[2]$ зима'!ai713+'[2]$ зима'!ao713+'[2]$ зима'!k713</f>
        <v>6</v>
      </c>
      <c r="I713" s="191" t="n">
        <f aca="false">'[2]$ зима'!ay713*1.1</f>
        <v>1817.2</v>
      </c>
    </row>
    <row r="714" customFormat="false" ht="15" hidden="false" customHeight="false" outlineLevel="0" collapsed="false">
      <c r="A714" s="188" t="s">
        <v>247</v>
      </c>
      <c r="B714" s="149" t="s">
        <v>3142</v>
      </c>
      <c r="C714" s="148" t="s">
        <v>3222</v>
      </c>
      <c r="D714" s="148" t="s">
        <v>3147</v>
      </c>
      <c r="E714" s="192"/>
      <c r="F714" s="192"/>
      <c r="G714" s="193"/>
      <c r="H714" s="105" t="n">
        <f aca="false">'[2]$ зима'!j714-'[2]$ зима'!au714-'[2]$ зима'!at714-'[2]$ зима'!as714-'[2]$ зима'!ar714-'[2]$ зима'!aq714-'[2]$ зима'!ap714-'[2]$ зима'!an714-'[2]$ зима'!am714-'[2]$ зима'!al714-'[2]$ зима'!ak714-'[2]$ зима'!aj714-'[2]$ зима'!ah714-'[2]$ зима'!ag714-'[2]$ зима'!af714-'[2]$ зима'!ae714-'[2]$ зима'!ad714-'[2]$ зима'!ab714-'[2]$ зима'!aa714-'[2]$ зима'!z714-'[2]$ зима'!y714-'[2]$ зима'!x714-'[2]$ зима'!v714-'[2]$ зима'!u714-'[2]$ зима'!t714-'[2]$ зима'!s714-'[2]$ зима'!r714-'[2]$ зима'!p714-'[2]$ зима'!o714-'[2]$ зима'!n714-'[2]$ зима'!m714-'[2]$ зима'!l714+'[2]$ зима'!q714+'[2]$ зима'!w714+'[2]$ зима'!ac714+'[2]$ зима'!ai714+'[2]$ зима'!ao714+'[2]$ зима'!k714</f>
        <v>2</v>
      </c>
      <c r="I714" s="191" t="n">
        <f aca="false">'[2]$ зима'!ay714*1.1</f>
        <v>2002</v>
      </c>
    </row>
    <row r="715" customFormat="false" ht="15" hidden="true" customHeight="false" outlineLevel="0" collapsed="false">
      <c r="A715" s="188" t="s">
        <v>247</v>
      </c>
      <c r="B715" s="149" t="s">
        <v>3142</v>
      </c>
      <c r="C715" s="148" t="s">
        <v>3478</v>
      </c>
      <c r="D715" s="148"/>
      <c r="E715" s="148"/>
      <c r="F715" s="148"/>
      <c r="G715" s="193"/>
      <c r="H715" s="105" t="n">
        <f aca="false">'[2]$ зима'!j715-'[2]$ зима'!au715-'[2]$ зима'!at715-'[2]$ зима'!as715-'[2]$ зима'!ar715-'[2]$ зима'!aq715-'[2]$ зима'!ap715-'[2]$ зима'!an715-'[2]$ зима'!am715-'[2]$ зима'!al715-'[2]$ зима'!ak715-'[2]$ зима'!aj715-'[2]$ зима'!ah715-'[2]$ зима'!ag715-'[2]$ зима'!af715-'[2]$ зима'!ae715-'[2]$ зима'!ad715-'[2]$ зима'!ab715-'[2]$ зима'!aa715-'[2]$ зима'!z715-'[2]$ зима'!y715-'[2]$ зима'!x715-'[2]$ зима'!v715-'[2]$ зима'!u715-'[2]$ зима'!t715-'[2]$ зима'!s715-'[2]$ зима'!r715-'[2]$ зима'!p715-'[2]$ зима'!o715-'[2]$ зима'!n715-'[2]$ зима'!m715-'[2]$ зима'!l715+'[2]$ зима'!q715+'[2]$ зима'!w715+'[2]$ зима'!ac715+'[2]$ зима'!ai715+'[2]$ зима'!ao715+'[2]$ зима'!k715</f>
        <v>0</v>
      </c>
      <c r="I715" s="191" t="n">
        <f aca="false">'[2]$ зима'!ay715*1.1</f>
        <v>1632.4</v>
      </c>
      <c r="J715" s="171" t="n">
        <v>2014</v>
      </c>
    </row>
    <row r="716" customFormat="false" ht="15" hidden="true" customHeight="false" outlineLevel="0" collapsed="false">
      <c r="A716" s="188" t="s">
        <v>247</v>
      </c>
      <c r="B716" s="149" t="s">
        <v>677</v>
      </c>
      <c r="C716" s="194" t="s">
        <v>3135</v>
      </c>
      <c r="D716" s="148"/>
      <c r="E716" s="148"/>
      <c r="F716" s="148"/>
      <c r="G716" s="193"/>
      <c r="H716" s="105" t="n">
        <f aca="false">'[2]$ зима'!j716-'[2]$ зима'!au716-'[2]$ зима'!at716-'[2]$ зима'!as716-'[2]$ зима'!ar716-'[2]$ зима'!aq716-'[2]$ зима'!ap716-'[2]$ зима'!an716-'[2]$ зима'!am716-'[2]$ зима'!al716-'[2]$ зима'!ak716-'[2]$ зима'!aj716-'[2]$ зима'!ah716-'[2]$ зима'!ag716-'[2]$ зима'!af716-'[2]$ зима'!ae716-'[2]$ зима'!ad716-'[2]$ зима'!ab716-'[2]$ зима'!aa716-'[2]$ зима'!z716-'[2]$ зима'!y716-'[2]$ зима'!x716-'[2]$ зима'!v716-'[2]$ зима'!u716-'[2]$ зима'!t716-'[2]$ зима'!s716-'[2]$ зима'!r716-'[2]$ зима'!p716-'[2]$ зима'!o716-'[2]$ зима'!n716-'[2]$ зима'!m716-'[2]$ зима'!l716+'[2]$ зима'!q716+'[2]$ зима'!w716+'[2]$ зима'!ac716+'[2]$ зима'!ai716+'[2]$ зима'!ao716+'[2]$ зима'!k716</f>
        <v>0</v>
      </c>
      <c r="I716" s="191" t="n">
        <f aca="false">'[2]$ зима'!ay716*1.1</f>
        <v>1355.2</v>
      </c>
    </row>
    <row r="717" customFormat="false" ht="15" hidden="false" customHeight="false" outlineLevel="0" collapsed="false">
      <c r="A717" s="188" t="s">
        <v>247</v>
      </c>
      <c r="B717" s="149" t="s">
        <v>621</v>
      </c>
      <c r="C717" s="148" t="s">
        <v>3307</v>
      </c>
      <c r="D717" s="148"/>
      <c r="E717" s="192" t="n">
        <v>95</v>
      </c>
      <c r="F717" s="192" t="s">
        <v>634</v>
      </c>
      <c r="G717" s="193" t="s">
        <v>520</v>
      </c>
      <c r="H717" s="105" t="n">
        <f aca="false">'[2]$ зима'!j717-'[2]$ зима'!au717-'[2]$ зима'!at717-'[2]$ зима'!as717-'[2]$ зима'!ar717-'[2]$ зима'!aq717-'[2]$ зима'!ap717-'[2]$ зима'!an717-'[2]$ зима'!am717-'[2]$ зима'!al717-'[2]$ зима'!ak717-'[2]$ зима'!aj717-'[2]$ зима'!ah717-'[2]$ зима'!ag717-'[2]$ зима'!af717-'[2]$ зима'!ae717-'[2]$ зима'!ad717-'[2]$ зима'!ab717-'[2]$ зима'!aa717-'[2]$ зима'!z717-'[2]$ зима'!y717-'[2]$ зима'!x717-'[2]$ зима'!v717-'[2]$ зима'!u717-'[2]$ зима'!t717-'[2]$ зима'!s717-'[2]$ зима'!r717-'[2]$ зима'!p717-'[2]$ зима'!o717-'[2]$ зима'!n717-'[2]$ зима'!m717-'[2]$ зима'!l717+'[2]$ зима'!q717+'[2]$ зима'!w717+'[2]$ зима'!ac717+'[2]$ зима'!ai717+'[2]$ зима'!ao717+'[2]$ зима'!k717</f>
        <v>8</v>
      </c>
      <c r="I717" s="191" t="n">
        <f aca="false">'[2]$ зима'!ay717*1.1</f>
        <v>1562</v>
      </c>
      <c r="J717" s="171" t="n">
        <v>2018</v>
      </c>
    </row>
    <row r="718" customFormat="false" ht="15" hidden="true" customHeight="false" outlineLevel="0" collapsed="false">
      <c r="A718" s="188" t="s">
        <v>247</v>
      </c>
      <c r="B718" s="149" t="s">
        <v>623</v>
      </c>
      <c r="C718" s="148" t="s">
        <v>3374</v>
      </c>
      <c r="D718" s="148"/>
      <c r="E718" s="148"/>
      <c r="F718" s="148"/>
      <c r="G718" s="193"/>
      <c r="H718" s="105" t="n">
        <f aca="false">'[2]$ зима'!j718-'[2]$ зима'!au718-'[2]$ зима'!at718-'[2]$ зима'!as718-'[2]$ зима'!ar718-'[2]$ зима'!aq718-'[2]$ зима'!ap718-'[2]$ зима'!an718-'[2]$ зима'!am718-'[2]$ зима'!al718-'[2]$ зима'!ak718-'[2]$ зима'!aj718-'[2]$ зима'!ah718-'[2]$ зима'!ag718-'[2]$ зима'!af718-'[2]$ зима'!ae718-'[2]$ зима'!ad718-'[2]$ зима'!ab718-'[2]$ зима'!aa718-'[2]$ зима'!z718-'[2]$ зима'!y718-'[2]$ зима'!x718-'[2]$ зима'!v718-'[2]$ зима'!u718-'[2]$ зима'!t718-'[2]$ зима'!s718-'[2]$ зима'!r718-'[2]$ зима'!p718-'[2]$ зима'!o718-'[2]$ зима'!n718-'[2]$ зима'!m718-'[2]$ зима'!l718+'[2]$ зима'!q718+'[2]$ зима'!w718+'[2]$ зима'!ac718+'[2]$ зима'!ai718+'[2]$ зима'!ao718+'[2]$ зима'!k718</f>
        <v>0</v>
      </c>
      <c r="I718" s="191" t="n">
        <f aca="false">'[2]$ зима'!ay718*1.1</f>
        <v>1478.4</v>
      </c>
    </row>
    <row r="719" customFormat="false" ht="15" hidden="true" customHeight="false" outlineLevel="0" collapsed="false">
      <c r="A719" s="196" t="s">
        <v>247</v>
      </c>
      <c r="B719" s="149" t="s">
        <v>589</v>
      </c>
      <c r="C719" s="148" t="s">
        <v>3479</v>
      </c>
      <c r="D719" s="148"/>
      <c r="E719" s="148"/>
      <c r="F719" s="148"/>
      <c r="G719" s="193" t="s">
        <v>626</v>
      </c>
      <c r="H719" s="105" t="n">
        <f aca="false">'[2]$ зима'!j719-'[2]$ зима'!au719-'[2]$ зима'!at719-'[2]$ зима'!as719-'[2]$ зима'!ar719-'[2]$ зима'!aq719-'[2]$ зима'!ap719-'[2]$ зима'!an719-'[2]$ зима'!am719-'[2]$ зима'!al719-'[2]$ зима'!ak719-'[2]$ зима'!aj719-'[2]$ зима'!ah719-'[2]$ зима'!ag719-'[2]$ зима'!af719-'[2]$ зима'!ae719-'[2]$ зима'!ad719-'[2]$ зима'!ab719-'[2]$ зима'!aa719-'[2]$ зима'!z719-'[2]$ зима'!y719-'[2]$ зима'!x719-'[2]$ зима'!v719-'[2]$ зима'!u719-'[2]$ зима'!t719-'[2]$ зима'!s719-'[2]$ зима'!r719-'[2]$ зима'!p719-'[2]$ зима'!o719-'[2]$ зима'!n719-'[2]$ зима'!m719-'[2]$ зима'!l719+'[2]$ зима'!q719+'[2]$ зима'!w719+'[2]$ зима'!ac719+'[2]$ зима'!ai719+'[2]$ зима'!ao719+'[2]$ зима'!k719</f>
        <v>0</v>
      </c>
      <c r="I719" s="191" t="n">
        <f aca="false">'[2]$ зима'!ay719*1.1</f>
        <v>2459.27</v>
      </c>
      <c r="J719" s="171" t="n">
        <v>2017</v>
      </c>
    </row>
    <row r="720" customFormat="false" ht="15" hidden="false" customHeight="false" outlineLevel="0" collapsed="false">
      <c r="A720" s="196" t="s">
        <v>247</v>
      </c>
      <c r="B720" s="149" t="s">
        <v>589</v>
      </c>
      <c r="C720" s="148" t="s">
        <v>3259</v>
      </c>
      <c r="D720" s="148"/>
      <c r="E720" s="192" t="n">
        <v>95</v>
      </c>
      <c r="F720" s="192" t="s">
        <v>3207</v>
      </c>
      <c r="G720" s="193" t="s">
        <v>626</v>
      </c>
      <c r="H720" s="105" t="n">
        <f aca="false">'[2]$ зима'!j720-'[2]$ зима'!au720-'[2]$ зима'!at720-'[2]$ зима'!as720-'[2]$ зима'!ar720-'[2]$ зима'!aq720-'[2]$ зима'!ap720-'[2]$ зима'!an720-'[2]$ зима'!am720-'[2]$ зима'!al720-'[2]$ зима'!ak720-'[2]$ зима'!aj720-'[2]$ зима'!ah720-'[2]$ зима'!ag720-'[2]$ зима'!af720-'[2]$ зима'!ae720-'[2]$ зима'!ad720-'[2]$ зима'!ab720-'[2]$ зима'!aa720-'[2]$ зима'!z720-'[2]$ зима'!y720-'[2]$ зима'!x720-'[2]$ зима'!v720-'[2]$ зима'!u720-'[2]$ зима'!t720-'[2]$ зима'!s720-'[2]$ зима'!r720-'[2]$ зима'!p720-'[2]$ зима'!o720-'[2]$ зима'!n720-'[2]$ зима'!m720-'[2]$ зима'!l720+'[2]$ зима'!q720+'[2]$ зима'!w720+'[2]$ зима'!ac720+'[2]$ зима'!ai720+'[2]$ зима'!ao720+'[2]$ зима'!k720</f>
        <v>32</v>
      </c>
      <c r="I720" s="191" t="n">
        <f aca="false">'[2]$ зима'!ay720*1.1</f>
        <v>2717.88</v>
      </c>
      <c r="J720" s="171" t="n">
        <v>2018</v>
      </c>
    </row>
    <row r="721" customFormat="false" ht="15" hidden="false" customHeight="false" outlineLevel="0" collapsed="false">
      <c r="A721" s="196" t="s">
        <v>247</v>
      </c>
      <c r="B721" s="149" t="s">
        <v>564</v>
      </c>
      <c r="C721" s="148" t="s">
        <v>3308</v>
      </c>
      <c r="D721" s="148"/>
      <c r="E721" s="192" t="n">
        <v>95</v>
      </c>
      <c r="F721" s="192" t="s">
        <v>562</v>
      </c>
      <c r="G721" s="193" t="s">
        <v>520</v>
      </c>
      <c r="H721" s="105" t="n">
        <f aca="false">'[2]$ зима'!j721-'[2]$ зима'!au721-'[2]$ зима'!at721-'[2]$ зима'!as721-'[2]$ зима'!ar721-'[2]$ зима'!aq721-'[2]$ зима'!ap721-'[2]$ зима'!an721-'[2]$ зима'!am721-'[2]$ зима'!al721-'[2]$ зима'!ak721-'[2]$ зима'!aj721-'[2]$ зима'!ah721-'[2]$ зима'!ag721-'[2]$ зима'!af721-'[2]$ зима'!ae721-'[2]$ зима'!ad721-'[2]$ зима'!ab721-'[2]$ зима'!aa721-'[2]$ зима'!z721-'[2]$ зима'!y721-'[2]$ зима'!x721-'[2]$ зима'!v721-'[2]$ зима'!u721-'[2]$ зима'!t721-'[2]$ зима'!s721-'[2]$ зима'!r721-'[2]$ зима'!p721-'[2]$ зима'!o721-'[2]$ зима'!n721-'[2]$ зима'!m721-'[2]$ зима'!l721+'[2]$ зима'!q721+'[2]$ зима'!w721+'[2]$ зима'!ac721+'[2]$ зима'!ai721+'[2]$ зима'!ao721+'[2]$ зима'!k721</f>
        <v>4</v>
      </c>
      <c r="I721" s="191" t="n">
        <f aca="false">'[2]$ зима'!ay721*1.1</f>
        <v>1447.6</v>
      </c>
      <c r="J721" s="171" t="n">
        <v>2017</v>
      </c>
    </row>
    <row r="722" customFormat="false" ht="15" hidden="false" customHeight="false" outlineLevel="0" collapsed="false">
      <c r="A722" s="196" t="s">
        <v>247</v>
      </c>
      <c r="B722" s="149" t="s">
        <v>1176</v>
      </c>
      <c r="C722" s="148" t="s">
        <v>3464</v>
      </c>
      <c r="D722" s="148"/>
      <c r="E722" s="192"/>
      <c r="F722" s="192"/>
      <c r="G722" s="193"/>
      <c r="H722" s="105" t="n">
        <f aca="false">'[2]$ зима'!j722-'[2]$ зима'!au722-'[2]$ зима'!at722-'[2]$ зима'!as722-'[2]$ зима'!ar722-'[2]$ зима'!aq722-'[2]$ зима'!ap722-'[2]$ зима'!an722-'[2]$ зима'!am722-'[2]$ зима'!al722-'[2]$ зима'!ak722-'[2]$ зима'!aj722-'[2]$ зима'!ah722-'[2]$ зима'!ag722-'[2]$ зима'!af722-'[2]$ зима'!ae722-'[2]$ зима'!ad722-'[2]$ зима'!ab722-'[2]$ зима'!aa722-'[2]$ зима'!z722-'[2]$ зима'!y722-'[2]$ зима'!x722-'[2]$ зима'!v722-'[2]$ зима'!u722-'[2]$ зима'!t722-'[2]$ зима'!s722-'[2]$ зима'!r722-'[2]$ зима'!p722-'[2]$ зима'!o722-'[2]$ зима'!n722-'[2]$ зима'!m722-'[2]$ зима'!l722+'[2]$ зима'!q722+'[2]$ зима'!w722+'[2]$ зима'!ac722+'[2]$ зима'!ai722+'[2]$ зима'!ao722+'[2]$ зима'!k722</f>
        <v>6</v>
      </c>
      <c r="I722" s="191" t="n">
        <f aca="false">'[2]$ зима'!ay722*1.1</f>
        <v>1509.2</v>
      </c>
    </row>
    <row r="723" customFormat="false" ht="15" hidden="true" customHeight="false" outlineLevel="0" collapsed="false">
      <c r="A723" s="196" t="s">
        <v>247</v>
      </c>
      <c r="B723" s="149" t="s">
        <v>1028</v>
      </c>
      <c r="C723" s="148" t="s">
        <v>3177</v>
      </c>
      <c r="D723" s="148"/>
      <c r="E723" s="148"/>
      <c r="F723" s="148"/>
      <c r="G723" s="193"/>
      <c r="H723" s="105" t="n">
        <f aca="false">'[2]$ зима'!j723-'[2]$ зима'!au723-'[2]$ зима'!at723-'[2]$ зима'!as723-'[2]$ зима'!ar723-'[2]$ зима'!aq723-'[2]$ зима'!ap723-'[2]$ зима'!an723-'[2]$ зима'!am723-'[2]$ зима'!al723-'[2]$ зима'!ak723-'[2]$ зима'!aj723-'[2]$ зима'!ah723-'[2]$ зима'!ag723-'[2]$ зима'!af723-'[2]$ зима'!ae723-'[2]$ зима'!ad723-'[2]$ зима'!ab723-'[2]$ зима'!aa723-'[2]$ зима'!z723-'[2]$ зима'!y723-'[2]$ зима'!x723-'[2]$ зима'!v723-'[2]$ зима'!u723-'[2]$ зима'!t723-'[2]$ зима'!s723-'[2]$ зима'!r723-'[2]$ зима'!p723-'[2]$ зима'!o723-'[2]$ зима'!n723-'[2]$ зима'!m723-'[2]$ зима'!l723+'[2]$ зима'!q723+'[2]$ зима'!w723+'[2]$ зима'!ac723+'[2]$ зима'!ai723+'[2]$ зима'!ao723+'[2]$ зима'!k723</f>
        <v>0</v>
      </c>
      <c r="I723" s="191" t="n">
        <f aca="false">'[2]$ зима'!ay723*1.1</f>
        <v>2310</v>
      </c>
    </row>
    <row r="724" customFormat="false" ht="15" hidden="true" customHeight="false" outlineLevel="0" collapsed="false">
      <c r="A724" s="188" t="s">
        <v>251</v>
      </c>
      <c r="B724" s="149" t="s">
        <v>568</v>
      </c>
      <c r="C724" s="148" t="s">
        <v>3480</v>
      </c>
      <c r="D724" s="148"/>
      <c r="E724" s="148"/>
      <c r="F724" s="148"/>
      <c r="G724" s="193"/>
      <c r="H724" s="105" t="n">
        <f aca="false">'[2]$ зима'!j724-'[2]$ зима'!au724-'[2]$ зима'!at724-'[2]$ зима'!as724-'[2]$ зима'!ar724-'[2]$ зима'!aq724-'[2]$ зима'!ap724-'[2]$ зима'!an724-'[2]$ зима'!am724-'[2]$ зима'!al724-'[2]$ зима'!ak724-'[2]$ зима'!aj724-'[2]$ зима'!ah724-'[2]$ зима'!ag724-'[2]$ зима'!af724-'[2]$ зима'!ae724-'[2]$ зима'!ad724-'[2]$ зима'!ab724-'[2]$ зима'!aa724-'[2]$ зима'!z724-'[2]$ зима'!y724-'[2]$ зима'!x724-'[2]$ зима'!v724-'[2]$ зима'!u724-'[2]$ зима'!t724-'[2]$ зима'!s724-'[2]$ зима'!r724-'[2]$ зима'!p724-'[2]$ зима'!o724-'[2]$ зима'!n724-'[2]$ зима'!m724-'[2]$ зима'!l724+'[2]$ зима'!q724+'[2]$ зима'!w724+'[2]$ зима'!ac724+'[2]$ зима'!ai724+'[2]$ зима'!ao724+'[2]$ зима'!k724</f>
        <v>0</v>
      </c>
      <c r="I724" s="191" t="n">
        <f aca="false">'[2]$ зима'!ay724*1.1</f>
        <v>1601.6</v>
      </c>
    </row>
    <row r="725" customFormat="false" ht="15" hidden="true" customHeight="false" outlineLevel="0" collapsed="false">
      <c r="A725" s="188" t="s">
        <v>251</v>
      </c>
      <c r="B725" s="149" t="s">
        <v>601</v>
      </c>
      <c r="C725" s="148" t="s">
        <v>3481</v>
      </c>
      <c r="D725" s="148"/>
      <c r="E725" s="148"/>
      <c r="F725" s="148"/>
      <c r="G725" s="193"/>
      <c r="H725" s="105" t="n">
        <f aca="false">'[2]$ зима'!j725-'[2]$ зима'!au725-'[2]$ зима'!at725-'[2]$ зима'!as725-'[2]$ зима'!ar725-'[2]$ зима'!aq725-'[2]$ зима'!ap725-'[2]$ зима'!an725-'[2]$ зима'!am725-'[2]$ зима'!al725-'[2]$ зима'!ak725-'[2]$ зима'!aj725-'[2]$ зима'!ah725-'[2]$ зима'!ag725-'[2]$ зима'!af725-'[2]$ зима'!ae725-'[2]$ зима'!ad725-'[2]$ зима'!ab725-'[2]$ зима'!aa725-'[2]$ зима'!z725-'[2]$ зима'!y725-'[2]$ зима'!x725-'[2]$ зима'!v725-'[2]$ зима'!u725-'[2]$ зима'!t725-'[2]$ зима'!s725-'[2]$ зима'!r725-'[2]$ зима'!p725-'[2]$ зима'!o725-'[2]$ зима'!n725-'[2]$ зима'!m725-'[2]$ зима'!l725+'[2]$ зима'!q725+'[2]$ зима'!w725+'[2]$ зима'!ac725+'[2]$ зима'!ai725+'[2]$ зима'!ao725+'[2]$ зима'!k725</f>
        <v>0</v>
      </c>
      <c r="I725" s="191" t="n">
        <f aca="false">'[2]$ зима'!ay725*1.1</f>
        <v>2464</v>
      </c>
    </row>
    <row r="726" customFormat="false" ht="15" hidden="false" customHeight="false" outlineLevel="0" collapsed="false">
      <c r="A726" s="188" t="s">
        <v>251</v>
      </c>
      <c r="B726" s="149" t="s">
        <v>601</v>
      </c>
      <c r="C726" s="148" t="s">
        <v>3482</v>
      </c>
      <c r="D726" s="148"/>
      <c r="E726" s="192"/>
      <c r="F726" s="192"/>
      <c r="G726" s="193"/>
      <c r="H726" s="105" t="n">
        <f aca="false">'[2]$ зима'!j726-'[2]$ зима'!au726-'[2]$ зима'!at726-'[2]$ зима'!as726-'[2]$ зима'!ar726-'[2]$ зима'!aq726-'[2]$ зима'!ap726-'[2]$ зима'!an726-'[2]$ зима'!am726-'[2]$ зима'!al726-'[2]$ зима'!ak726-'[2]$ зима'!aj726-'[2]$ зима'!ah726-'[2]$ зима'!ag726-'[2]$ зима'!af726-'[2]$ зима'!ae726-'[2]$ зима'!ad726-'[2]$ зима'!ab726-'[2]$ зима'!aa726-'[2]$ зима'!z726-'[2]$ зима'!y726-'[2]$ зима'!x726-'[2]$ зима'!v726-'[2]$ зима'!u726-'[2]$ зима'!t726-'[2]$ зима'!s726-'[2]$ зима'!r726-'[2]$ зима'!p726-'[2]$ зима'!o726-'[2]$ зима'!n726-'[2]$ зима'!m726-'[2]$ зима'!l726+'[2]$ зима'!q726+'[2]$ зима'!w726+'[2]$ зима'!ac726+'[2]$ зима'!ai726+'[2]$ зима'!ao726+'[2]$ зима'!k726</f>
        <v>12</v>
      </c>
      <c r="I726" s="191" t="n">
        <f aca="false">'[2]$ зима'!ay726*1.1</f>
        <v>2618</v>
      </c>
      <c r="J726" s="171" t="n">
        <v>2016</v>
      </c>
    </row>
    <row r="727" customFormat="false" ht="15" hidden="false" customHeight="false" outlineLevel="0" collapsed="false">
      <c r="A727" s="188" t="s">
        <v>251</v>
      </c>
      <c r="B727" s="149" t="s">
        <v>601</v>
      </c>
      <c r="C727" s="148" t="s">
        <v>3482</v>
      </c>
      <c r="D727" s="148"/>
      <c r="E727" s="192"/>
      <c r="F727" s="192"/>
      <c r="G727" s="193"/>
      <c r="H727" s="105" t="n">
        <f aca="false">'[2]$ зима'!j727-'[2]$ зима'!au727-'[2]$ зима'!at727-'[2]$ зима'!as727-'[2]$ зима'!ar727-'[2]$ зима'!aq727-'[2]$ зима'!ap727-'[2]$ зима'!an727-'[2]$ зима'!am727-'[2]$ зима'!al727-'[2]$ зима'!ak727-'[2]$ зима'!aj727-'[2]$ зима'!ah727-'[2]$ зима'!ag727-'[2]$ зима'!af727-'[2]$ зима'!ae727-'[2]$ зима'!ad727-'[2]$ зима'!ab727-'[2]$ зима'!aa727-'[2]$ зима'!z727-'[2]$ зима'!y727-'[2]$ зима'!x727-'[2]$ зима'!v727-'[2]$ зима'!u727-'[2]$ зима'!t727-'[2]$ зима'!s727-'[2]$ зима'!r727-'[2]$ зима'!p727-'[2]$ зима'!o727-'[2]$ зима'!n727-'[2]$ зима'!m727-'[2]$ зима'!l727+'[2]$ зима'!q727+'[2]$ зима'!w727+'[2]$ зима'!ac727+'[2]$ зима'!ai727+'[2]$ зима'!ao727+'[2]$ зима'!k727</f>
        <v>4</v>
      </c>
      <c r="I727" s="191" t="n">
        <f aca="false">'[2]$ зима'!ay727*1.1</f>
        <v>2741.2</v>
      </c>
      <c r="J727" s="171" t="n">
        <v>2017</v>
      </c>
    </row>
    <row r="728" customFormat="false" ht="15" hidden="true" customHeight="false" outlineLevel="0" collapsed="false">
      <c r="A728" s="188" t="s">
        <v>251</v>
      </c>
      <c r="B728" s="149" t="s">
        <v>601</v>
      </c>
      <c r="C728" s="148" t="s">
        <v>3483</v>
      </c>
      <c r="D728" s="148"/>
      <c r="E728" s="148" t="n">
        <v>98</v>
      </c>
      <c r="F728" s="148" t="s">
        <v>1455</v>
      </c>
      <c r="G728" s="193"/>
      <c r="H728" s="105" t="n">
        <f aca="false">'[2]$ зима'!j728-'[2]$ зима'!au728-'[2]$ зима'!at728-'[2]$ зима'!as728-'[2]$ зима'!ar728-'[2]$ зима'!aq728-'[2]$ зима'!ap728-'[2]$ зима'!an728-'[2]$ зима'!am728-'[2]$ зима'!al728-'[2]$ зима'!ak728-'[2]$ зима'!aj728-'[2]$ зима'!ah728-'[2]$ зима'!ag728-'[2]$ зима'!af728-'[2]$ зима'!ae728-'[2]$ зима'!ad728-'[2]$ зима'!ab728-'[2]$ зима'!aa728-'[2]$ зима'!z728-'[2]$ зима'!y728-'[2]$ зима'!x728-'[2]$ зима'!v728-'[2]$ зима'!u728-'[2]$ зима'!t728-'[2]$ зима'!s728-'[2]$ зима'!r728-'[2]$ зима'!p728-'[2]$ зима'!o728-'[2]$ зима'!n728-'[2]$ зима'!m728-'[2]$ зима'!l728+'[2]$ зима'!q728+'[2]$ зима'!w728+'[2]$ зима'!ac728+'[2]$ зима'!ai728+'[2]$ зима'!ao728+'[2]$ зима'!k728</f>
        <v>0</v>
      </c>
      <c r="I728" s="191" t="n">
        <f aca="false">'[2]$ зима'!ay728*1.1</f>
        <v>2556.4</v>
      </c>
      <c r="J728" s="171" t="n">
        <v>2017</v>
      </c>
    </row>
    <row r="729" customFormat="false" ht="15" hidden="true" customHeight="false" outlineLevel="0" collapsed="false">
      <c r="A729" s="188" t="s">
        <v>251</v>
      </c>
      <c r="B729" s="149" t="s">
        <v>707</v>
      </c>
      <c r="C729" s="148" t="s">
        <v>3376</v>
      </c>
      <c r="D729" s="148"/>
      <c r="E729" s="148"/>
      <c r="F729" s="148"/>
      <c r="G729" s="193"/>
      <c r="H729" s="105" t="n">
        <f aca="false">'[2]$ зима'!j729-'[2]$ зима'!au729-'[2]$ зима'!at729-'[2]$ зима'!as729-'[2]$ зима'!ar729-'[2]$ зима'!aq729-'[2]$ зима'!ap729-'[2]$ зима'!an729-'[2]$ зима'!am729-'[2]$ зима'!al729-'[2]$ зима'!ak729-'[2]$ зима'!aj729-'[2]$ зима'!ah729-'[2]$ зима'!ag729-'[2]$ зима'!af729-'[2]$ зима'!ae729-'[2]$ зима'!ad729-'[2]$ зима'!ab729-'[2]$ зима'!aa729-'[2]$ зима'!z729-'[2]$ зима'!y729-'[2]$ зима'!x729-'[2]$ зима'!v729-'[2]$ зима'!u729-'[2]$ зима'!t729-'[2]$ зима'!s729-'[2]$ зима'!r729-'[2]$ зима'!p729-'[2]$ зима'!o729-'[2]$ зима'!n729-'[2]$ зима'!m729-'[2]$ зима'!l729+'[2]$ зима'!q729+'[2]$ зима'!w729+'[2]$ зима'!ac729+'[2]$ зима'!ai729+'[2]$ зима'!ao729+'[2]$ зима'!k729</f>
        <v>0</v>
      </c>
      <c r="I729" s="191" t="n">
        <f aca="false">'[2]$ зима'!ay729*1.1</f>
        <v>1848</v>
      </c>
    </row>
    <row r="730" customFormat="false" ht="15" hidden="false" customHeight="false" outlineLevel="0" collapsed="false">
      <c r="A730" s="188" t="s">
        <v>251</v>
      </c>
      <c r="B730" s="149" t="s">
        <v>741</v>
      </c>
      <c r="C730" s="148"/>
      <c r="D730" s="148"/>
      <c r="E730" s="192"/>
      <c r="F730" s="192"/>
      <c r="G730" s="193"/>
      <c r="H730" s="105" t="n">
        <f aca="false">'[2]$ зима'!j730-'[2]$ зима'!au730-'[2]$ зима'!at730-'[2]$ зима'!as730-'[2]$ зима'!ar730-'[2]$ зима'!aq730-'[2]$ зима'!ap730-'[2]$ зима'!an730-'[2]$ зима'!am730-'[2]$ зима'!al730-'[2]$ зима'!ak730-'[2]$ зима'!aj730-'[2]$ зима'!ah730-'[2]$ зима'!ag730-'[2]$ зима'!af730-'[2]$ зима'!ae730-'[2]$ зима'!ad730-'[2]$ зима'!ab730-'[2]$ зима'!aa730-'[2]$ зима'!z730-'[2]$ зима'!y730-'[2]$ зима'!x730-'[2]$ зима'!v730-'[2]$ зима'!u730-'[2]$ зима'!t730-'[2]$ зима'!s730-'[2]$ зима'!r730-'[2]$ зима'!p730-'[2]$ зима'!o730-'[2]$ зима'!n730-'[2]$ зима'!m730-'[2]$ зима'!l730+'[2]$ зима'!q730+'[2]$ зима'!w730+'[2]$ зима'!ac730+'[2]$ зима'!ai730+'[2]$ зима'!ao730+'[2]$ зима'!k730</f>
        <v>2</v>
      </c>
      <c r="I730" s="191" t="n">
        <f aca="false">'[2]$ зима'!ay730*1.1</f>
        <v>1540</v>
      </c>
    </row>
    <row r="731" customFormat="false" ht="15" hidden="false" customHeight="false" outlineLevel="0" collapsed="false">
      <c r="A731" s="188" t="s">
        <v>251</v>
      </c>
      <c r="B731" s="149" t="s">
        <v>3484</v>
      </c>
      <c r="C731" s="148" t="s">
        <v>3485</v>
      </c>
      <c r="D731" s="148"/>
      <c r="E731" s="192" t="n">
        <v>98</v>
      </c>
      <c r="F731" s="192" t="s">
        <v>562</v>
      </c>
      <c r="G731" s="193" t="s">
        <v>520</v>
      </c>
      <c r="H731" s="105" t="n">
        <f aca="false">'[2]$ зима'!j731-'[2]$ зима'!au731-'[2]$ зима'!at731-'[2]$ зима'!as731-'[2]$ зима'!ar731-'[2]$ зима'!aq731-'[2]$ зима'!ap731-'[2]$ зима'!an731-'[2]$ зима'!am731-'[2]$ зима'!al731-'[2]$ зима'!ak731-'[2]$ зима'!aj731-'[2]$ зима'!ah731-'[2]$ зима'!ag731-'[2]$ зима'!af731-'[2]$ зима'!ae731-'[2]$ зима'!ad731-'[2]$ зима'!ab731-'[2]$ зима'!aa731-'[2]$ зима'!z731-'[2]$ зима'!y731-'[2]$ зима'!x731-'[2]$ зима'!v731-'[2]$ зима'!u731-'[2]$ зима'!t731-'[2]$ зима'!s731-'[2]$ зима'!r731-'[2]$ зима'!p731-'[2]$ зима'!o731-'[2]$ зима'!n731-'[2]$ зима'!m731-'[2]$ зима'!l731+'[2]$ зима'!q731+'[2]$ зима'!w731+'[2]$ зима'!ac731+'[2]$ зима'!ai731+'[2]$ зима'!ao731+'[2]$ зима'!k731</f>
        <v>12</v>
      </c>
      <c r="I731" s="191" t="n">
        <f aca="false">'[2]$ зима'!ay731*1.1</f>
        <v>1663.2</v>
      </c>
      <c r="J731" s="171" t="n">
        <v>2018</v>
      </c>
    </row>
    <row r="732" customFormat="false" ht="15" hidden="true" customHeight="false" outlineLevel="0" collapsed="false">
      <c r="A732" s="188" t="s">
        <v>251</v>
      </c>
      <c r="B732" s="198" t="s">
        <v>744</v>
      </c>
      <c r="C732" s="194" t="s">
        <v>3443</v>
      </c>
      <c r="D732" s="148" t="s">
        <v>3127</v>
      </c>
      <c r="E732" s="194"/>
      <c r="F732" s="194"/>
      <c r="G732" s="200"/>
      <c r="H732" s="105" t="n">
        <f aca="false">'[2]$ зима'!j732-'[2]$ зима'!au732-'[2]$ зима'!at732-'[2]$ зима'!as732-'[2]$ зима'!ar732-'[2]$ зима'!aq732-'[2]$ зима'!ap732-'[2]$ зима'!an732-'[2]$ зима'!am732-'[2]$ зима'!al732-'[2]$ зима'!ak732-'[2]$ зима'!aj732-'[2]$ зима'!ah732-'[2]$ зима'!ag732-'[2]$ зима'!af732-'[2]$ зима'!ae732-'[2]$ зима'!ad732-'[2]$ зима'!ab732-'[2]$ зима'!aa732-'[2]$ зима'!z732-'[2]$ зима'!y732-'[2]$ зима'!x732-'[2]$ зима'!v732-'[2]$ зима'!u732-'[2]$ зима'!t732-'[2]$ зима'!s732-'[2]$ зима'!r732-'[2]$ зима'!p732-'[2]$ зима'!o732-'[2]$ зима'!n732-'[2]$ зима'!m732-'[2]$ зима'!l732+'[2]$ зима'!q732+'[2]$ зима'!w732+'[2]$ зима'!ac732+'[2]$ зима'!ai732+'[2]$ зима'!ao732+'[2]$ зима'!k732</f>
        <v>0</v>
      </c>
      <c r="I732" s="191" t="n">
        <f aca="false">'[2]$ зима'!ay732*1.1</f>
        <v>2310</v>
      </c>
      <c r="J732" s="201"/>
    </row>
    <row r="733" customFormat="false" ht="15" hidden="true" customHeight="false" outlineLevel="0" collapsed="false">
      <c r="A733" s="188" t="s">
        <v>251</v>
      </c>
      <c r="B733" s="149" t="s">
        <v>948</v>
      </c>
      <c r="C733" s="148" t="s">
        <v>3215</v>
      </c>
      <c r="D733" s="148"/>
      <c r="E733" s="148"/>
      <c r="F733" s="148"/>
      <c r="G733" s="193"/>
      <c r="H733" s="105" t="n">
        <f aca="false">'[2]$ зима'!j733-'[2]$ зима'!au733-'[2]$ зима'!at733-'[2]$ зима'!as733-'[2]$ зима'!ar733-'[2]$ зима'!aq733-'[2]$ зима'!ap733-'[2]$ зима'!an733-'[2]$ зима'!am733-'[2]$ зима'!al733-'[2]$ зима'!ak733-'[2]$ зима'!aj733-'[2]$ зима'!ah733-'[2]$ зима'!ag733-'[2]$ зима'!af733-'[2]$ зима'!ae733-'[2]$ зима'!ad733-'[2]$ зима'!ab733-'[2]$ зима'!aa733-'[2]$ зима'!z733-'[2]$ зима'!y733-'[2]$ зима'!x733-'[2]$ зима'!v733-'[2]$ зима'!u733-'[2]$ зима'!t733-'[2]$ зима'!s733-'[2]$ зима'!r733-'[2]$ зима'!p733-'[2]$ зима'!o733-'[2]$ зима'!n733-'[2]$ зима'!m733-'[2]$ зима'!l733+'[2]$ зима'!q733+'[2]$ зима'!w733+'[2]$ зима'!ac733+'[2]$ зима'!ai733+'[2]$ зима'!ao733+'[2]$ зима'!k733</f>
        <v>0</v>
      </c>
      <c r="I733" s="191" t="n">
        <f aca="false">'[2]$ зима'!ay733*1.1</f>
        <v>1848</v>
      </c>
    </row>
    <row r="734" customFormat="false" ht="15" hidden="true" customHeight="false" outlineLevel="0" collapsed="false">
      <c r="A734" s="188" t="s">
        <v>251</v>
      </c>
      <c r="B734" s="149" t="s">
        <v>948</v>
      </c>
      <c r="C734" s="148" t="s">
        <v>3486</v>
      </c>
      <c r="D734" s="148"/>
      <c r="E734" s="148"/>
      <c r="F734" s="148"/>
      <c r="G734" s="193"/>
      <c r="H734" s="105" t="n">
        <f aca="false">'[2]$ зима'!j734-'[2]$ зима'!au734-'[2]$ зима'!at734-'[2]$ зима'!as734-'[2]$ зима'!ar734-'[2]$ зима'!aq734-'[2]$ зима'!ap734-'[2]$ зима'!an734-'[2]$ зима'!am734-'[2]$ зима'!al734-'[2]$ зима'!ak734-'[2]$ зима'!aj734-'[2]$ зима'!ah734-'[2]$ зима'!ag734-'[2]$ зима'!af734-'[2]$ зима'!ae734-'[2]$ зима'!ad734-'[2]$ зима'!ab734-'[2]$ зима'!aa734-'[2]$ зима'!z734-'[2]$ зима'!y734-'[2]$ зима'!x734-'[2]$ зима'!v734-'[2]$ зима'!u734-'[2]$ зима'!t734-'[2]$ зима'!s734-'[2]$ зима'!r734-'[2]$ зима'!p734-'[2]$ зима'!o734-'[2]$ зима'!n734-'[2]$ зима'!m734-'[2]$ зима'!l734+'[2]$ зима'!q734+'[2]$ зима'!w734+'[2]$ зима'!ac734+'[2]$ зима'!ai734+'[2]$ зима'!ao734+'[2]$ зима'!k734</f>
        <v>0</v>
      </c>
      <c r="I734" s="191" t="n">
        <f aca="false">'[2]$ зима'!ay734*1.1</f>
        <v>2926</v>
      </c>
    </row>
    <row r="735" customFormat="false" ht="15" hidden="true" customHeight="false" outlineLevel="0" collapsed="false">
      <c r="A735" s="188" t="s">
        <v>251</v>
      </c>
      <c r="B735" s="149" t="s">
        <v>948</v>
      </c>
      <c r="C735" s="148" t="s">
        <v>3487</v>
      </c>
      <c r="D735" s="148"/>
      <c r="E735" s="148"/>
      <c r="F735" s="148"/>
      <c r="G735" s="193" t="s">
        <v>1432</v>
      </c>
      <c r="H735" s="105" t="n">
        <f aca="false">'[2]$ зима'!j735-'[2]$ зима'!au735-'[2]$ зима'!at735-'[2]$ зима'!as735-'[2]$ зима'!ar735-'[2]$ зима'!aq735-'[2]$ зима'!ap735-'[2]$ зима'!an735-'[2]$ зима'!am735-'[2]$ зима'!al735-'[2]$ зима'!ak735-'[2]$ зима'!aj735-'[2]$ зима'!ah735-'[2]$ зима'!ag735-'[2]$ зима'!af735-'[2]$ зима'!ae735-'[2]$ зима'!ad735-'[2]$ зима'!ab735-'[2]$ зима'!aa735-'[2]$ зима'!z735-'[2]$ зима'!y735-'[2]$ зима'!x735-'[2]$ зима'!v735-'[2]$ зима'!u735-'[2]$ зима'!t735-'[2]$ зима'!s735-'[2]$ зима'!r735-'[2]$ зима'!p735-'[2]$ зима'!o735-'[2]$ зима'!n735-'[2]$ зима'!m735-'[2]$ зима'!l735+'[2]$ зима'!q735+'[2]$ зима'!w735+'[2]$ зима'!ac735+'[2]$ зима'!ai735+'[2]$ зима'!ao735+'[2]$ зима'!k735</f>
        <v>0</v>
      </c>
      <c r="I735" s="191" t="n">
        <f aca="false">'[2]$ зима'!ay735*1.1</f>
        <v>1848</v>
      </c>
    </row>
    <row r="736" customFormat="false" ht="15" hidden="true" customHeight="false" outlineLevel="0" collapsed="false">
      <c r="A736" s="188" t="s">
        <v>251</v>
      </c>
      <c r="B736" s="149" t="s">
        <v>606</v>
      </c>
      <c r="C736" s="148" t="s">
        <v>3488</v>
      </c>
      <c r="D736" s="148"/>
      <c r="E736" s="148" t="n">
        <v>98</v>
      </c>
      <c r="F736" s="148" t="s">
        <v>634</v>
      </c>
      <c r="G736" s="193"/>
      <c r="H736" s="105" t="n">
        <f aca="false">'[2]$ зима'!j736-'[2]$ зима'!au736-'[2]$ зима'!at736-'[2]$ зима'!as736-'[2]$ зима'!ar736-'[2]$ зима'!aq736-'[2]$ зима'!ap736-'[2]$ зима'!an736-'[2]$ зима'!am736-'[2]$ зима'!al736-'[2]$ зима'!ak736-'[2]$ зима'!aj736-'[2]$ зима'!ah736-'[2]$ зима'!ag736-'[2]$ зима'!af736-'[2]$ зима'!ae736-'[2]$ зима'!ad736-'[2]$ зима'!ab736-'[2]$ зима'!aa736-'[2]$ зима'!z736-'[2]$ зима'!y736-'[2]$ зима'!x736-'[2]$ зима'!v736-'[2]$ зима'!u736-'[2]$ зима'!t736-'[2]$ зима'!s736-'[2]$ зима'!r736-'[2]$ зима'!p736-'[2]$ зима'!o736-'[2]$ зима'!n736-'[2]$ зима'!m736-'[2]$ зима'!l736+'[2]$ зима'!q736+'[2]$ зима'!w736+'[2]$ зима'!ac736+'[2]$ зима'!ai736+'[2]$ зима'!ao736+'[2]$ зима'!k736</f>
        <v>0</v>
      </c>
      <c r="I736" s="191" t="n">
        <f aca="false">'[2]$ зима'!ay736*1.1</f>
        <v>2002</v>
      </c>
    </row>
    <row r="737" customFormat="false" ht="15" hidden="false" customHeight="false" outlineLevel="0" collapsed="false">
      <c r="A737" s="188" t="s">
        <v>251</v>
      </c>
      <c r="B737" s="149" t="s">
        <v>606</v>
      </c>
      <c r="C737" s="148" t="s">
        <v>3155</v>
      </c>
      <c r="D737" s="148"/>
      <c r="E737" s="192"/>
      <c r="F737" s="192" t="s">
        <v>3286</v>
      </c>
      <c r="G737" s="193" t="s">
        <v>609</v>
      </c>
      <c r="H737" s="105" t="n">
        <f aca="false">'[2]$ зима'!j737-'[2]$ зима'!au737-'[2]$ зима'!at737-'[2]$ зима'!as737-'[2]$ зима'!ar737-'[2]$ зима'!aq737-'[2]$ зима'!ap737-'[2]$ зима'!an737-'[2]$ зима'!am737-'[2]$ зима'!al737-'[2]$ зима'!ak737-'[2]$ зима'!aj737-'[2]$ зима'!ah737-'[2]$ зима'!ag737-'[2]$ зима'!af737-'[2]$ зима'!ae737-'[2]$ зима'!ad737-'[2]$ зима'!ab737-'[2]$ зима'!aa737-'[2]$ зима'!z737-'[2]$ зима'!y737-'[2]$ зима'!x737-'[2]$ зима'!v737-'[2]$ зима'!u737-'[2]$ зима'!t737-'[2]$ зима'!s737-'[2]$ зима'!r737-'[2]$ зима'!p737-'[2]$ зима'!o737-'[2]$ зима'!n737-'[2]$ зима'!m737-'[2]$ зима'!l737+'[2]$ зима'!q737+'[2]$ зима'!w737+'[2]$ зима'!ac737+'[2]$ зима'!ai737+'[2]$ зима'!ao737+'[2]$ зима'!k737</f>
        <v>4</v>
      </c>
      <c r="I737" s="191" t="n">
        <f aca="false">'[2]$ зима'!ay737*1.1</f>
        <v>2063.6</v>
      </c>
      <c r="J737" s="171" t="n">
        <v>2018</v>
      </c>
    </row>
    <row r="738" customFormat="false" ht="15" hidden="false" customHeight="false" outlineLevel="0" collapsed="false">
      <c r="A738" s="188" t="s">
        <v>251</v>
      </c>
      <c r="B738" s="149" t="s">
        <v>606</v>
      </c>
      <c r="C738" s="148" t="s">
        <v>3231</v>
      </c>
      <c r="D738" s="148"/>
      <c r="E738" s="192" t="n">
        <v>102</v>
      </c>
      <c r="F738" s="192" t="s">
        <v>562</v>
      </c>
      <c r="G738" s="193" t="s">
        <v>609</v>
      </c>
      <c r="H738" s="105" t="n">
        <f aca="false">'[2]$ зима'!j738-'[2]$ зима'!au738-'[2]$ зима'!at738-'[2]$ зима'!as738-'[2]$ зима'!ar738-'[2]$ зима'!aq738-'[2]$ зима'!ap738-'[2]$ зима'!an738-'[2]$ зима'!am738-'[2]$ зима'!al738-'[2]$ зима'!ak738-'[2]$ зима'!aj738-'[2]$ зима'!ah738-'[2]$ зима'!ag738-'[2]$ зима'!af738-'[2]$ зима'!ae738-'[2]$ зима'!ad738-'[2]$ зима'!ab738-'[2]$ зима'!aa738-'[2]$ зима'!z738-'[2]$ зима'!y738-'[2]$ зима'!x738-'[2]$ зима'!v738-'[2]$ зима'!u738-'[2]$ зима'!t738-'[2]$ зима'!s738-'[2]$ зима'!r738-'[2]$ зима'!p738-'[2]$ зима'!o738-'[2]$ зима'!n738-'[2]$ зима'!m738-'[2]$ зима'!l738+'[2]$ зима'!q738+'[2]$ зима'!w738+'[2]$ зима'!ac738+'[2]$ зима'!ai738+'[2]$ зима'!ao738+'[2]$ зима'!k738</f>
        <v>8</v>
      </c>
      <c r="I738" s="191" t="n">
        <f aca="false">'[2]$ зима'!ay738*1.1</f>
        <v>2063.6</v>
      </c>
      <c r="J738" s="171" t="n">
        <v>2018</v>
      </c>
    </row>
    <row r="739" customFormat="false" ht="15" hidden="true" customHeight="false" outlineLevel="0" collapsed="false">
      <c r="A739" s="188" t="s">
        <v>251</v>
      </c>
      <c r="B739" s="149" t="s">
        <v>1905</v>
      </c>
      <c r="C739" s="148" t="s">
        <v>3457</v>
      </c>
      <c r="D739" s="148"/>
      <c r="E739" s="148"/>
      <c r="F739" s="148"/>
      <c r="G739" s="193"/>
      <c r="H739" s="105" t="n">
        <f aca="false">'[2]$ зима'!j739-'[2]$ зима'!au739-'[2]$ зима'!at739-'[2]$ зима'!as739-'[2]$ зима'!ar739-'[2]$ зима'!aq739-'[2]$ зима'!ap739-'[2]$ зима'!an739-'[2]$ зима'!am739-'[2]$ зима'!al739-'[2]$ зима'!ak739-'[2]$ зима'!aj739-'[2]$ зима'!ah739-'[2]$ зима'!ag739-'[2]$ зима'!af739-'[2]$ зима'!ae739-'[2]$ зима'!ad739-'[2]$ зима'!ab739-'[2]$ зима'!aa739-'[2]$ зима'!z739-'[2]$ зима'!y739-'[2]$ зима'!x739-'[2]$ зима'!v739-'[2]$ зима'!u739-'[2]$ зима'!t739-'[2]$ зима'!s739-'[2]$ зима'!r739-'[2]$ зима'!p739-'[2]$ зима'!o739-'[2]$ зима'!n739-'[2]$ зима'!m739-'[2]$ зима'!l739+'[2]$ зима'!q739+'[2]$ зима'!w739+'[2]$ зима'!ac739+'[2]$ зима'!ai739+'[2]$ зима'!ao739+'[2]$ зима'!k739</f>
        <v>0</v>
      </c>
      <c r="I739" s="191" t="n">
        <f aca="false">'[2]$ зима'!ay739*1.1</f>
        <v>1540</v>
      </c>
    </row>
    <row r="740" customFormat="false" ht="15" hidden="false" customHeight="false" outlineLevel="0" collapsed="false">
      <c r="A740" s="188" t="s">
        <v>251</v>
      </c>
      <c r="B740" s="149" t="s">
        <v>666</v>
      </c>
      <c r="C740" s="148" t="s">
        <v>3489</v>
      </c>
      <c r="D740" s="148"/>
      <c r="E740" s="192"/>
      <c r="F740" s="192"/>
      <c r="G740" s="193" t="s">
        <v>631</v>
      </c>
      <c r="H740" s="105" t="n">
        <f aca="false">'[2]$ зима'!j740-'[2]$ зима'!au740-'[2]$ зима'!at740-'[2]$ зима'!as740-'[2]$ зима'!ar740-'[2]$ зима'!aq740-'[2]$ зима'!ap740-'[2]$ зима'!an740-'[2]$ зима'!am740-'[2]$ зима'!al740-'[2]$ зима'!ak740-'[2]$ зима'!aj740-'[2]$ зима'!ah740-'[2]$ зима'!ag740-'[2]$ зима'!af740-'[2]$ зима'!ae740-'[2]$ зима'!ad740-'[2]$ зима'!ab740-'[2]$ зима'!aa740-'[2]$ зима'!z740-'[2]$ зима'!y740-'[2]$ зима'!x740-'[2]$ зима'!v740-'[2]$ зима'!u740-'[2]$ зима'!t740-'[2]$ зима'!s740-'[2]$ зима'!r740-'[2]$ зима'!p740-'[2]$ зима'!o740-'[2]$ зима'!n740-'[2]$ зима'!m740-'[2]$ зима'!l740+'[2]$ зима'!q740+'[2]$ зима'!w740+'[2]$ зима'!ac740+'[2]$ зима'!ai740+'[2]$ зима'!ao740+'[2]$ зима'!k740</f>
        <v>2</v>
      </c>
      <c r="I740" s="191" t="n">
        <f aca="false">'[2]$ зима'!ay740*1.1</f>
        <v>1848</v>
      </c>
      <c r="J740" s="171" t="n">
        <v>2017</v>
      </c>
    </row>
    <row r="741" customFormat="false" ht="15" hidden="false" customHeight="false" outlineLevel="0" collapsed="false">
      <c r="A741" s="188" t="s">
        <v>251</v>
      </c>
      <c r="B741" s="149" t="s">
        <v>668</v>
      </c>
      <c r="C741" s="148" t="s">
        <v>3247</v>
      </c>
      <c r="D741" s="148" t="s">
        <v>3127</v>
      </c>
      <c r="E741" s="192"/>
      <c r="F741" s="192"/>
      <c r="G741" s="193"/>
      <c r="H741" s="105" t="n">
        <f aca="false">'[2]$ зима'!j741-'[2]$ зима'!au741-'[2]$ зима'!at741-'[2]$ зима'!as741-'[2]$ зима'!ar741-'[2]$ зима'!aq741-'[2]$ зима'!ap741-'[2]$ зима'!an741-'[2]$ зима'!am741-'[2]$ зима'!al741-'[2]$ зима'!ak741-'[2]$ зима'!aj741-'[2]$ зима'!ah741-'[2]$ зима'!ag741-'[2]$ зима'!af741-'[2]$ зима'!ae741-'[2]$ зима'!ad741-'[2]$ зима'!ab741-'[2]$ зима'!aa741-'[2]$ зима'!z741-'[2]$ зима'!y741-'[2]$ зима'!x741-'[2]$ зима'!v741-'[2]$ зима'!u741-'[2]$ зима'!t741-'[2]$ зима'!s741-'[2]$ зима'!r741-'[2]$ зима'!p741-'[2]$ зима'!o741-'[2]$ зима'!n741-'[2]$ зима'!m741-'[2]$ зима'!l741+'[2]$ зима'!q741+'[2]$ зима'!w741+'[2]$ зима'!ac741+'[2]$ зима'!ai741+'[2]$ зима'!ao741+'[2]$ зима'!k741</f>
        <v>4</v>
      </c>
      <c r="I741" s="191" t="n">
        <f aca="false">'[2]$ зима'!ay741*1.1</f>
        <v>1909.6</v>
      </c>
    </row>
    <row r="742" customFormat="false" ht="15" hidden="false" customHeight="false" outlineLevel="0" collapsed="false">
      <c r="A742" s="188" t="s">
        <v>251</v>
      </c>
      <c r="B742" s="149" t="s">
        <v>668</v>
      </c>
      <c r="C742" s="194" t="s">
        <v>3182</v>
      </c>
      <c r="D742" s="194"/>
      <c r="E742" s="195"/>
      <c r="F742" s="195"/>
      <c r="G742" s="193" t="s">
        <v>609</v>
      </c>
      <c r="H742" s="105" t="n">
        <f aca="false">'[2]$ зима'!j742-'[2]$ зима'!au742-'[2]$ зима'!at742-'[2]$ зима'!as742-'[2]$ зима'!ar742-'[2]$ зима'!aq742-'[2]$ зима'!ap742-'[2]$ зима'!an742-'[2]$ зима'!am742-'[2]$ зима'!al742-'[2]$ зима'!ak742-'[2]$ зима'!aj742-'[2]$ зима'!ah742-'[2]$ зима'!ag742-'[2]$ зима'!af742-'[2]$ зима'!ae742-'[2]$ зима'!ad742-'[2]$ зима'!ab742-'[2]$ зима'!aa742-'[2]$ зима'!z742-'[2]$ зима'!y742-'[2]$ зима'!x742-'[2]$ зима'!v742-'[2]$ зима'!u742-'[2]$ зима'!t742-'[2]$ зима'!s742-'[2]$ зима'!r742-'[2]$ зима'!p742-'[2]$ зима'!o742-'[2]$ зима'!n742-'[2]$ зима'!m742-'[2]$ зима'!l742+'[2]$ зима'!q742+'[2]$ зима'!w742+'[2]$ зима'!ac742+'[2]$ зима'!ai742+'[2]$ зима'!ao742+'[2]$ зима'!k742</f>
        <v>8</v>
      </c>
      <c r="I742" s="191" t="n">
        <f aca="false">'[2]$ зима'!ay742*1.1</f>
        <v>1909.6</v>
      </c>
      <c r="J742" s="171" t="n">
        <v>2018</v>
      </c>
    </row>
    <row r="743" customFormat="false" ht="15" hidden="false" customHeight="false" outlineLevel="0" collapsed="false">
      <c r="A743" s="188" t="s">
        <v>251</v>
      </c>
      <c r="B743" s="149" t="s">
        <v>574</v>
      </c>
      <c r="C743" s="148" t="s">
        <v>3199</v>
      </c>
      <c r="D743" s="148"/>
      <c r="E743" s="192" t="n">
        <v>98</v>
      </c>
      <c r="F743" s="192" t="s">
        <v>634</v>
      </c>
      <c r="G743" s="193" t="s">
        <v>576</v>
      </c>
      <c r="H743" s="105" t="n">
        <f aca="false">'[2]$ зима'!j743-'[2]$ зима'!au743-'[2]$ зима'!at743-'[2]$ зима'!as743-'[2]$ зима'!ar743-'[2]$ зима'!aq743-'[2]$ зима'!ap743-'[2]$ зима'!an743-'[2]$ зима'!am743-'[2]$ зима'!al743-'[2]$ зима'!ak743-'[2]$ зима'!aj743-'[2]$ зима'!ah743-'[2]$ зима'!ag743-'[2]$ зима'!af743-'[2]$ зима'!ae743-'[2]$ зима'!ad743-'[2]$ зима'!ab743-'[2]$ зима'!aa743-'[2]$ зима'!z743-'[2]$ зима'!y743-'[2]$ зима'!x743-'[2]$ зима'!v743-'[2]$ зима'!u743-'[2]$ зима'!t743-'[2]$ зима'!s743-'[2]$ зима'!r743-'[2]$ зима'!p743-'[2]$ зима'!o743-'[2]$ зима'!n743-'[2]$ зима'!m743-'[2]$ зима'!l743+'[2]$ зима'!q743+'[2]$ зима'!w743+'[2]$ зима'!ac743+'[2]$ зима'!ai743+'[2]$ зима'!ao743+'[2]$ зима'!k743</f>
        <v>2</v>
      </c>
      <c r="I743" s="191" t="n">
        <f aca="false">'[2]$ зима'!ay743*1.1</f>
        <v>1905.64</v>
      </c>
      <c r="J743" s="171" t="n">
        <v>2017</v>
      </c>
    </row>
    <row r="744" customFormat="false" ht="15" hidden="false" customHeight="false" outlineLevel="0" collapsed="false">
      <c r="A744" s="188" t="s">
        <v>251</v>
      </c>
      <c r="B744" s="149" t="s">
        <v>574</v>
      </c>
      <c r="C744" s="148" t="s">
        <v>3249</v>
      </c>
      <c r="D744" s="148"/>
      <c r="E744" s="192" t="n">
        <v>98</v>
      </c>
      <c r="F744" s="192" t="s">
        <v>562</v>
      </c>
      <c r="G744" s="193" t="s">
        <v>576</v>
      </c>
      <c r="H744" s="105" t="n">
        <f aca="false">'[2]$ зима'!j744-'[2]$ зима'!au744-'[2]$ зима'!at744-'[2]$ зима'!as744-'[2]$ зима'!ar744-'[2]$ зима'!aq744-'[2]$ зима'!ap744-'[2]$ зима'!an744-'[2]$ зима'!am744-'[2]$ зима'!al744-'[2]$ зима'!ak744-'[2]$ зима'!aj744-'[2]$ зима'!ah744-'[2]$ зима'!ag744-'[2]$ зима'!af744-'[2]$ зима'!ae744-'[2]$ зима'!ad744-'[2]$ зима'!ab744-'[2]$ зима'!aa744-'[2]$ зима'!z744-'[2]$ зима'!y744-'[2]$ зима'!x744-'[2]$ зима'!v744-'[2]$ зима'!u744-'[2]$ зима'!t744-'[2]$ зима'!s744-'[2]$ зима'!r744-'[2]$ зима'!p744-'[2]$ зима'!o744-'[2]$ зима'!n744-'[2]$ зима'!m744-'[2]$ зима'!l744+'[2]$ зима'!q744+'[2]$ зима'!w744+'[2]$ зима'!ac744+'[2]$ зима'!ai744+'[2]$ зима'!ao744+'[2]$ зима'!k744</f>
        <v>18</v>
      </c>
      <c r="I744" s="191" t="n">
        <f aca="false">'[2]$ зима'!ay744*1.1</f>
        <v>2030.6</v>
      </c>
      <c r="J744" s="171" t="n">
        <v>2018</v>
      </c>
    </row>
    <row r="745" customFormat="false" ht="15" hidden="false" customHeight="false" outlineLevel="0" collapsed="false">
      <c r="A745" s="188" t="s">
        <v>251</v>
      </c>
      <c r="B745" s="149" t="s">
        <v>577</v>
      </c>
      <c r="C745" s="148" t="s">
        <v>3164</v>
      </c>
      <c r="D745" s="148"/>
      <c r="E745" s="192" t="n">
        <v>98</v>
      </c>
      <c r="F745" s="192" t="s">
        <v>634</v>
      </c>
      <c r="G745" s="193" t="s">
        <v>563</v>
      </c>
      <c r="H745" s="105" t="n">
        <f aca="false">'[2]$ зима'!j745-'[2]$ зима'!au745-'[2]$ зима'!at745-'[2]$ зима'!as745-'[2]$ зима'!ar745-'[2]$ зима'!aq745-'[2]$ зима'!ap745-'[2]$ зима'!an745-'[2]$ зима'!am745-'[2]$ зима'!al745-'[2]$ зима'!ak745-'[2]$ зима'!aj745-'[2]$ зима'!ah745-'[2]$ зима'!ag745-'[2]$ зима'!af745-'[2]$ зима'!ae745-'[2]$ зима'!ad745-'[2]$ зима'!ab745-'[2]$ зима'!aa745-'[2]$ зима'!z745-'[2]$ зима'!y745-'[2]$ зима'!x745-'[2]$ зима'!v745-'[2]$ зима'!u745-'[2]$ зима'!t745-'[2]$ зима'!s745-'[2]$ зима'!r745-'[2]$ зима'!p745-'[2]$ зима'!o745-'[2]$ зима'!n745-'[2]$ зима'!m745-'[2]$ зима'!l745+'[2]$ зима'!q745+'[2]$ зима'!w745+'[2]$ зима'!ac745+'[2]$ зима'!ai745+'[2]$ зима'!ao745+'[2]$ зима'!k745</f>
        <v>4</v>
      </c>
      <c r="I745" s="191" t="n">
        <f aca="false">'[2]$ зима'!ay745*1.1</f>
        <v>1694</v>
      </c>
    </row>
    <row r="746" customFormat="false" ht="15" hidden="true" customHeight="false" outlineLevel="0" collapsed="false">
      <c r="A746" s="188" t="s">
        <v>251</v>
      </c>
      <c r="B746" s="149" t="s">
        <v>577</v>
      </c>
      <c r="C746" s="148" t="s">
        <v>3490</v>
      </c>
      <c r="D746" s="148" t="s">
        <v>3127</v>
      </c>
      <c r="E746" s="148" t="n">
        <v>98</v>
      </c>
      <c r="F746" s="148" t="s">
        <v>562</v>
      </c>
      <c r="G746" s="193" t="s">
        <v>563</v>
      </c>
      <c r="H746" s="105" t="n">
        <f aca="false">'[2]$ зима'!j746-'[2]$ зима'!au746-'[2]$ зима'!at746-'[2]$ зима'!as746-'[2]$ зима'!ar746-'[2]$ зима'!aq746-'[2]$ зима'!ap746-'[2]$ зима'!an746-'[2]$ зима'!am746-'[2]$ зима'!al746-'[2]$ зима'!ak746-'[2]$ зима'!aj746-'[2]$ зима'!ah746-'[2]$ зима'!ag746-'[2]$ зима'!af746-'[2]$ зима'!ae746-'[2]$ зима'!ad746-'[2]$ зима'!ab746-'[2]$ зима'!aa746-'[2]$ зима'!z746-'[2]$ зима'!y746-'[2]$ зима'!x746-'[2]$ зима'!v746-'[2]$ зима'!u746-'[2]$ зима'!t746-'[2]$ зима'!s746-'[2]$ зима'!r746-'[2]$ зима'!p746-'[2]$ зима'!o746-'[2]$ зима'!n746-'[2]$ зима'!m746-'[2]$ зима'!l746+'[2]$ зима'!q746+'[2]$ зима'!w746+'[2]$ зима'!ac746+'[2]$ зима'!ai746+'[2]$ зима'!ao746+'[2]$ зима'!k746</f>
        <v>0</v>
      </c>
      <c r="I746" s="191" t="n">
        <f aca="false">'[2]$ зима'!ay746*1.1</f>
        <v>1694</v>
      </c>
    </row>
    <row r="747" customFormat="false" ht="15" hidden="true" customHeight="false" outlineLevel="0" collapsed="false">
      <c r="A747" s="188" t="s">
        <v>251</v>
      </c>
      <c r="B747" s="149" t="s">
        <v>1471</v>
      </c>
      <c r="C747" s="148" t="s">
        <v>3491</v>
      </c>
      <c r="D747" s="148"/>
      <c r="E747" s="148" t="n">
        <v>102</v>
      </c>
      <c r="F747" s="148" t="s">
        <v>3220</v>
      </c>
      <c r="G747" s="193" t="s">
        <v>609</v>
      </c>
      <c r="H747" s="105" t="n">
        <f aca="false">'[2]$ зима'!j747-'[2]$ зима'!au747-'[2]$ зима'!at747-'[2]$ зима'!as747-'[2]$ зима'!ar747-'[2]$ зима'!aq747-'[2]$ зима'!ap747-'[2]$ зима'!an747-'[2]$ зима'!am747-'[2]$ зима'!al747-'[2]$ зима'!ak747-'[2]$ зима'!aj747-'[2]$ зима'!ah747-'[2]$ зима'!ag747-'[2]$ зима'!af747-'[2]$ зима'!ae747-'[2]$ зима'!ad747-'[2]$ зима'!ab747-'[2]$ зима'!aa747-'[2]$ зима'!z747-'[2]$ зима'!y747-'[2]$ зима'!x747-'[2]$ зима'!v747-'[2]$ зима'!u747-'[2]$ зима'!t747-'[2]$ зима'!s747-'[2]$ зима'!r747-'[2]$ зима'!p747-'[2]$ зима'!o747-'[2]$ зима'!n747-'[2]$ зима'!m747-'[2]$ зима'!l747+'[2]$ зима'!q747+'[2]$ зима'!w747+'[2]$ зима'!ac747+'[2]$ зима'!ai747+'[2]$ зима'!ao747+'[2]$ зима'!k747</f>
        <v>0</v>
      </c>
      <c r="I747" s="191" t="n">
        <f aca="false">'[2]$ зима'!ay747*1.1</f>
        <v>1940.4</v>
      </c>
      <c r="J747" s="171" t="n">
        <v>2018</v>
      </c>
    </row>
    <row r="748" customFormat="false" ht="15" hidden="true" customHeight="false" outlineLevel="0" collapsed="false">
      <c r="A748" s="188" t="s">
        <v>251</v>
      </c>
      <c r="B748" s="149" t="s">
        <v>583</v>
      </c>
      <c r="C748" s="148" t="s">
        <v>3303</v>
      </c>
      <c r="D748" s="148"/>
      <c r="E748" s="148"/>
      <c r="F748" s="148"/>
      <c r="G748" s="193"/>
      <c r="H748" s="105" t="n">
        <f aca="false">'[2]$ зима'!j748-'[2]$ зима'!au748-'[2]$ зима'!at748-'[2]$ зима'!as748-'[2]$ зима'!ar748-'[2]$ зима'!aq748-'[2]$ зима'!ap748-'[2]$ зима'!an748-'[2]$ зима'!am748-'[2]$ зима'!al748-'[2]$ зима'!ak748-'[2]$ зима'!aj748-'[2]$ зима'!ah748-'[2]$ зима'!ag748-'[2]$ зима'!af748-'[2]$ зима'!ae748-'[2]$ зима'!ad748-'[2]$ зима'!ab748-'[2]$ зима'!aa748-'[2]$ зима'!z748-'[2]$ зима'!y748-'[2]$ зима'!x748-'[2]$ зима'!v748-'[2]$ зима'!u748-'[2]$ зима'!t748-'[2]$ зима'!s748-'[2]$ зима'!r748-'[2]$ зима'!p748-'[2]$ зима'!o748-'[2]$ зима'!n748-'[2]$ зима'!m748-'[2]$ зима'!l748+'[2]$ зима'!q748+'[2]$ зима'!w748+'[2]$ зима'!ac748+'[2]$ зима'!ai748+'[2]$ зима'!ao748+'[2]$ зима'!k748</f>
        <v>0</v>
      </c>
      <c r="I748" s="191" t="n">
        <f aca="false">'[2]$ зима'!ay748*1.1</f>
        <v>1755.6</v>
      </c>
    </row>
    <row r="749" customFormat="false" ht="15" hidden="false" customHeight="false" outlineLevel="0" collapsed="false">
      <c r="A749" s="188" t="s">
        <v>251</v>
      </c>
      <c r="B749" s="149" t="s">
        <v>593</v>
      </c>
      <c r="C749" s="148" t="s">
        <v>3236</v>
      </c>
      <c r="D749" s="148"/>
      <c r="E749" s="192"/>
      <c r="F749" s="192"/>
      <c r="G749" s="193"/>
      <c r="H749" s="105" t="n">
        <f aca="false">'[2]$ зима'!j749-'[2]$ зима'!au749-'[2]$ зима'!at749-'[2]$ зима'!as749-'[2]$ зима'!ar749-'[2]$ зима'!aq749-'[2]$ зима'!ap749-'[2]$ зима'!an749-'[2]$ зима'!am749-'[2]$ зима'!al749-'[2]$ зима'!ak749-'[2]$ зима'!aj749-'[2]$ зима'!ah749-'[2]$ зима'!ag749-'[2]$ зима'!af749-'[2]$ зима'!ae749-'[2]$ зима'!ad749-'[2]$ зима'!ab749-'[2]$ зима'!aa749-'[2]$ зима'!z749-'[2]$ зима'!y749-'[2]$ зима'!x749-'[2]$ зима'!v749-'[2]$ зима'!u749-'[2]$ зима'!t749-'[2]$ зима'!s749-'[2]$ зима'!r749-'[2]$ зима'!p749-'[2]$ зима'!o749-'[2]$ зима'!n749-'[2]$ зима'!m749-'[2]$ зима'!l749+'[2]$ зима'!q749+'[2]$ зима'!w749+'[2]$ зима'!ac749+'[2]$ зима'!ai749+'[2]$ зима'!ao749+'[2]$ зима'!k749</f>
        <v>2</v>
      </c>
      <c r="I749" s="191" t="n">
        <f aca="false">'[2]$ зима'!ay749*1.1</f>
        <v>2310</v>
      </c>
    </row>
    <row r="750" customFormat="false" ht="15" hidden="false" customHeight="false" outlineLevel="0" collapsed="false">
      <c r="A750" s="188" t="s">
        <v>251</v>
      </c>
      <c r="B750" s="149" t="s">
        <v>593</v>
      </c>
      <c r="C750" s="148" t="s">
        <v>3342</v>
      </c>
      <c r="D750" s="148"/>
      <c r="E750" s="192" t="n">
        <v>91</v>
      </c>
      <c r="F750" s="192" t="s">
        <v>562</v>
      </c>
      <c r="G750" s="193" t="s">
        <v>3492</v>
      </c>
      <c r="H750" s="105" t="n">
        <f aca="false">'[2]$ зима'!j750-'[2]$ зима'!au750-'[2]$ зима'!at750-'[2]$ зима'!as750-'[2]$ зима'!ar750-'[2]$ зима'!aq750-'[2]$ зима'!ap750-'[2]$ зима'!an750-'[2]$ зима'!am750-'[2]$ зима'!al750-'[2]$ зима'!ak750-'[2]$ зима'!aj750-'[2]$ зима'!ah750-'[2]$ зима'!ag750-'[2]$ зима'!af750-'[2]$ зима'!ae750-'[2]$ зима'!ad750-'[2]$ зима'!ab750-'[2]$ зима'!aa750-'[2]$ зима'!z750-'[2]$ зима'!y750-'[2]$ зима'!x750-'[2]$ зима'!v750-'[2]$ зима'!u750-'[2]$ зима'!t750-'[2]$ зима'!s750-'[2]$ зима'!r750-'[2]$ зима'!p750-'[2]$ зима'!o750-'[2]$ зима'!n750-'[2]$ зима'!m750-'[2]$ зима'!l750+'[2]$ зима'!q750+'[2]$ зима'!w750+'[2]$ зима'!ac750+'[2]$ зима'!ai750+'[2]$ зима'!ao750+'[2]$ зима'!k750</f>
        <v>2</v>
      </c>
      <c r="I750" s="191" t="n">
        <f aca="false">'[2]$ зима'!ay750*1.1</f>
        <v>2772</v>
      </c>
    </row>
    <row r="751" customFormat="false" ht="15" hidden="true" customHeight="false" outlineLevel="0" collapsed="false">
      <c r="A751" s="188" t="s">
        <v>251</v>
      </c>
      <c r="B751" s="149" t="s">
        <v>593</v>
      </c>
      <c r="C751" s="148" t="s">
        <v>3237</v>
      </c>
      <c r="D751" s="148"/>
      <c r="E751" s="148"/>
      <c r="F751" s="148"/>
      <c r="G751" s="193" t="s">
        <v>1188</v>
      </c>
      <c r="H751" s="105" t="n">
        <f aca="false">'[2]$ зима'!j751-'[2]$ зима'!au751-'[2]$ зима'!at751-'[2]$ зима'!as751-'[2]$ зима'!ar751-'[2]$ зима'!aq751-'[2]$ зима'!ap751-'[2]$ зима'!an751-'[2]$ зима'!am751-'[2]$ зима'!al751-'[2]$ зима'!ak751-'[2]$ зима'!aj751-'[2]$ зима'!ah751-'[2]$ зима'!ag751-'[2]$ зима'!af751-'[2]$ зима'!ae751-'[2]$ зима'!ad751-'[2]$ зима'!ab751-'[2]$ зима'!aa751-'[2]$ зима'!z751-'[2]$ зима'!y751-'[2]$ зима'!x751-'[2]$ зима'!v751-'[2]$ зима'!u751-'[2]$ зима'!t751-'[2]$ зима'!s751-'[2]$ зима'!r751-'[2]$ зима'!p751-'[2]$ зима'!o751-'[2]$ зима'!n751-'[2]$ зима'!m751-'[2]$ зима'!l751+'[2]$ зима'!q751+'[2]$ зима'!w751+'[2]$ зима'!ac751+'[2]$ зима'!ai751+'[2]$ зима'!ao751+'[2]$ зима'!k751</f>
        <v>0</v>
      </c>
      <c r="I751" s="191" t="n">
        <f aca="false">'[2]$ зима'!ay751*1.1</f>
        <v>2710.4</v>
      </c>
    </row>
    <row r="752" customFormat="false" ht="15" hidden="false" customHeight="false" outlineLevel="0" collapsed="false">
      <c r="A752" s="188" t="s">
        <v>251</v>
      </c>
      <c r="B752" s="149" t="s">
        <v>593</v>
      </c>
      <c r="C752" s="148" t="s">
        <v>3324</v>
      </c>
      <c r="D752" s="148"/>
      <c r="E752" s="192"/>
      <c r="F752" s="192" t="s">
        <v>3286</v>
      </c>
      <c r="G752" s="193" t="s">
        <v>3492</v>
      </c>
      <c r="H752" s="105" t="n">
        <f aca="false">'[2]$ зима'!j752-'[2]$ зима'!au752-'[2]$ зима'!at752-'[2]$ зима'!as752-'[2]$ зима'!ar752-'[2]$ зима'!aq752-'[2]$ зима'!ap752-'[2]$ зима'!an752-'[2]$ зима'!am752-'[2]$ зима'!al752-'[2]$ зима'!ak752-'[2]$ зима'!aj752-'[2]$ зима'!ah752-'[2]$ зима'!ag752-'[2]$ зима'!af752-'[2]$ зима'!ae752-'[2]$ зима'!ad752-'[2]$ зима'!ab752-'[2]$ зима'!aa752-'[2]$ зима'!z752-'[2]$ зима'!y752-'[2]$ зима'!x752-'[2]$ зима'!v752-'[2]$ зима'!u752-'[2]$ зима'!t752-'[2]$ зима'!s752-'[2]$ зима'!r752-'[2]$ зима'!p752-'[2]$ зима'!o752-'[2]$ зима'!n752-'[2]$ зима'!m752-'[2]$ зима'!l752+'[2]$ зима'!q752+'[2]$ зима'!w752+'[2]$ зима'!ac752+'[2]$ зима'!ai752+'[2]$ зима'!ao752+'[2]$ зима'!k752</f>
        <v>2</v>
      </c>
      <c r="I752" s="191" t="n">
        <f aca="false">'[2]$ зима'!ay752*1.1</f>
        <v>2772</v>
      </c>
      <c r="J752" s="171" t="n">
        <v>2017</v>
      </c>
    </row>
    <row r="753" customFormat="false" ht="15" hidden="true" customHeight="false" outlineLevel="0" collapsed="false">
      <c r="A753" s="188" t="s">
        <v>251</v>
      </c>
      <c r="B753" s="149" t="s">
        <v>586</v>
      </c>
      <c r="C753" s="148" t="s">
        <v>3305</v>
      </c>
      <c r="D753" s="148"/>
      <c r="E753" s="148"/>
      <c r="F753" s="148"/>
      <c r="G753" s="193"/>
      <c r="H753" s="105" t="n">
        <f aca="false">'[2]$ зима'!j753-'[2]$ зима'!au753-'[2]$ зима'!at753-'[2]$ зима'!as753-'[2]$ зима'!ar753-'[2]$ зима'!aq753-'[2]$ зима'!ap753-'[2]$ зима'!an753-'[2]$ зима'!am753-'[2]$ зима'!al753-'[2]$ зима'!ak753-'[2]$ зима'!aj753-'[2]$ зима'!ah753-'[2]$ зима'!ag753-'[2]$ зима'!af753-'[2]$ зима'!ae753-'[2]$ зима'!ad753-'[2]$ зима'!ab753-'[2]$ зима'!aa753-'[2]$ зима'!z753-'[2]$ зима'!y753-'[2]$ зима'!x753-'[2]$ зима'!v753-'[2]$ зима'!u753-'[2]$ зима'!t753-'[2]$ зима'!s753-'[2]$ зима'!r753-'[2]$ зима'!p753-'[2]$ зима'!o753-'[2]$ зима'!n753-'[2]$ зима'!m753-'[2]$ зима'!l753+'[2]$ зима'!q753+'[2]$ зима'!w753+'[2]$ зима'!ac753+'[2]$ зима'!ai753+'[2]$ зима'!ao753+'[2]$ зима'!k753</f>
        <v>0</v>
      </c>
      <c r="I753" s="191" t="n">
        <f aca="false">'[2]$ зима'!ay753*1.1</f>
        <v>1416.8</v>
      </c>
      <c r="J753" s="171" t="n">
        <v>2017</v>
      </c>
    </row>
    <row r="754" customFormat="false" ht="15" hidden="false" customHeight="false" outlineLevel="0" collapsed="false">
      <c r="A754" s="188" t="s">
        <v>251</v>
      </c>
      <c r="B754" s="149" t="s">
        <v>3142</v>
      </c>
      <c r="C754" s="148" t="s">
        <v>3493</v>
      </c>
      <c r="D754" s="148" t="s">
        <v>3127</v>
      </c>
      <c r="E754" s="192"/>
      <c r="F754" s="192"/>
      <c r="G754" s="193"/>
      <c r="H754" s="105" t="n">
        <f aca="false">'[2]$ зима'!j754-'[2]$ зима'!au754-'[2]$ зима'!at754-'[2]$ зима'!as754-'[2]$ зима'!ar754-'[2]$ зима'!aq754-'[2]$ зима'!ap754-'[2]$ зима'!an754-'[2]$ зима'!am754-'[2]$ зима'!al754-'[2]$ зима'!ak754-'[2]$ зима'!aj754-'[2]$ зима'!ah754-'[2]$ зима'!ag754-'[2]$ зима'!af754-'[2]$ зима'!ae754-'[2]$ зима'!ad754-'[2]$ зима'!ab754-'[2]$ зима'!aa754-'[2]$ зима'!z754-'[2]$ зима'!y754-'[2]$ зима'!x754-'[2]$ зима'!v754-'[2]$ зима'!u754-'[2]$ зима'!t754-'[2]$ зима'!s754-'[2]$ зима'!r754-'[2]$ зима'!p754-'[2]$ зима'!o754-'[2]$ зима'!n754-'[2]$ зима'!m754-'[2]$ зима'!l754+'[2]$ зима'!q754+'[2]$ зима'!w754+'[2]$ зима'!ac754+'[2]$ зима'!ai754+'[2]$ зима'!ao754+'[2]$ зима'!k754</f>
        <v>7</v>
      </c>
      <c r="I754" s="191" t="n">
        <f aca="false">'[2]$ зима'!ay754*1.1</f>
        <v>1848</v>
      </c>
    </row>
    <row r="755" customFormat="false" ht="15" hidden="false" customHeight="false" outlineLevel="0" collapsed="false">
      <c r="A755" s="188" t="s">
        <v>251</v>
      </c>
      <c r="B755" s="149" t="s">
        <v>3142</v>
      </c>
      <c r="C755" s="148" t="s">
        <v>3494</v>
      </c>
      <c r="D755" s="148"/>
      <c r="E755" s="192"/>
      <c r="F755" s="192"/>
      <c r="G755" s="193"/>
      <c r="H755" s="105" t="n">
        <f aca="false">'[2]$ зима'!j755-'[2]$ зима'!au755-'[2]$ зима'!at755-'[2]$ зима'!as755-'[2]$ зима'!ar755-'[2]$ зима'!aq755-'[2]$ зима'!ap755-'[2]$ зима'!an755-'[2]$ зима'!am755-'[2]$ зима'!al755-'[2]$ зима'!ak755-'[2]$ зима'!aj755-'[2]$ зима'!ah755-'[2]$ зима'!ag755-'[2]$ зима'!af755-'[2]$ зима'!ae755-'[2]$ зима'!ad755-'[2]$ зима'!ab755-'[2]$ зима'!aa755-'[2]$ зима'!z755-'[2]$ зима'!y755-'[2]$ зима'!x755-'[2]$ зима'!v755-'[2]$ зима'!u755-'[2]$ зима'!t755-'[2]$ зима'!s755-'[2]$ зима'!r755-'[2]$ зима'!p755-'[2]$ зима'!o755-'[2]$ зима'!n755-'[2]$ зима'!m755-'[2]$ зима'!l755+'[2]$ зима'!q755+'[2]$ зима'!w755+'[2]$ зима'!ac755+'[2]$ зима'!ai755+'[2]$ зима'!ao755+'[2]$ зима'!k755</f>
        <v>2</v>
      </c>
      <c r="I755" s="191" t="n">
        <f aca="false">'[2]$ зима'!ay755*1.1</f>
        <v>1755.6</v>
      </c>
    </row>
    <row r="756" customFormat="false" ht="15" hidden="false" customHeight="false" outlineLevel="0" collapsed="false">
      <c r="A756" s="188" t="s">
        <v>251</v>
      </c>
      <c r="B756" s="149" t="s">
        <v>617</v>
      </c>
      <c r="C756" s="148" t="s">
        <v>3495</v>
      </c>
      <c r="D756" s="148"/>
      <c r="E756" s="192"/>
      <c r="F756" s="192"/>
      <c r="G756" s="193"/>
      <c r="H756" s="105" t="n">
        <f aca="false">'[2]$ зима'!j756-'[2]$ зима'!au756-'[2]$ зима'!at756-'[2]$ зима'!as756-'[2]$ зима'!ar756-'[2]$ зима'!aq756-'[2]$ зима'!ap756-'[2]$ зима'!an756-'[2]$ зима'!am756-'[2]$ зима'!al756-'[2]$ зима'!ak756-'[2]$ зима'!aj756-'[2]$ зима'!ah756-'[2]$ зима'!ag756-'[2]$ зима'!af756-'[2]$ зима'!ae756-'[2]$ зима'!ad756-'[2]$ зима'!ab756-'[2]$ зима'!aa756-'[2]$ зима'!z756-'[2]$ зима'!y756-'[2]$ зима'!x756-'[2]$ зима'!v756-'[2]$ зима'!u756-'[2]$ зима'!t756-'[2]$ зима'!s756-'[2]$ зима'!r756-'[2]$ зима'!p756-'[2]$ зима'!o756-'[2]$ зима'!n756-'[2]$ зима'!m756-'[2]$ зима'!l756+'[2]$ зима'!q756+'[2]$ зима'!w756+'[2]$ зима'!ac756+'[2]$ зима'!ai756+'[2]$ зима'!ao756+'[2]$ зима'!k756</f>
        <v>12</v>
      </c>
      <c r="I756" s="191" t="n">
        <f aca="false">'[2]$ зима'!ay756*1.1</f>
        <v>1755.6</v>
      </c>
    </row>
    <row r="757" customFormat="false" ht="15" hidden="true" customHeight="false" outlineLevel="0" collapsed="false">
      <c r="A757" s="188" t="s">
        <v>251</v>
      </c>
      <c r="B757" s="149" t="s">
        <v>3496</v>
      </c>
      <c r="C757" s="148" t="s">
        <v>3497</v>
      </c>
      <c r="D757" s="148"/>
      <c r="E757" s="148"/>
      <c r="F757" s="148"/>
      <c r="G757" s="193"/>
      <c r="H757" s="105" t="n">
        <f aca="false">'[2]$ зима'!j757-'[2]$ зима'!au757-'[2]$ зима'!at757-'[2]$ зима'!as757-'[2]$ зима'!ar757-'[2]$ зима'!aq757-'[2]$ зима'!ap757-'[2]$ зима'!an757-'[2]$ зима'!am757-'[2]$ зима'!al757-'[2]$ зима'!ak757-'[2]$ зима'!aj757-'[2]$ зима'!ah757-'[2]$ зима'!ag757-'[2]$ зима'!af757-'[2]$ зима'!ae757-'[2]$ зима'!ad757-'[2]$ зима'!ab757-'[2]$ зима'!aa757-'[2]$ зима'!z757-'[2]$ зима'!y757-'[2]$ зима'!x757-'[2]$ зима'!v757-'[2]$ зима'!u757-'[2]$ зима'!t757-'[2]$ зима'!s757-'[2]$ зима'!r757-'[2]$ зима'!p757-'[2]$ зима'!o757-'[2]$ зима'!n757-'[2]$ зима'!m757-'[2]$ зима'!l757+'[2]$ зима'!q757+'[2]$ зима'!w757+'[2]$ зима'!ac757+'[2]$ зима'!ai757+'[2]$ зима'!ao757+'[2]$ зима'!k757</f>
        <v>0</v>
      </c>
      <c r="I757" s="191" t="n">
        <f aca="false">'[2]$ зима'!ay757*1.1</f>
        <v>1540</v>
      </c>
    </row>
    <row r="758" customFormat="false" ht="15" hidden="true" customHeight="false" outlineLevel="0" collapsed="false">
      <c r="A758" s="188" t="s">
        <v>251</v>
      </c>
      <c r="B758" s="149" t="s">
        <v>3142</v>
      </c>
      <c r="C758" s="148" t="s">
        <v>3498</v>
      </c>
      <c r="D758" s="148" t="s">
        <v>3127</v>
      </c>
      <c r="E758" s="148" t="n">
        <v>102</v>
      </c>
      <c r="F758" s="148" t="s">
        <v>3216</v>
      </c>
      <c r="G758" s="193"/>
      <c r="H758" s="105" t="n">
        <f aca="false">'[2]$ зима'!j758-'[2]$ зима'!au758-'[2]$ зима'!at758-'[2]$ зима'!as758-'[2]$ зима'!ar758-'[2]$ зима'!aq758-'[2]$ зима'!ap758-'[2]$ зима'!an758-'[2]$ зима'!am758-'[2]$ зима'!al758-'[2]$ зима'!ak758-'[2]$ зима'!aj758-'[2]$ зима'!ah758-'[2]$ зима'!ag758-'[2]$ зима'!af758-'[2]$ зима'!ae758-'[2]$ зима'!ad758-'[2]$ зима'!ab758-'[2]$ зима'!aa758-'[2]$ зима'!z758-'[2]$ зима'!y758-'[2]$ зима'!x758-'[2]$ зима'!v758-'[2]$ зима'!u758-'[2]$ зима'!t758-'[2]$ зима'!s758-'[2]$ зима'!r758-'[2]$ зима'!p758-'[2]$ зима'!o758-'[2]$ зима'!n758-'[2]$ зима'!m758-'[2]$ зима'!l758+'[2]$ зима'!q758+'[2]$ зима'!w758+'[2]$ зима'!ac758+'[2]$ зима'!ai758+'[2]$ зима'!ao758+'[2]$ зима'!k758</f>
        <v>0</v>
      </c>
      <c r="I758" s="191" t="n">
        <f aca="false">'[2]$ зима'!ay758*1.1</f>
        <v>1755.6</v>
      </c>
    </row>
    <row r="759" customFormat="false" ht="15" hidden="false" customHeight="false" outlineLevel="0" collapsed="false">
      <c r="A759" s="188" t="s">
        <v>251</v>
      </c>
      <c r="B759" s="149" t="s">
        <v>677</v>
      </c>
      <c r="C759" s="148" t="s">
        <v>3347</v>
      </c>
      <c r="D759" s="148"/>
      <c r="E759" s="192"/>
      <c r="F759" s="192"/>
      <c r="G759" s="193" t="s">
        <v>520</v>
      </c>
      <c r="H759" s="105" t="n">
        <f aca="false">'[2]$ зима'!j759-'[2]$ зима'!au759-'[2]$ зима'!at759-'[2]$ зима'!as759-'[2]$ зима'!ar759-'[2]$ зима'!aq759-'[2]$ зима'!ap759-'[2]$ зима'!an759-'[2]$ зима'!am759-'[2]$ зима'!al759-'[2]$ зима'!ak759-'[2]$ зима'!aj759-'[2]$ зима'!ah759-'[2]$ зима'!ag759-'[2]$ зима'!af759-'[2]$ зима'!ae759-'[2]$ зима'!ad759-'[2]$ зима'!ab759-'[2]$ зима'!aa759-'[2]$ зима'!z759-'[2]$ зима'!y759-'[2]$ зима'!x759-'[2]$ зима'!v759-'[2]$ зима'!u759-'[2]$ зима'!t759-'[2]$ зима'!s759-'[2]$ зима'!r759-'[2]$ зима'!p759-'[2]$ зима'!o759-'[2]$ зима'!n759-'[2]$ зима'!m759-'[2]$ зима'!l759+'[2]$ зима'!q759+'[2]$ зима'!w759+'[2]$ зима'!ac759+'[2]$ зима'!ai759+'[2]$ зима'!ao759+'[2]$ зима'!k759</f>
        <v>8</v>
      </c>
      <c r="I759" s="191" t="n">
        <f aca="false">'[2]$ зима'!ay759*1.1</f>
        <v>1632.4</v>
      </c>
      <c r="J759" s="171" t="n">
        <v>2017</v>
      </c>
    </row>
    <row r="760" customFormat="false" ht="15" hidden="true" customHeight="false" outlineLevel="0" collapsed="false">
      <c r="A760" s="188" t="s">
        <v>251</v>
      </c>
      <c r="B760" s="149" t="s">
        <v>652</v>
      </c>
      <c r="C760" s="148" t="s">
        <v>3499</v>
      </c>
      <c r="D760" s="148"/>
      <c r="E760" s="148"/>
      <c r="F760" s="148"/>
      <c r="G760" s="193" t="s">
        <v>868</v>
      </c>
      <c r="H760" s="105" t="n">
        <f aca="false">'[2]$ зима'!j760-'[2]$ зима'!au760-'[2]$ зима'!at760-'[2]$ зима'!as760-'[2]$ зима'!ar760-'[2]$ зима'!aq760-'[2]$ зима'!ap760-'[2]$ зима'!an760-'[2]$ зима'!am760-'[2]$ зима'!al760-'[2]$ зима'!ak760-'[2]$ зима'!aj760-'[2]$ зима'!ah760-'[2]$ зима'!ag760-'[2]$ зима'!af760-'[2]$ зима'!ae760-'[2]$ зима'!ad760-'[2]$ зима'!ab760-'[2]$ зима'!aa760-'[2]$ зима'!z760-'[2]$ зима'!y760-'[2]$ зима'!x760-'[2]$ зима'!v760-'[2]$ зима'!u760-'[2]$ зима'!t760-'[2]$ зима'!s760-'[2]$ зима'!r760-'[2]$ зима'!p760-'[2]$ зима'!o760-'[2]$ зима'!n760-'[2]$ зима'!m760-'[2]$ зима'!l760+'[2]$ зима'!q760+'[2]$ зима'!w760+'[2]$ зима'!ac760+'[2]$ зима'!ai760+'[2]$ зима'!ao760+'[2]$ зима'!k760</f>
        <v>0</v>
      </c>
      <c r="I760" s="191" t="n">
        <f aca="false">'[2]$ зима'!ay760*1.1</f>
        <v>1632.4</v>
      </c>
    </row>
    <row r="761" customFormat="false" ht="15" hidden="false" customHeight="false" outlineLevel="0" collapsed="false">
      <c r="A761" s="188" t="s">
        <v>251</v>
      </c>
      <c r="B761" s="149" t="s">
        <v>621</v>
      </c>
      <c r="C761" s="148" t="s">
        <v>3500</v>
      </c>
      <c r="D761" s="148"/>
      <c r="E761" s="192" t="n">
        <v>98</v>
      </c>
      <c r="F761" s="192" t="s">
        <v>562</v>
      </c>
      <c r="G761" s="193" t="s">
        <v>520</v>
      </c>
      <c r="H761" s="105" t="n">
        <f aca="false">'[2]$ зима'!j761-'[2]$ зима'!au761-'[2]$ зима'!at761-'[2]$ зима'!as761-'[2]$ зима'!ar761-'[2]$ зима'!aq761-'[2]$ зима'!ap761-'[2]$ зима'!an761-'[2]$ зима'!am761-'[2]$ зима'!al761-'[2]$ зима'!ak761-'[2]$ зима'!aj761-'[2]$ зима'!ah761-'[2]$ зима'!ag761-'[2]$ зима'!af761-'[2]$ зима'!ae761-'[2]$ зима'!ad761-'[2]$ зима'!ab761-'[2]$ зима'!aa761-'[2]$ зима'!z761-'[2]$ зима'!y761-'[2]$ зима'!x761-'[2]$ зима'!v761-'[2]$ зима'!u761-'[2]$ зима'!t761-'[2]$ зима'!s761-'[2]$ зима'!r761-'[2]$ зима'!p761-'[2]$ зима'!o761-'[2]$ зима'!n761-'[2]$ зима'!m761-'[2]$ зима'!l761+'[2]$ зима'!q761+'[2]$ зима'!w761+'[2]$ зима'!ac761+'[2]$ зима'!ai761+'[2]$ зима'!ao761+'[2]$ зима'!k761</f>
        <v>20</v>
      </c>
      <c r="I761" s="191" t="n">
        <f aca="false">'[2]$ зима'!ay761*1.1</f>
        <v>1683</v>
      </c>
    </row>
    <row r="762" customFormat="false" ht="15" hidden="false" customHeight="false" outlineLevel="0" collapsed="false">
      <c r="A762" s="188" t="s">
        <v>251</v>
      </c>
      <c r="B762" s="149" t="s">
        <v>564</v>
      </c>
      <c r="C762" s="148" t="s">
        <v>3438</v>
      </c>
      <c r="D762" s="148"/>
      <c r="E762" s="192" t="n">
        <v>102</v>
      </c>
      <c r="F762" s="192" t="s">
        <v>3216</v>
      </c>
      <c r="G762" s="193" t="s">
        <v>520</v>
      </c>
      <c r="H762" s="105" t="n">
        <f aca="false">'[2]$ зима'!j762-'[2]$ зима'!au762-'[2]$ зима'!at762-'[2]$ зима'!as762-'[2]$ зима'!ar762-'[2]$ зима'!aq762-'[2]$ зима'!ap762-'[2]$ зима'!an762-'[2]$ зима'!am762-'[2]$ зима'!al762-'[2]$ зима'!ak762-'[2]$ зима'!aj762-'[2]$ зима'!ah762-'[2]$ зима'!ag762-'[2]$ зима'!af762-'[2]$ зима'!ae762-'[2]$ зима'!ad762-'[2]$ зима'!ab762-'[2]$ зима'!aa762-'[2]$ зима'!z762-'[2]$ зима'!y762-'[2]$ зима'!x762-'[2]$ зима'!v762-'[2]$ зима'!u762-'[2]$ зима'!t762-'[2]$ зима'!s762-'[2]$ зима'!r762-'[2]$ зима'!p762-'[2]$ зима'!o762-'[2]$ зима'!n762-'[2]$ зима'!m762-'[2]$ зима'!l762+'[2]$ зима'!q762+'[2]$ зима'!w762+'[2]$ зима'!ac762+'[2]$ зима'!ai762+'[2]$ зима'!ao762+'[2]$ зима'!k762</f>
        <v>8</v>
      </c>
      <c r="I762" s="191" t="n">
        <f aca="false">'[2]$ зима'!ay762*1.1</f>
        <v>1601.6</v>
      </c>
      <c r="J762" s="171" t="n">
        <v>2017</v>
      </c>
    </row>
    <row r="763" customFormat="false" ht="15" hidden="false" customHeight="false" outlineLevel="0" collapsed="false">
      <c r="A763" s="188" t="s">
        <v>251</v>
      </c>
      <c r="B763" s="149" t="s">
        <v>2797</v>
      </c>
      <c r="C763" s="148" t="s">
        <v>3501</v>
      </c>
      <c r="D763" s="148" t="s">
        <v>3502</v>
      </c>
      <c r="E763" s="192" t="n">
        <v>98</v>
      </c>
      <c r="F763" s="192" t="s">
        <v>634</v>
      </c>
      <c r="G763" s="193"/>
      <c r="H763" s="105" t="n">
        <f aca="false">'[2]$ зима'!j763-'[2]$ зима'!au763-'[2]$ зима'!at763-'[2]$ зима'!as763-'[2]$ зима'!ar763-'[2]$ зима'!aq763-'[2]$ зима'!ap763-'[2]$ зима'!an763-'[2]$ зима'!am763-'[2]$ зима'!al763-'[2]$ зима'!ak763-'[2]$ зима'!aj763-'[2]$ зима'!ah763-'[2]$ зима'!ag763-'[2]$ зима'!af763-'[2]$ зима'!ae763-'[2]$ зима'!ad763-'[2]$ зима'!ab763-'[2]$ зима'!aa763-'[2]$ зима'!z763-'[2]$ зима'!y763-'[2]$ зима'!x763-'[2]$ зима'!v763-'[2]$ зима'!u763-'[2]$ зима'!t763-'[2]$ зима'!s763-'[2]$ зима'!r763-'[2]$ зима'!p763-'[2]$ зима'!o763-'[2]$ зима'!n763-'[2]$ зима'!m763-'[2]$ зима'!l763+'[2]$ зима'!q763+'[2]$ зима'!w763+'[2]$ зима'!ac763+'[2]$ зима'!ai763+'[2]$ зима'!ao763+'[2]$ зима'!k763</f>
        <v>4</v>
      </c>
      <c r="I763" s="191" t="n">
        <f aca="false">'[2]$ зима'!ay763*1.1</f>
        <v>1540</v>
      </c>
    </row>
    <row r="764" customFormat="false" ht="15" hidden="true" customHeight="false" outlineLevel="0" collapsed="false">
      <c r="A764" s="188" t="s">
        <v>251</v>
      </c>
      <c r="B764" s="149" t="s">
        <v>589</v>
      </c>
      <c r="C764" s="148" t="s">
        <v>3503</v>
      </c>
      <c r="D764" s="148"/>
      <c r="E764" s="148"/>
      <c r="F764" s="148"/>
      <c r="G764" s="193" t="s">
        <v>626</v>
      </c>
      <c r="H764" s="105" t="n">
        <f aca="false">'[2]$ зима'!j764-'[2]$ зима'!au764-'[2]$ зима'!at764-'[2]$ зима'!as764-'[2]$ зима'!ar764-'[2]$ зима'!aq764-'[2]$ зима'!ap764-'[2]$ зима'!an764-'[2]$ зима'!am764-'[2]$ зима'!al764-'[2]$ зима'!ak764-'[2]$ зима'!aj764-'[2]$ зима'!ah764-'[2]$ зима'!ag764-'[2]$ зима'!af764-'[2]$ зима'!ae764-'[2]$ зима'!ad764-'[2]$ зима'!ab764-'[2]$ зима'!aa764-'[2]$ зима'!z764-'[2]$ зима'!y764-'[2]$ зима'!x764-'[2]$ зима'!v764-'[2]$ зима'!u764-'[2]$ зима'!t764-'[2]$ зима'!s764-'[2]$ зима'!r764-'[2]$ зима'!p764-'[2]$ зима'!o764-'[2]$ зима'!n764-'[2]$ зима'!m764-'[2]$ зима'!l764+'[2]$ зима'!q764+'[2]$ зима'!w764+'[2]$ зима'!ac764+'[2]$ зима'!ai764+'[2]$ зима'!ao764+'[2]$ зима'!k764</f>
        <v>0</v>
      </c>
      <c r="I764" s="191" t="n">
        <f aca="false">'[2]$ зима'!ay764*1.1</f>
        <v>2428.14</v>
      </c>
    </row>
    <row r="765" customFormat="false" ht="15" hidden="false" customHeight="false" outlineLevel="0" collapsed="false">
      <c r="A765" s="188" t="s">
        <v>251</v>
      </c>
      <c r="B765" s="149" t="s">
        <v>589</v>
      </c>
      <c r="C765" s="148" t="s">
        <v>3209</v>
      </c>
      <c r="D765" s="148"/>
      <c r="E765" s="192" t="n">
        <v>98</v>
      </c>
      <c r="F765" s="192" t="s">
        <v>3207</v>
      </c>
      <c r="G765" s="193" t="s">
        <v>626</v>
      </c>
      <c r="H765" s="105" t="n">
        <f aca="false">'[2]$ зима'!j765-'[2]$ зима'!au765-'[2]$ зима'!at765-'[2]$ зима'!as765-'[2]$ зима'!ar765-'[2]$ зима'!aq765-'[2]$ зима'!ap765-'[2]$ зима'!an765-'[2]$ зима'!am765-'[2]$ зима'!al765-'[2]$ зима'!ak765-'[2]$ зима'!aj765-'[2]$ зима'!ah765-'[2]$ зима'!ag765-'[2]$ зима'!af765-'[2]$ зима'!ae765-'[2]$ зима'!ad765-'[2]$ зима'!ab765-'[2]$ зима'!aa765-'[2]$ зима'!z765-'[2]$ зима'!y765-'[2]$ зима'!x765-'[2]$ зима'!v765-'[2]$ зима'!u765-'[2]$ зима'!t765-'[2]$ зима'!s765-'[2]$ зима'!r765-'[2]$ зима'!p765-'[2]$ зима'!o765-'[2]$ зима'!n765-'[2]$ зима'!m765-'[2]$ зима'!l765+'[2]$ зима'!q765+'[2]$ зима'!w765+'[2]$ зима'!ac765+'[2]$ зима'!ai765+'[2]$ зима'!ao765+'[2]$ зима'!k765</f>
        <v>4</v>
      </c>
      <c r="I765" s="191" t="n">
        <f aca="false">'[2]$ зима'!ay765*1.1</f>
        <v>2499.2</v>
      </c>
      <c r="J765" s="171" t="n">
        <v>2018</v>
      </c>
    </row>
    <row r="766" customFormat="false" ht="15" hidden="true" customHeight="false" outlineLevel="0" collapsed="false">
      <c r="A766" s="188" t="s">
        <v>251</v>
      </c>
      <c r="B766" s="149" t="s">
        <v>981</v>
      </c>
      <c r="C766" s="148" t="s">
        <v>3504</v>
      </c>
      <c r="D766" s="148"/>
      <c r="E766" s="148"/>
      <c r="F766" s="148"/>
      <c r="G766" s="193"/>
      <c r="H766" s="105" t="n">
        <f aca="false">'[2]$ зима'!j766-'[2]$ зима'!au766-'[2]$ зима'!at766-'[2]$ зима'!as766-'[2]$ зима'!ar766-'[2]$ зима'!aq766-'[2]$ зима'!ap766-'[2]$ зима'!an766-'[2]$ зима'!am766-'[2]$ зима'!al766-'[2]$ зима'!ak766-'[2]$ зима'!aj766-'[2]$ зима'!ah766-'[2]$ зима'!ag766-'[2]$ зима'!af766-'[2]$ зима'!ae766-'[2]$ зима'!ad766-'[2]$ зима'!ab766-'[2]$ зима'!aa766-'[2]$ зима'!z766-'[2]$ зима'!y766-'[2]$ зима'!x766-'[2]$ зима'!v766-'[2]$ зима'!u766-'[2]$ зима'!t766-'[2]$ зима'!s766-'[2]$ зима'!r766-'[2]$ зима'!p766-'[2]$ зима'!o766-'[2]$ зима'!n766-'[2]$ зима'!m766-'[2]$ зима'!l766+'[2]$ зима'!q766+'[2]$ зима'!w766+'[2]$ зима'!ac766+'[2]$ зима'!ai766+'[2]$ зима'!ao766+'[2]$ зима'!k766</f>
        <v>0</v>
      </c>
      <c r="I766" s="191" t="n">
        <f aca="false">'[2]$ зима'!ay766*1.1</f>
        <v>1632.4</v>
      </c>
    </row>
    <row r="767" customFormat="false" ht="15" hidden="true" customHeight="false" outlineLevel="0" collapsed="false">
      <c r="A767" s="188" t="s">
        <v>251</v>
      </c>
      <c r="B767" s="149" t="s">
        <v>1028</v>
      </c>
      <c r="C767" s="148" t="s">
        <v>3505</v>
      </c>
      <c r="D767" s="148"/>
      <c r="E767" s="148"/>
      <c r="F767" s="148"/>
      <c r="G767" s="193" t="s">
        <v>876</v>
      </c>
      <c r="H767" s="105" t="n">
        <f aca="false">'[2]$ зима'!j767-'[2]$ зима'!au767-'[2]$ зима'!at767-'[2]$ зима'!as767-'[2]$ зима'!ar767-'[2]$ зима'!aq767-'[2]$ зима'!ap767-'[2]$ зима'!an767-'[2]$ зима'!am767-'[2]$ зима'!al767-'[2]$ зима'!ak767-'[2]$ зима'!aj767-'[2]$ зима'!ah767-'[2]$ зима'!ag767-'[2]$ зима'!af767-'[2]$ зима'!ae767-'[2]$ зима'!ad767-'[2]$ зима'!ab767-'[2]$ зима'!aa767-'[2]$ зима'!z767-'[2]$ зима'!y767-'[2]$ зима'!x767-'[2]$ зима'!v767-'[2]$ зима'!u767-'[2]$ зима'!t767-'[2]$ зима'!s767-'[2]$ зима'!r767-'[2]$ зима'!p767-'[2]$ зима'!o767-'[2]$ зима'!n767-'[2]$ зима'!m767-'[2]$ зима'!l767+'[2]$ зима'!q767+'[2]$ зима'!w767+'[2]$ зима'!ac767+'[2]$ зима'!ai767+'[2]$ зима'!ao767+'[2]$ зима'!k767</f>
        <v>0</v>
      </c>
      <c r="I767" s="191" t="n">
        <f aca="false">'[2]$ зима'!ay767*1.1</f>
        <v>2464</v>
      </c>
    </row>
    <row r="768" customFormat="false" ht="15" hidden="true" customHeight="false" outlineLevel="0" collapsed="false">
      <c r="A768" s="188" t="s">
        <v>251</v>
      </c>
      <c r="B768" s="149" t="s">
        <v>1028</v>
      </c>
      <c r="C768" s="148" t="s">
        <v>3176</v>
      </c>
      <c r="D768" s="148"/>
      <c r="E768" s="148"/>
      <c r="F768" s="148"/>
      <c r="G768" s="193"/>
      <c r="H768" s="105" t="n">
        <f aca="false">'[2]$ зима'!j768-'[2]$ зима'!au768-'[2]$ зима'!at768-'[2]$ зима'!as768-'[2]$ зима'!ar768-'[2]$ зима'!aq768-'[2]$ зима'!ap768-'[2]$ зима'!an768-'[2]$ зима'!am768-'[2]$ зима'!al768-'[2]$ зима'!ak768-'[2]$ зима'!aj768-'[2]$ зима'!ah768-'[2]$ зима'!ag768-'[2]$ зима'!af768-'[2]$ зима'!ae768-'[2]$ зима'!ad768-'[2]$ зима'!ab768-'[2]$ зима'!aa768-'[2]$ зима'!z768-'[2]$ зима'!y768-'[2]$ зима'!x768-'[2]$ зима'!v768-'[2]$ зима'!u768-'[2]$ зима'!t768-'[2]$ зима'!s768-'[2]$ зима'!r768-'[2]$ зима'!p768-'[2]$ зима'!o768-'[2]$ зима'!n768-'[2]$ зима'!m768-'[2]$ зима'!l768+'[2]$ зима'!q768+'[2]$ зима'!w768+'[2]$ зима'!ac768+'[2]$ зима'!ai768+'[2]$ зима'!ao768+'[2]$ зима'!k768</f>
        <v>0</v>
      </c>
      <c r="I768" s="191" t="n">
        <f aca="false">'[2]$ зима'!ay768*1.1</f>
        <v>2464</v>
      </c>
    </row>
    <row r="769" customFormat="false" ht="15" hidden="false" customHeight="false" outlineLevel="0" collapsed="false">
      <c r="A769" s="188" t="s">
        <v>251</v>
      </c>
      <c r="B769" s="149" t="s">
        <v>1028</v>
      </c>
      <c r="C769" s="148" t="s">
        <v>3506</v>
      </c>
      <c r="D769" s="148" t="s">
        <v>3147</v>
      </c>
      <c r="E769" s="192"/>
      <c r="F769" s="192"/>
      <c r="G769" s="193" t="s">
        <v>847</v>
      </c>
      <c r="H769" s="105" t="n">
        <f aca="false">'[2]$ зима'!j769-'[2]$ зима'!au769-'[2]$ зима'!at769-'[2]$ зима'!as769-'[2]$ зима'!ar769-'[2]$ зима'!aq769-'[2]$ зима'!ap769-'[2]$ зима'!an769-'[2]$ зима'!am769-'[2]$ зима'!al769-'[2]$ зима'!ak769-'[2]$ зима'!aj769-'[2]$ зима'!ah769-'[2]$ зима'!ag769-'[2]$ зима'!af769-'[2]$ зима'!ae769-'[2]$ зима'!ad769-'[2]$ зима'!ab769-'[2]$ зима'!aa769-'[2]$ зима'!z769-'[2]$ зима'!y769-'[2]$ зима'!x769-'[2]$ зима'!v769-'[2]$ зима'!u769-'[2]$ зима'!t769-'[2]$ зима'!s769-'[2]$ зима'!r769-'[2]$ зима'!p769-'[2]$ зима'!o769-'[2]$ зима'!n769-'[2]$ зима'!m769-'[2]$ зима'!l769+'[2]$ зима'!q769+'[2]$ зима'!w769+'[2]$ зима'!ac769+'[2]$ зима'!ai769+'[2]$ зима'!ao769+'[2]$ зима'!k769</f>
        <v>4</v>
      </c>
      <c r="I769" s="191" t="n">
        <f aca="false">'[2]$ зима'!ay769*1.1</f>
        <v>2310</v>
      </c>
      <c r="J769" s="171" t="n">
        <v>2017</v>
      </c>
    </row>
    <row r="770" customFormat="false" ht="15" hidden="true" customHeight="false" outlineLevel="0" collapsed="false">
      <c r="A770" s="188" t="s">
        <v>257</v>
      </c>
      <c r="B770" s="149" t="s">
        <v>568</v>
      </c>
      <c r="C770" s="148" t="s">
        <v>3480</v>
      </c>
      <c r="D770" s="148"/>
      <c r="E770" s="148"/>
      <c r="F770" s="148"/>
      <c r="G770" s="193"/>
      <c r="H770" s="105" t="n">
        <f aca="false">'[2]$ зима'!j770-'[2]$ зима'!au770-'[2]$ зима'!at770-'[2]$ зима'!as770-'[2]$ зима'!ar770-'[2]$ зима'!aq770-'[2]$ зима'!ap770-'[2]$ зима'!an770-'[2]$ зима'!am770-'[2]$ зима'!al770-'[2]$ зима'!ak770-'[2]$ зима'!aj770-'[2]$ зима'!ah770-'[2]$ зима'!ag770-'[2]$ зима'!af770-'[2]$ зима'!ae770-'[2]$ зима'!ad770-'[2]$ зима'!ab770-'[2]$ зима'!aa770-'[2]$ зима'!z770-'[2]$ зима'!y770-'[2]$ зима'!x770-'[2]$ зима'!v770-'[2]$ зима'!u770-'[2]$ зима'!t770-'[2]$ зима'!s770-'[2]$ зима'!r770-'[2]$ зима'!p770-'[2]$ зима'!o770-'[2]$ зима'!n770-'[2]$ зима'!m770-'[2]$ зима'!l770+'[2]$ зима'!q770+'[2]$ зима'!w770+'[2]$ зима'!ac770+'[2]$ зима'!ai770+'[2]$ зима'!ao770+'[2]$ зима'!k770</f>
        <v>0</v>
      </c>
      <c r="I770" s="191" t="n">
        <f aca="false">'[2]$ зима'!ay770*1.1</f>
        <v>2002</v>
      </c>
    </row>
    <row r="771" customFormat="false" ht="15" hidden="false" customHeight="false" outlineLevel="0" collapsed="false">
      <c r="A771" s="188" t="s">
        <v>257</v>
      </c>
      <c r="B771" s="149" t="s">
        <v>601</v>
      </c>
      <c r="C771" s="148" t="s">
        <v>3482</v>
      </c>
      <c r="D771" s="148"/>
      <c r="E771" s="192"/>
      <c r="F771" s="192"/>
      <c r="G771" s="193"/>
      <c r="H771" s="105" t="n">
        <f aca="false">'[2]$ зима'!j771-'[2]$ зима'!au771-'[2]$ зима'!at771-'[2]$ зима'!as771-'[2]$ зима'!ar771-'[2]$ зима'!aq771-'[2]$ зима'!ap771-'[2]$ зима'!an771-'[2]$ зима'!am771-'[2]$ зима'!al771-'[2]$ зима'!ak771-'[2]$ зима'!aj771-'[2]$ зима'!ah771-'[2]$ зима'!ag771-'[2]$ зима'!af771-'[2]$ зима'!ae771-'[2]$ зима'!ad771-'[2]$ зима'!ab771-'[2]$ зима'!aa771-'[2]$ зима'!z771-'[2]$ зима'!y771-'[2]$ зима'!x771-'[2]$ зима'!v771-'[2]$ зима'!u771-'[2]$ зима'!t771-'[2]$ зима'!s771-'[2]$ зима'!r771-'[2]$ зима'!p771-'[2]$ зима'!o771-'[2]$ зима'!n771-'[2]$ зима'!m771-'[2]$ зима'!l771+'[2]$ зима'!q771+'[2]$ зима'!w771+'[2]$ зима'!ac771+'[2]$ зима'!ai771+'[2]$ зима'!ao771+'[2]$ зима'!k771</f>
        <v>3</v>
      </c>
      <c r="I771" s="191" t="n">
        <f aca="false">'[2]$ зима'!ay771*1.1</f>
        <v>3080</v>
      </c>
    </row>
    <row r="772" customFormat="false" ht="15" hidden="false" customHeight="false" outlineLevel="0" collapsed="false">
      <c r="A772" s="188" t="s">
        <v>257</v>
      </c>
      <c r="B772" s="149" t="s">
        <v>601</v>
      </c>
      <c r="C772" s="148" t="s">
        <v>3507</v>
      </c>
      <c r="D772" s="148"/>
      <c r="E772" s="192" t="n">
        <v>100</v>
      </c>
      <c r="F772" s="192" t="s">
        <v>562</v>
      </c>
      <c r="G772" s="193" t="s">
        <v>626</v>
      </c>
      <c r="H772" s="105" t="n">
        <f aca="false">'[2]$ зима'!j772-'[2]$ зима'!au772-'[2]$ зима'!at772-'[2]$ зима'!as772-'[2]$ зима'!ar772-'[2]$ зима'!aq772-'[2]$ зима'!ap772-'[2]$ зима'!an772-'[2]$ зима'!am772-'[2]$ зима'!al772-'[2]$ зима'!ak772-'[2]$ зима'!aj772-'[2]$ зима'!ah772-'[2]$ зима'!ag772-'[2]$ зима'!af772-'[2]$ зима'!ae772-'[2]$ зима'!ad772-'[2]$ зима'!ab772-'[2]$ зима'!aa772-'[2]$ зима'!z772-'[2]$ зима'!y772-'[2]$ зима'!x772-'[2]$ зима'!v772-'[2]$ зима'!u772-'[2]$ зима'!t772-'[2]$ зима'!s772-'[2]$ зима'!r772-'[2]$ зима'!p772-'[2]$ зима'!o772-'[2]$ зима'!n772-'[2]$ зима'!m772-'[2]$ зима'!l772+'[2]$ зима'!q772+'[2]$ зима'!w772+'[2]$ зима'!ac772+'[2]$ зима'!ai772+'[2]$ зима'!ao772+'[2]$ зима'!k772</f>
        <v>4</v>
      </c>
      <c r="I772" s="191" t="n">
        <f aca="false">'[2]$ зима'!ay772*1.1</f>
        <v>2895.2</v>
      </c>
      <c r="J772" s="171" t="n">
        <v>2017</v>
      </c>
    </row>
    <row r="773" customFormat="false" ht="15" hidden="false" customHeight="false" outlineLevel="0" collapsed="false">
      <c r="A773" s="188" t="s">
        <v>257</v>
      </c>
      <c r="B773" s="149" t="s">
        <v>3484</v>
      </c>
      <c r="C773" s="148" t="s">
        <v>3485</v>
      </c>
      <c r="D773" s="148"/>
      <c r="E773" s="192" t="n">
        <v>100</v>
      </c>
      <c r="F773" s="192" t="s">
        <v>562</v>
      </c>
      <c r="G773" s="193" t="s">
        <v>520</v>
      </c>
      <c r="H773" s="105" t="n">
        <f aca="false">'[2]$ зима'!j773-'[2]$ зима'!au773-'[2]$ зима'!at773-'[2]$ зима'!as773-'[2]$ зима'!ar773-'[2]$ зима'!aq773-'[2]$ зима'!ap773-'[2]$ зима'!an773-'[2]$ зима'!am773-'[2]$ зима'!al773-'[2]$ зима'!ak773-'[2]$ зима'!aj773-'[2]$ зима'!ah773-'[2]$ зима'!ag773-'[2]$ зима'!af773-'[2]$ зима'!ae773-'[2]$ зима'!ad773-'[2]$ зима'!ab773-'[2]$ зима'!aa773-'[2]$ зима'!z773-'[2]$ зима'!y773-'[2]$ зима'!x773-'[2]$ зима'!v773-'[2]$ зима'!u773-'[2]$ зима'!t773-'[2]$ зима'!s773-'[2]$ зима'!r773-'[2]$ зима'!p773-'[2]$ зима'!o773-'[2]$ зима'!n773-'[2]$ зима'!m773-'[2]$ зима'!l773+'[2]$ зима'!q773+'[2]$ зима'!w773+'[2]$ зима'!ac773+'[2]$ зима'!ai773+'[2]$ зима'!ao773+'[2]$ зима'!k773</f>
        <v>4</v>
      </c>
      <c r="I773" s="191" t="n">
        <f aca="false">'[2]$ зима'!ay773*1.1</f>
        <v>1786.4</v>
      </c>
      <c r="J773" s="171" t="n">
        <v>2018</v>
      </c>
    </row>
    <row r="774" customFormat="false" ht="15" hidden="false" customHeight="false" outlineLevel="0" collapsed="false">
      <c r="A774" s="188" t="s">
        <v>257</v>
      </c>
      <c r="B774" s="149" t="s">
        <v>1537</v>
      </c>
      <c r="C774" s="148" t="s">
        <v>3508</v>
      </c>
      <c r="D774" s="148"/>
      <c r="E774" s="192"/>
      <c r="F774" s="192"/>
      <c r="G774" s="193"/>
      <c r="H774" s="105" t="n">
        <f aca="false">'[2]$ зима'!j774-'[2]$ зима'!au774-'[2]$ зима'!at774-'[2]$ зима'!as774-'[2]$ зима'!ar774-'[2]$ зима'!aq774-'[2]$ зима'!ap774-'[2]$ зима'!an774-'[2]$ зима'!am774-'[2]$ зима'!al774-'[2]$ зима'!ak774-'[2]$ зима'!aj774-'[2]$ зима'!ah774-'[2]$ зима'!ag774-'[2]$ зима'!af774-'[2]$ зима'!ae774-'[2]$ зима'!ad774-'[2]$ зима'!ab774-'[2]$ зима'!aa774-'[2]$ зима'!z774-'[2]$ зима'!y774-'[2]$ зима'!x774-'[2]$ зима'!v774-'[2]$ зима'!u774-'[2]$ зима'!t774-'[2]$ зима'!s774-'[2]$ зима'!r774-'[2]$ зима'!p774-'[2]$ зима'!o774-'[2]$ зима'!n774-'[2]$ зима'!m774-'[2]$ зима'!l774+'[2]$ зима'!q774+'[2]$ зима'!w774+'[2]$ зима'!ac774+'[2]$ зима'!ai774+'[2]$ зима'!ao774+'[2]$ зима'!k774</f>
        <v>2</v>
      </c>
      <c r="I774" s="191" t="n">
        <f aca="false">'[2]$ зима'!ay774*1.1</f>
        <v>1540</v>
      </c>
    </row>
    <row r="775" customFormat="false" ht="15" hidden="false" customHeight="false" outlineLevel="0" collapsed="false">
      <c r="A775" s="188" t="s">
        <v>257</v>
      </c>
      <c r="B775" s="149" t="s">
        <v>744</v>
      </c>
      <c r="C775" s="148" t="s">
        <v>3509</v>
      </c>
      <c r="D775" s="148" t="s">
        <v>3147</v>
      </c>
      <c r="E775" s="192"/>
      <c r="F775" s="192"/>
      <c r="G775" s="193" t="s">
        <v>843</v>
      </c>
      <c r="H775" s="105" t="n">
        <f aca="false">'[2]$ зима'!j775-'[2]$ зима'!au775-'[2]$ зима'!at775-'[2]$ зима'!as775-'[2]$ зима'!ar775-'[2]$ зима'!aq775-'[2]$ зима'!ap775-'[2]$ зима'!an775-'[2]$ зима'!am775-'[2]$ зима'!al775-'[2]$ зима'!ak775-'[2]$ зима'!aj775-'[2]$ зима'!ah775-'[2]$ зима'!ag775-'[2]$ зима'!af775-'[2]$ зима'!ae775-'[2]$ зима'!ad775-'[2]$ зима'!ab775-'[2]$ зима'!aa775-'[2]$ зима'!z775-'[2]$ зима'!y775-'[2]$ зима'!x775-'[2]$ зима'!v775-'[2]$ зима'!u775-'[2]$ зима'!t775-'[2]$ зима'!s775-'[2]$ зима'!r775-'[2]$ зима'!p775-'[2]$ зима'!o775-'[2]$ зима'!n775-'[2]$ зима'!m775-'[2]$ зима'!l775+'[2]$ зима'!q775+'[2]$ зима'!w775+'[2]$ зима'!ac775+'[2]$ зима'!ai775+'[2]$ зима'!ao775+'[2]$ зима'!k775</f>
        <v>8</v>
      </c>
      <c r="I775" s="191" t="n">
        <f aca="false">'[2]$ зима'!ay775*1.1</f>
        <v>2618</v>
      </c>
      <c r="J775" s="171" t="n">
        <v>2017</v>
      </c>
    </row>
    <row r="776" customFormat="false" ht="15" hidden="true" customHeight="false" outlineLevel="0" collapsed="false">
      <c r="A776" s="188" t="s">
        <v>257</v>
      </c>
      <c r="B776" s="149" t="s">
        <v>606</v>
      </c>
      <c r="C776" s="148" t="s">
        <v>3510</v>
      </c>
      <c r="D776" s="148"/>
      <c r="E776" s="148"/>
      <c r="F776" s="148"/>
      <c r="G776" s="193"/>
      <c r="H776" s="105" t="n">
        <f aca="false">'[2]$ зима'!j776-'[2]$ зима'!au776-'[2]$ зима'!at776-'[2]$ зима'!as776-'[2]$ зима'!ar776-'[2]$ зима'!aq776-'[2]$ зима'!ap776-'[2]$ зима'!an776-'[2]$ зима'!am776-'[2]$ зима'!al776-'[2]$ зима'!ak776-'[2]$ зима'!aj776-'[2]$ зима'!ah776-'[2]$ зима'!ag776-'[2]$ зима'!af776-'[2]$ зима'!ae776-'[2]$ зима'!ad776-'[2]$ зима'!ab776-'[2]$ зима'!aa776-'[2]$ зима'!z776-'[2]$ зима'!y776-'[2]$ зима'!x776-'[2]$ зима'!v776-'[2]$ зима'!u776-'[2]$ зима'!t776-'[2]$ зима'!s776-'[2]$ зима'!r776-'[2]$ зима'!p776-'[2]$ зима'!o776-'[2]$ зима'!n776-'[2]$ зима'!m776-'[2]$ зима'!l776+'[2]$ зима'!q776+'[2]$ зима'!w776+'[2]$ зима'!ac776+'[2]$ зима'!ai776+'[2]$ зима'!ao776+'[2]$ зима'!k776</f>
        <v>0</v>
      </c>
      <c r="I776" s="191" t="n">
        <f aca="false">'[2]$ зима'!ay776*1.1</f>
        <v>2310</v>
      </c>
    </row>
    <row r="777" customFormat="false" ht="15" hidden="false" customHeight="false" outlineLevel="0" collapsed="false">
      <c r="A777" s="188" t="s">
        <v>257</v>
      </c>
      <c r="B777" s="149" t="s">
        <v>606</v>
      </c>
      <c r="C777" s="148" t="s">
        <v>3386</v>
      </c>
      <c r="D777" s="148" t="s">
        <v>3502</v>
      </c>
      <c r="E777" s="192" t="n">
        <v>100</v>
      </c>
      <c r="F777" s="192" t="s">
        <v>562</v>
      </c>
      <c r="G777" s="193" t="s">
        <v>609</v>
      </c>
      <c r="H777" s="105" t="n">
        <f aca="false">'[2]$ зима'!j777-'[2]$ зима'!au777-'[2]$ зима'!at777-'[2]$ зима'!as777-'[2]$ зима'!ar777-'[2]$ зима'!aq777-'[2]$ зима'!ap777-'[2]$ зима'!an777-'[2]$ зима'!am777-'[2]$ зима'!al777-'[2]$ зима'!ak777-'[2]$ зима'!aj777-'[2]$ зима'!ah777-'[2]$ зима'!ag777-'[2]$ зима'!af777-'[2]$ зима'!ae777-'[2]$ зима'!ad777-'[2]$ зима'!ab777-'[2]$ зима'!aa777-'[2]$ зима'!z777-'[2]$ зима'!y777-'[2]$ зима'!x777-'[2]$ зима'!v777-'[2]$ зима'!u777-'[2]$ зима'!t777-'[2]$ зима'!s777-'[2]$ зима'!r777-'[2]$ зима'!p777-'[2]$ зима'!o777-'[2]$ зима'!n777-'[2]$ зима'!m777-'[2]$ зима'!l777+'[2]$ зима'!q777+'[2]$ зима'!w777+'[2]$ зима'!ac777+'[2]$ зима'!ai777+'[2]$ зима'!ao777+'[2]$ зима'!k777</f>
        <v>12</v>
      </c>
      <c r="I777" s="191" t="n">
        <f aca="false">'[2]$ зима'!ay777*1.1</f>
        <v>2340.8</v>
      </c>
      <c r="J777" s="171" t="n">
        <v>2018</v>
      </c>
    </row>
    <row r="778" customFormat="false" ht="15" hidden="true" customHeight="false" outlineLevel="0" collapsed="false">
      <c r="A778" s="188" t="s">
        <v>257</v>
      </c>
      <c r="B778" s="149" t="s">
        <v>606</v>
      </c>
      <c r="C778" s="148" t="s">
        <v>3511</v>
      </c>
      <c r="D778" s="148"/>
      <c r="E778" s="148"/>
      <c r="F778" s="148"/>
      <c r="G778" s="193"/>
      <c r="H778" s="105" t="n">
        <f aca="false">'[2]$ зима'!j778-'[2]$ зима'!au778-'[2]$ зима'!at778-'[2]$ зима'!as778-'[2]$ зима'!ar778-'[2]$ зима'!aq778-'[2]$ зима'!ap778-'[2]$ зима'!an778-'[2]$ зима'!am778-'[2]$ зима'!al778-'[2]$ зима'!ak778-'[2]$ зима'!aj778-'[2]$ зима'!ah778-'[2]$ зима'!ag778-'[2]$ зима'!af778-'[2]$ зима'!ae778-'[2]$ зима'!ad778-'[2]$ зима'!ab778-'[2]$ зима'!aa778-'[2]$ зима'!z778-'[2]$ зима'!y778-'[2]$ зима'!x778-'[2]$ зима'!v778-'[2]$ зима'!u778-'[2]$ зима'!t778-'[2]$ зима'!s778-'[2]$ зима'!r778-'[2]$ зима'!p778-'[2]$ зима'!o778-'[2]$ зима'!n778-'[2]$ зима'!m778-'[2]$ зима'!l778+'[2]$ зима'!q778+'[2]$ зима'!w778+'[2]$ зима'!ac778+'[2]$ зима'!ai778+'[2]$ зима'!ao778+'[2]$ зима'!k778</f>
        <v>0</v>
      </c>
      <c r="I778" s="191" t="n">
        <f aca="false">'[2]$ зима'!ay778*1.1</f>
        <v>2587.2</v>
      </c>
    </row>
    <row r="779" customFormat="false" ht="15" hidden="false" customHeight="false" outlineLevel="0" collapsed="false">
      <c r="A779" s="188" t="s">
        <v>257</v>
      </c>
      <c r="B779" s="149" t="s">
        <v>1905</v>
      </c>
      <c r="C779" s="148" t="s">
        <v>3512</v>
      </c>
      <c r="D779" s="148"/>
      <c r="E779" s="192"/>
      <c r="F779" s="192"/>
      <c r="G779" s="193"/>
      <c r="H779" s="105" t="n">
        <f aca="false">'[2]$ зима'!j779-'[2]$ зима'!au779-'[2]$ зима'!at779-'[2]$ зима'!as779-'[2]$ зима'!ar779-'[2]$ зима'!aq779-'[2]$ зима'!ap779-'[2]$ зима'!an779-'[2]$ зима'!am779-'[2]$ зима'!al779-'[2]$ зима'!ak779-'[2]$ зима'!aj779-'[2]$ зима'!ah779-'[2]$ зима'!ag779-'[2]$ зима'!af779-'[2]$ зима'!ae779-'[2]$ зима'!ad779-'[2]$ зима'!ab779-'[2]$ зима'!aa779-'[2]$ зима'!z779-'[2]$ зима'!y779-'[2]$ зима'!x779-'[2]$ зима'!v779-'[2]$ зима'!u779-'[2]$ зима'!t779-'[2]$ зима'!s779-'[2]$ зима'!r779-'[2]$ зима'!p779-'[2]$ зима'!o779-'[2]$ зима'!n779-'[2]$ зима'!m779-'[2]$ зима'!l779+'[2]$ зима'!q779+'[2]$ зима'!w779+'[2]$ зима'!ac779+'[2]$ зима'!ai779+'[2]$ зима'!ao779+'[2]$ зима'!k779</f>
        <v>20</v>
      </c>
      <c r="I779" s="191" t="n">
        <f aca="false">'[2]$ зима'!ay779*1.1</f>
        <v>1694</v>
      </c>
    </row>
    <row r="780" customFormat="false" ht="15" hidden="false" customHeight="false" outlineLevel="0" collapsed="false">
      <c r="A780" s="188" t="s">
        <v>257</v>
      </c>
      <c r="B780" s="149" t="s">
        <v>668</v>
      </c>
      <c r="C780" s="194" t="s">
        <v>3182</v>
      </c>
      <c r="D780" s="148"/>
      <c r="E780" s="192"/>
      <c r="F780" s="192"/>
      <c r="G780" s="193" t="s">
        <v>609</v>
      </c>
      <c r="H780" s="105" t="n">
        <f aca="false">'[2]$ зима'!j780-'[2]$ зима'!au780-'[2]$ зима'!at780-'[2]$ зима'!as780-'[2]$ зима'!ar780-'[2]$ зима'!aq780-'[2]$ зима'!ap780-'[2]$ зима'!an780-'[2]$ зима'!am780-'[2]$ зима'!al780-'[2]$ зима'!ak780-'[2]$ зима'!aj780-'[2]$ зима'!ah780-'[2]$ зима'!ag780-'[2]$ зима'!af780-'[2]$ зима'!ae780-'[2]$ зима'!ad780-'[2]$ зима'!ab780-'[2]$ зима'!aa780-'[2]$ зима'!z780-'[2]$ зима'!y780-'[2]$ зима'!x780-'[2]$ зима'!v780-'[2]$ зима'!u780-'[2]$ зима'!t780-'[2]$ зима'!s780-'[2]$ зима'!r780-'[2]$ зима'!p780-'[2]$ зима'!o780-'[2]$ зима'!n780-'[2]$ зима'!m780-'[2]$ зима'!l780+'[2]$ зима'!q780+'[2]$ зима'!w780+'[2]$ зима'!ac780+'[2]$ зима'!ai780+'[2]$ зима'!ao780+'[2]$ зима'!k780</f>
        <v>32</v>
      </c>
      <c r="I780" s="191" t="n">
        <f aca="false">'[2]$ зима'!ay780*1.1</f>
        <v>2279.2</v>
      </c>
      <c r="J780" s="171" t="n">
        <v>2018</v>
      </c>
    </row>
    <row r="781" customFormat="false" ht="15" hidden="true" customHeight="false" outlineLevel="0" collapsed="false">
      <c r="A781" s="210" t="s">
        <v>257</v>
      </c>
      <c r="B781" s="149" t="s">
        <v>577</v>
      </c>
      <c r="C781" s="148" t="s">
        <v>3513</v>
      </c>
      <c r="D781" s="148"/>
      <c r="E781" s="148" t="n">
        <v>100</v>
      </c>
      <c r="F781" s="148" t="s">
        <v>562</v>
      </c>
      <c r="G781" s="193" t="s">
        <v>563</v>
      </c>
      <c r="H781" s="105" t="n">
        <f aca="false">'[2]$ зима'!j781-'[2]$ зима'!au781-'[2]$ зима'!at781-'[2]$ зима'!as781-'[2]$ зима'!ar781-'[2]$ зима'!aq781-'[2]$ зима'!ap781-'[2]$ зима'!an781-'[2]$ зима'!am781-'[2]$ зима'!al781-'[2]$ зима'!ak781-'[2]$ зима'!aj781-'[2]$ зима'!ah781-'[2]$ зима'!ag781-'[2]$ зима'!af781-'[2]$ зима'!ae781-'[2]$ зима'!ad781-'[2]$ зима'!ab781-'[2]$ зима'!aa781-'[2]$ зима'!z781-'[2]$ зима'!y781-'[2]$ зима'!x781-'[2]$ зима'!v781-'[2]$ зима'!u781-'[2]$ зима'!t781-'[2]$ зима'!s781-'[2]$ зима'!r781-'[2]$ зима'!p781-'[2]$ зима'!o781-'[2]$ зима'!n781-'[2]$ зима'!m781-'[2]$ зима'!l781+'[2]$ зима'!q781+'[2]$ зима'!w781+'[2]$ зима'!ac781+'[2]$ зима'!ai781+'[2]$ зима'!ao781+'[2]$ зима'!k781</f>
        <v>0</v>
      </c>
      <c r="I781" s="191" t="n">
        <f aca="false">'[2]$ зима'!ay781*1.1</f>
        <v>1786.4</v>
      </c>
      <c r="J781" s="201"/>
    </row>
    <row r="782" customFormat="false" ht="15" hidden="true" customHeight="false" outlineLevel="0" collapsed="false">
      <c r="A782" s="210" t="s">
        <v>257</v>
      </c>
      <c r="B782" s="149" t="s">
        <v>577</v>
      </c>
      <c r="C782" s="148" t="s">
        <v>3514</v>
      </c>
      <c r="D782" s="148"/>
      <c r="E782" s="148" t="n">
        <v>100</v>
      </c>
      <c r="F782" s="148" t="s">
        <v>562</v>
      </c>
      <c r="G782" s="193" t="s">
        <v>563</v>
      </c>
      <c r="H782" s="105" t="n">
        <f aca="false">'[2]$ зима'!j782-'[2]$ зима'!au782-'[2]$ зима'!at782-'[2]$ зима'!as782-'[2]$ зима'!ar782-'[2]$ зима'!aq782-'[2]$ зима'!ap782-'[2]$ зима'!an782-'[2]$ зима'!am782-'[2]$ зима'!al782-'[2]$ зима'!ak782-'[2]$ зима'!aj782-'[2]$ зима'!ah782-'[2]$ зима'!ag782-'[2]$ зима'!af782-'[2]$ зима'!ae782-'[2]$ зима'!ad782-'[2]$ зима'!ab782-'[2]$ зима'!aa782-'[2]$ зима'!z782-'[2]$ зима'!y782-'[2]$ зима'!x782-'[2]$ зима'!v782-'[2]$ зима'!u782-'[2]$ зима'!t782-'[2]$ зима'!s782-'[2]$ зима'!r782-'[2]$ зима'!p782-'[2]$ зима'!o782-'[2]$ зима'!n782-'[2]$ зима'!m782-'[2]$ зима'!l782+'[2]$ зима'!q782+'[2]$ зима'!w782+'[2]$ зима'!ac782+'[2]$ зима'!ai782+'[2]$ зима'!ao782+'[2]$ зима'!k782</f>
        <v>0</v>
      </c>
      <c r="I782" s="191" t="n">
        <f aca="false">'[2]$ зима'!ay782*1.1</f>
        <v>1786.4</v>
      </c>
      <c r="J782" s="201"/>
    </row>
    <row r="783" customFormat="false" ht="15" hidden="true" customHeight="false" outlineLevel="0" collapsed="false">
      <c r="A783" s="188" t="s">
        <v>257</v>
      </c>
      <c r="B783" s="149" t="s">
        <v>574</v>
      </c>
      <c r="C783" s="148" t="s">
        <v>3515</v>
      </c>
      <c r="D783" s="148"/>
      <c r="E783" s="148"/>
      <c r="F783" s="148"/>
      <c r="G783" s="193" t="s">
        <v>576</v>
      </c>
      <c r="H783" s="105" t="n">
        <f aca="false">'[2]$ зима'!j783-'[2]$ зима'!au783-'[2]$ зима'!at783-'[2]$ зима'!as783-'[2]$ зима'!ar783-'[2]$ зима'!aq783-'[2]$ зима'!ap783-'[2]$ зима'!an783-'[2]$ зима'!am783-'[2]$ зима'!al783-'[2]$ зима'!ak783-'[2]$ зима'!aj783-'[2]$ зима'!ah783-'[2]$ зима'!ag783-'[2]$ зима'!af783-'[2]$ зима'!ae783-'[2]$ зима'!ad783-'[2]$ зима'!ab783-'[2]$ зима'!aa783-'[2]$ зима'!z783-'[2]$ зима'!y783-'[2]$ зима'!x783-'[2]$ зима'!v783-'[2]$ зима'!u783-'[2]$ зима'!t783-'[2]$ зима'!s783-'[2]$ зима'!r783-'[2]$ зима'!p783-'[2]$ зима'!o783-'[2]$ зима'!n783-'[2]$ зима'!m783-'[2]$ зима'!l783+'[2]$ зима'!q783+'[2]$ зима'!w783+'[2]$ зима'!ac783+'[2]$ зима'!ai783+'[2]$ зима'!ao783+'[2]$ зима'!k783</f>
        <v>0</v>
      </c>
      <c r="I783" s="191" t="n">
        <f aca="false">'[2]$ зима'!ay783*1.1</f>
        <v>2241.36</v>
      </c>
    </row>
    <row r="784" customFormat="false" ht="15" hidden="true" customHeight="false" outlineLevel="0" collapsed="false">
      <c r="A784" s="188" t="s">
        <v>257</v>
      </c>
      <c r="B784" s="149" t="s">
        <v>574</v>
      </c>
      <c r="C784" s="148" t="s">
        <v>3516</v>
      </c>
      <c r="D784" s="148"/>
      <c r="E784" s="148"/>
      <c r="F784" s="148"/>
      <c r="G784" s="193" t="s">
        <v>576</v>
      </c>
      <c r="H784" s="105" t="n">
        <f aca="false">'[2]$ зима'!j784-'[2]$ зима'!au784-'[2]$ зима'!at784-'[2]$ зима'!as784-'[2]$ зима'!ar784-'[2]$ зима'!aq784-'[2]$ зима'!ap784-'[2]$ зима'!an784-'[2]$ зима'!am784-'[2]$ зима'!al784-'[2]$ зима'!ak784-'[2]$ зима'!aj784-'[2]$ зима'!ah784-'[2]$ зима'!ag784-'[2]$ зима'!af784-'[2]$ зима'!ae784-'[2]$ зима'!ad784-'[2]$ зима'!ab784-'[2]$ зима'!aa784-'[2]$ зима'!z784-'[2]$ зима'!y784-'[2]$ зима'!x784-'[2]$ зима'!v784-'[2]$ зима'!u784-'[2]$ зима'!t784-'[2]$ зима'!s784-'[2]$ зима'!r784-'[2]$ зима'!p784-'[2]$ зима'!o784-'[2]$ зима'!n784-'[2]$ зима'!m784-'[2]$ зима'!l784+'[2]$ зима'!q784+'[2]$ зима'!w784+'[2]$ зима'!ac784+'[2]$ зима'!ai784+'[2]$ зима'!ao784+'[2]$ зима'!k784</f>
        <v>0</v>
      </c>
      <c r="I784" s="191" t="n">
        <f aca="false">'[2]$ зима'!ay784*1.1</f>
        <v>2241.36</v>
      </c>
    </row>
    <row r="785" customFormat="false" ht="15" hidden="false" customHeight="false" outlineLevel="0" collapsed="false">
      <c r="A785" s="188" t="s">
        <v>257</v>
      </c>
      <c r="B785" s="149" t="s">
        <v>577</v>
      </c>
      <c r="C785" s="148" t="s">
        <v>3251</v>
      </c>
      <c r="D785" s="148"/>
      <c r="E785" s="192" t="n">
        <v>100</v>
      </c>
      <c r="F785" s="192" t="s">
        <v>562</v>
      </c>
      <c r="G785" s="193" t="s">
        <v>563</v>
      </c>
      <c r="H785" s="105" t="n">
        <f aca="false">'[2]$ зима'!j785-'[2]$ зима'!au785-'[2]$ зима'!at785-'[2]$ зима'!as785-'[2]$ зима'!ar785-'[2]$ зима'!aq785-'[2]$ зима'!ap785-'[2]$ зима'!an785-'[2]$ зима'!am785-'[2]$ зима'!al785-'[2]$ зима'!ak785-'[2]$ зима'!aj785-'[2]$ зима'!ah785-'[2]$ зима'!ag785-'[2]$ зима'!af785-'[2]$ зима'!ae785-'[2]$ зима'!ad785-'[2]$ зима'!ab785-'[2]$ зима'!aa785-'[2]$ зима'!z785-'[2]$ зима'!y785-'[2]$ зима'!x785-'[2]$ зима'!v785-'[2]$ зима'!u785-'[2]$ зима'!t785-'[2]$ зима'!s785-'[2]$ зима'!r785-'[2]$ зима'!p785-'[2]$ зима'!o785-'[2]$ зима'!n785-'[2]$ зима'!m785-'[2]$ зима'!l785+'[2]$ зима'!q785+'[2]$ зима'!w785+'[2]$ зима'!ac785+'[2]$ зима'!ai785+'[2]$ зима'!ao785+'[2]$ зима'!k785</f>
        <v>4</v>
      </c>
      <c r="I785" s="191" t="n">
        <f aca="false">'[2]$ зима'!ay785*1.1</f>
        <v>1940.4</v>
      </c>
    </row>
    <row r="786" customFormat="false" ht="15" hidden="false" customHeight="false" outlineLevel="0" collapsed="false">
      <c r="A786" s="188" t="s">
        <v>257</v>
      </c>
      <c r="B786" s="149" t="s">
        <v>583</v>
      </c>
      <c r="C786" s="148" t="s">
        <v>3313</v>
      </c>
      <c r="D786" s="148"/>
      <c r="E786" s="192"/>
      <c r="F786" s="192"/>
      <c r="G786" s="193"/>
      <c r="H786" s="105" t="n">
        <f aca="false">'[2]$ зима'!j786-'[2]$ зима'!au786-'[2]$ зима'!at786-'[2]$ зима'!as786-'[2]$ зима'!ar786-'[2]$ зима'!aq786-'[2]$ зима'!ap786-'[2]$ зима'!an786-'[2]$ зима'!am786-'[2]$ зима'!al786-'[2]$ зима'!ak786-'[2]$ зима'!aj786-'[2]$ зима'!ah786-'[2]$ зима'!ag786-'[2]$ зима'!af786-'[2]$ зима'!ae786-'[2]$ зима'!ad786-'[2]$ зима'!ab786-'[2]$ зима'!aa786-'[2]$ зима'!z786-'[2]$ зима'!y786-'[2]$ зима'!x786-'[2]$ зима'!v786-'[2]$ зима'!u786-'[2]$ зима'!t786-'[2]$ зима'!s786-'[2]$ зима'!r786-'[2]$ зима'!p786-'[2]$ зима'!o786-'[2]$ зима'!n786-'[2]$ зима'!m786-'[2]$ зима'!l786+'[2]$ зима'!q786+'[2]$ зима'!w786+'[2]$ зима'!ac786+'[2]$ зима'!ai786+'[2]$ зима'!ao786+'[2]$ зима'!k786</f>
        <v>8</v>
      </c>
      <c r="I786" s="191" t="n">
        <f aca="false">'[2]$ зима'!ay786*1.1</f>
        <v>2156</v>
      </c>
    </row>
    <row r="787" customFormat="false" ht="15" hidden="true" customHeight="false" outlineLevel="0" collapsed="false">
      <c r="A787" s="188" t="s">
        <v>257</v>
      </c>
      <c r="B787" s="149" t="s">
        <v>593</v>
      </c>
      <c r="C787" s="148" t="s">
        <v>3517</v>
      </c>
      <c r="D787" s="148"/>
      <c r="E787" s="148" t="n">
        <v>104</v>
      </c>
      <c r="F787" s="148" t="s">
        <v>634</v>
      </c>
      <c r="G787" s="193"/>
      <c r="H787" s="105" t="n">
        <f aca="false">'[2]$ зима'!j787-'[2]$ зима'!au787-'[2]$ зима'!at787-'[2]$ зима'!as787-'[2]$ зима'!ar787-'[2]$ зима'!aq787-'[2]$ зима'!ap787-'[2]$ зима'!an787-'[2]$ зима'!am787-'[2]$ зима'!al787-'[2]$ зима'!ak787-'[2]$ зима'!aj787-'[2]$ зима'!ah787-'[2]$ зима'!ag787-'[2]$ зима'!af787-'[2]$ зима'!ae787-'[2]$ зима'!ad787-'[2]$ зима'!ab787-'[2]$ зима'!aa787-'[2]$ зима'!z787-'[2]$ зима'!y787-'[2]$ зима'!x787-'[2]$ зима'!v787-'[2]$ зима'!u787-'[2]$ зима'!t787-'[2]$ зима'!s787-'[2]$ зима'!r787-'[2]$ зима'!p787-'[2]$ зима'!o787-'[2]$ зима'!n787-'[2]$ зима'!m787-'[2]$ зима'!l787+'[2]$ зима'!q787+'[2]$ зима'!w787+'[2]$ зима'!ac787+'[2]$ зима'!ai787+'[2]$ зима'!ao787+'[2]$ зима'!k787</f>
        <v>0</v>
      </c>
      <c r="I787" s="191" t="n">
        <f aca="false">'[2]$ зима'!ay787*1.1</f>
        <v>3080</v>
      </c>
    </row>
    <row r="788" customFormat="false" ht="15" hidden="true" customHeight="false" outlineLevel="0" collapsed="false">
      <c r="A788" s="188" t="s">
        <v>257</v>
      </c>
      <c r="B788" s="149" t="s">
        <v>593</v>
      </c>
      <c r="C788" s="148" t="s">
        <v>3518</v>
      </c>
      <c r="D788" s="148"/>
      <c r="E788" s="148" t="n">
        <v>100</v>
      </c>
      <c r="F788" s="148" t="s">
        <v>562</v>
      </c>
      <c r="G788" s="193"/>
      <c r="H788" s="105" t="n">
        <f aca="false">'[2]$ зима'!j788-'[2]$ зима'!au788-'[2]$ зима'!at788-'[2]$ зима'!as788-'[2]$ зима'!ar788-'[2]$ зима'!aq788-'[2]$ зима'!ap788-'[2]$ зима'!an788-'[2]$ зима'!am788-'[2]$ зима'!al788-'[2]$ зима'!ak788-'[2]$ зима'!aj788-'[2]$ зима'!ah788-'[2]$ зима'!ag788-'[2]$ зима'!af788-'[2]$ зима'!ae788-'[2]$ зима'!ad788-'[2]$ зима'!ab788-'[2]$ зима'!aa788-'[2]$ зима'!z788-'[2]$ зима'!y788-'[2]$ зима'!x788-'[2]$ зима'!v788-'[2]$ зима'!u788-'[2]$ зима'!t788-'[2]$ зима'!s788-'[2]$ зима'!r788-'[2]$ зима'!p788-'[2]$ зима'!o788-'[2]$ зима'!n788-'[2]$ зима'!m788-'[2]$ зима'!l788+'[2]$ зима'!q788+'[2]$ зима'!w788+'[2]$ зима'!ac788+'[2]$ зима'!ai788+'[2]$ зима'!ao788+'[2]$ зима'!k788</f>
        <v>0</v>
      </c>
      <c r="I788" s="191" t="n">
        <f aca="false">'[2]$ зима'!ay788*1.1</f>
        <v>3172.4</v>
      </c>
    </row>
    <row r="789" customFormat="false" ht="15" hidden="true" customHeight="false" outlineLevel="0" collapsed="false">
      <c r="A789" s="188" t="s">
        <v>257</v>
      </c>
      <c r="B789" s="149" t="s">
        <v>586</v>
      </c>
      <c r="C789" s="148" t="s">
        <v>3305</v>
      </c>
      <c r="D789" s="148"/>
      <c r="E789" s="148"/>
      <c r="F789" s="148"/>
      <c r="G789" s="193"/>
      <c r="H789" s="105" t="n">
        <f aca="false">'[2]$ зима'!j789-'[2]$ зима'!au789-'[2]$ зима'!at789-'[2]$ зима'!as789-'[2]$ зима'!ar789-'[2]$ зима'!aq789-'[2]$ зима'!ap789-'[2]$ зима'!an789-'[2]$ зима'!am789-'[2]$ зима'!al789-'[2]$ зима'!ak789-'[2]$ зима'!aj789-'[2]$ зима'!ah789-'[2]$ зима'!ag789-'[2]$ зима'!af789-'[2]$ зима'!ae789-'[2]$ зима'!ad789-'[2]$ зима'!ab789-'[2]$ зима'!aa789-'[2]$ зима'!z789-'[2]$ зима'!y789-'[2]$ зима'!x789-'[2]$ зима'!v789-'[2]$ зима'!u789-'[2]$ зима'!t789-'[2]$ зима'!s789-'[2]$ зима'!r789-'[2]$ зима'!p789-'[2]$ зима'!o789-'[2]$ зима'!n789-'[2]$ зима'!m789-'[2]$ зима'!l789+'[2]$ зима'!q789+'[2]$ зима'!w789+'[2]$ зима'!ac789+'[2]$ зима'!ai789+'[2]$ зима'!ao789+'[2]$ зима'!k789</f>
        <v>0</v>
      </c>
      <c r="I789" s="191" t="n">
        <f aca="false">'[2]$ зима'!ay789*1.1</f>
        <v>1540</v>
      </c>
      <c r="J789" s="171" t="n">
        <v>2017</v>
      </c>
    </row>
    <row r="790" customFormat="false" ht="15" hidden="false" customHeight="false" outlineLevel="0" collapsed="false">
      <c r="A790" s="196" t="s">
        <v>257</v>
      </c>
      <c r="B790" s="149" t="s">
        <v>3142</v>
      </c>
      <c r="C790" s="148" t="s">
        <v>3519</v>
      </c>
      <c r="D790" s="148"/>
      <c r="E790" s="192"/>
      <c r="F790" s="192"/>
      <c r="G790" s="193"/>
      <c r="H790" s="105" t="n">
        <f aca="false">'[2]$ зима'!j790-'[2]$ зима'!au790-'[2]$ зима'!at790-'[2]$ зима'!as790-'[2]$ зима'!ar790-'[2]$ зима'!aq790-'[2]$ зима'!ap790-'[2]$ зима'!an790-'[2]$ зима'!am790-'[2]$ зима'!al790-'[2]$ зима'!ak790-'[2]$ зима'!aj790-'[2]$ зима'!ah790-'[2]$ зима'!ag790-'[2]$ зима'!af790-'[2]$ зима'!ae790-'[2]$ зима'!ad790-'[2]$ зима'!ab790-'[2]$ зима'!aa790-'[2]$ зима'!z790-'[2]$ зима'!y790-'[2]$ зима'!x790-'[2]$ зима'!v790-'[2]$ зима'!u790-'[2]$ зима'!t790-'[2]$ зима'!s790-'[2]$ зима'!r790-'[2]$ зима'!p790-'[2]$ зима'!o790-'[2]$ зима'!n790-'[2]$ зима'!m790-'[2]$ зима'!l790+'[2]$ зима'!q790+'[2]$ зима'!w790+'[2]$ зима'!ac790+'[2]$ зима'!ai790+'[2]$ зима'!ao790+'[2]$ зима'!k790</f>
        <v>4</v>
      </c>
      <c r="I790" s="191" t="n">
        <f aca="false">'[2]$ зима'!ay790*1.1</f>
        <v>2063.6</v>
      </c>
      <c r="J790" s="171" t="n">
        <v>2016</v>
      </c>
    </row>
    <row r="791" customFormat="false" ht="15" hidden="false" customHeight="false" outlineLevel="0" collapsed="false">
      <c r="A791" s="196" t="s">
        <v>257</v>
      </c>
      <c r="B791" s="149" t="s">
        <v>621</v>
      </c>
      <c r="C791" s="148" t="s">
        <v>3500</v>
      </c>
      <c r="D791" s="148"/>
      <c r="E791" s="192" t="n">
        <v>100</v>
      </c>
      <c r="F791" s="192" t="s">
        <v>562</v>
      </c>
      <c r="G791" s="193" t="s">
        <v>520</v>
      </c>
      <c r="H791" s="105" t="n">
        <f aca="false">'[2]$ зима'!j791-'[2]$ зима'!au791-'[2]$ зима'!at791-'[2]$ зима'!as791-'[2]$ зима'!ar791-'[2]$ зима'!aq791-'[2]$ зима'!ap791-'[2]$ зима'!an791-'[2]$ зима'!am791-'[2]$ зима'!al791-'[2]$ зима'!ak791-'[2]$ зима'!aj791-'[2]$ зима'!ah791-'[2]$ зима'!ag791-'[2]$ зима'!af791-'[2]$ зима'!ae791-'[2]$ зима'!ad791-'[2]$ зима'!ab791-'[2]$ зима'!aa791-'[2]$ зима'!z791-'[2]$ зима'!y791-'[2]$ зима'!x791-'[2]$ зима'!v791-'[2]$ зима'!u791-'[2]$ зима'!t791-'[2]$ зима'!s791-'[2]$ зима'!r791-'[2]$ зима'!p791-'[2]$ зима'!o791-'[2]$ зима'!n791-'[2]$ зима'!m791-'[2]$ зима'!l791+'[2]$ зима'!q791+'[2]$ зима'!w791+'[2]$ зима'!ac791+'[2]$ зима'!ai791+'[2]$ зима'!ao791+'[2]$ зима'!k791</f>
        <v>8</v>
      </c>
      <c r="I791" s="191" t="n">
        <f aca="false">'[2]$ зима'!ay791*1.1</f>
        <v>1815</v>
      </c>
    </row>
    <row r="792" customFormat="false" ht="15" hidden="true" customHeight="false" outlineLevel="0" collapsed="false">
      <c r="A792" s="196" t="s">
        <v>257</v>
      </c>
      <c r="B792" s="149" t="s">
        <v>589</v>
      </c>
      <c r="C792" s="148" t="s">
        <v>3520</v>
      </c>
      <c r="D792" s="148"/>
      <c r="E792" s="148"/>
      <c r="F792" s="148"/>
      <c r="G792" s="193" t="s">
        <v>626</v>
      </c>
      <c r="H792" s="105" t="n">
        <f aca="false">'[2]$ зима'!j792-'[2]$ зима'!au792-'[2]$ зима'!at792-'[2]$ зима'!as792-'[2]$ зима'!ar792-'[2]$ зима'!aq792-'[2]$ зима'!ap792-'[2]$ зима'!an792-'[2]$ зима'!am792-'[2]$ зима'!al792-'[2]$ зима'!ak792-'[2]$ зима'!aj792-'[2]$ зима'!ah792-'[2]$ зима'!ag792-'[2]$ зима'!af792-'[2]$ зима'!ae792-'[2]$ зима'!ad792-'[2]$ зима'!ab792-'[2]$ зима'!aa792-'[2]$ зима'!z792-'[2]$ зима'!y792-'[2]$ зима'!x792-'[2]$ зима'!v792-'[2]$ зима'!u792-'[2]$ зима'!t792-'[2]$ зима'!s792-'[2]$ зима'!r792-'[2]$ зима'!p792-'[2]$ зима'!o792-'[2]$ зима'!n792-'[2]$ зима'!m792-'[2]$ зима'!l792+'[2]$ зима'!q792+'[2]$ зима'!w792+'[2]$ зима'!ac792+'[2]$ зима'!ai792+'[2]$ зима'!ao792+'[2]$ зима'!k792</f>
        <v>0</v>
      </c>
      <c r="I792" s="191" t="n">
        <f aca="false">'[2]$ зима'!ay792*1.1</f>
        <v>2801.7</v>
      </c>
    </row>
    <row r="793" customFormat="false" ht="15" hidden="true" customHeight="false" outlineLevel="0" collapsed="false">
      <c r="A793" s="196" t="s">
        <v>257</v>
      </c>
      <c r="B793" s="149" t="s">
        <v>589</v>
      </c>
      <c r="C793" s="148" t="s">
        <v>3521</v>
      </c>
      <c r="D793" s="148"/>
      <c r="E793" s="148"/>
      <c r="F793" s="148"/>
      <c r="G793" s="193" t="s">
        <v>626</v>
      </c>
      <c r="H793" s="105" t="n">
        <f aca="false">'[2]$ зима'!j793-'[2]$ зима'!au793-'[2]$ зима'!at793-'[2]$ зима'!as793-'[2]$ зима'!ar793-'[2]$ зима'!aq793-'[2]$ зима'!ap793-'[2]$ зима'!an793-'[2]$ зима'!am793-'[2]$ зима'!al793-'[2]$ зима'!ak793-'[2]$ зима'!aj793-'[2]$ зима'!ah793-'[2]$ зима'!ag793-'[2]$ зима'!af793-'[2]$ зима'!ae793-'[2]$ зима'!ad793-'[2]$ зима'!ab793-'[2]$ зима'!aa793-'[2]$ зима'!z793-'[2]$ зима'!y793-'[2]$ зима'!x793-'[2]$ зима'!v793-'[2]$ зима'!u793-'[2]$ зима'!t793-'[2]$ зима'!s793-'[2]$ зима'!r793-'[2]$ зима'!p793-'[2]$ зима'!o793-'[2]$ зима'!n793-'[2]$ зима'!m793-'[2]$ зима'!l793+'[2]$ зима'!q793+'[2]$ зима'!w793+'[2]$ зима'!ac793+'[2]$ зима'!ai793+'[2]$ зима'!ao793+'[2]$ зима'!k793</f>
        <v>0</v>
      </c>
      <c r="I793" s="191" t="n">
        <f aca="false">'[2]$ зима'!ay793*1.1</f>
        <v>2832.83</v>
      </c>
    </row>
    <row r="794" customFormat="false" ht="15" hidden="false" customHeight="false" outlineLevel="0" collapsed="false">
      <c r="A794" s="196" t="s">
        <v>257</v>
      </c>
      <c r="B794" s="149" t="s">
        <v>564</v>
      </c>
      <c r="C794" s="148" t="s">
        <v>3308</v>
      </c>
      <c r="D794" s="148"/>
      <c r="E794" s="192" t="n">
        <v>104</v>
      </c>
      <c r="F794" s="192" t="s">
        <v>3207</v>
      </c>
      <c r="G794" s="193"/>
      <c r="H794" s="105" t="n">
        <f aca="false">'[2]$ зима'!j794-'[2]$ зима'!au794-'[2]$ зима'!at794-'[2]$ зима'!as794-'[2]$ зима'!ar794-'[2]$ зима'!aq794-'[2]$ зима'!ap794-'[2]$ зима'!an794-'[2]$ зима'!am794-'[2]$ зима'!al794-'[2]$ зима'!ak794-'[2]$ зима'!aj794-'[2]$ зима'!ah794-'[2]$ зима'!ag794-'[2]$ зима'!af794-'[2]$ зима'!ae794-'[2]$ зима'!ad794-'[2]$ зима'!ab794-'[2]$ зима'!aa794-'[2]$ зима'!z794-'[2]$ зима'!y794-'[2]$ зима'!x794-'[2]$ зима'!v794-'[2]$ зима'!u794-'[2]$ зима'!t794-'[2]$ зима'!s794-'[2]$ зима'!r794-'[2]$ зима'!p794-'[2]$ зима'!o794-'[2]$ зима'!n794-'[2]$ зима'!m794-'[2]$ зима'!l794+'[2]$ зима'!q794+'[2]$ зима'!w794+'[2]$ зима'!ac794+'[2]$ зима'!ai794+'[2]$ зима'!ao794+'[2]$ зима'!k794</f>
        <v>8</v>
      </c>
      <c r="I794" s="191" t="n">
        <f aca="false">'[2]$ зима'!ay794*1.1</f>
        <v>1694</v>
      </c>
      <c r="J794" s="171" t="n">
        <v>2017</v>
      </c>
    </row>
    <row r="795" customFormat="false" ht="15" hidden="false" customHeight="false" outlineLevel="0" collapsed="false">
      <c r="A795" s="196" t="s">
        <v>257</v>
      </c>
      <c r="B795" s="149" t="s">
        <v>1028</v>
      </c>
      <c r="C795" s="148" t="s">
        <v>3522</v>
      </c>
      <c r="D795" s="148"/>
      <c r="E795" s="192" t="n">
        <v>100</v>
      </c>
      <c r="F795" s="192" t="s">
        <v>3207</v>
      </c>
      <c r="G795" s="193"/>
      <c r="H795" s="105" t="n">
        <f aca="false">'[2]$ зима'!j795-'[2]$ зима'!au795-'[2]$ зима'!at795-'[2]$ зима'!as795-'[2]$ зима'!ar795-'[2]$ зима'!aq795-'[2]$ зима'!ap795-'[2]$ зима'!an795-'[2]$ зима'!am795-'[2]$ зима'!al795-'[2]$ зима'!ak795-'[2]$ зима'!aj795-'[2]$ зима'!ah795-'[2]$ зима'!ag795-'[2]$ зима'!af795-'[2]$ зима'!ae795-'[2]$ зима'!ad795-'[2]$ зима'!ab795-'[2]$ зима'!aa795-'[2]$ зима'!z795-'[2]$ зима'!y795-'[2]$ зима'!x795-'[2]$ зима'!v795-'[2]$ зима'!u795-'[2]$ зима'!t795-'[2]$ зима'!s795-'[2]$ зима'!r795-'[2]$ зима'!p795-'[2]$ зима'!o795-'[2]$ зима'!n795-'[2]$ зима'!m795-'[2]$ зима'!l795+'[2]$ зима'!q795+'[2]$ зима'!w795+'[2]$ зима'!ac795+'[2]$ зима'!ai795+'[2]$ зима'!ao795+'[2]$ зима'!k795</f>
        <v>4</v>
      </c>
      <c r="I795" s="191" t="n">
        <f aca="false">'[2]$ зима'!ay795*1.1</f>
        <v>2248.4</v>
      </c>
    </row>
    <row r="796" customFormat="false" ht="15" hidden="true" customHeight="false" outlineLevel="0" collapsed="false">
      <c r="A796" s="196" t="s">
        <v>257</v>
      </c>
      <c r="B796" s="149" t="s">
        <v>1028</v>
      </c>
      <c r="C796" s="148" t="s">
        <v>3177</v>
      </c>
      <c r="D796" s="148"/>
      <c r="E796" s="148"/>
      <c r="F796" s="148"/>
      <c r="G796" s="193"/>
      <c r="H796" s="105" t="n">
        <f aca="false">'[2]$ зима'!j796-'[2]$ зима'!au796-'[2]$ зима'!at796-'[2]$ зима'!as796-'[2]$ зима'!ar796-'[2]$ зима'!aq796-'[2]$ зима'!ap796-'[2]$ зима'!an796-'[2]$ зима'!am796-'[2]$ зима'!al796-'[2]$ зима'!ak796-'[2]$ зима'!aj796-'[2]$ зима'!ah796-'[2]$ зима'!ag796-'[2]$ зима'!af796-'[2]$ зима'!ae796-'[2]$ зима'!ad796-'[2]$ зима'!ab796-'[2]$ зима'!aa796-'[2]$ зима'!z796-'[2]$ зима'!y796-'[2]$ зима'!x796-'[2]$ зима'!v796-'[2]$ зима'!u796-'[2]$ зима'!t796-'[2]$ зима'!s796-'[2]$ зима'!r796-'[2]$ зима'!p796-'[2]$ зима'!o796-'[2]$ зима'!n796-'[2]$ зима'!m796-'[2]$ зима'!l796+'[2]$ зима'!q796+'[2]$ зима'!w796+'[2]$ зима'!ac796+'[2]$ зима'!ai796+'[2]$ зима'!ao796+'[2]$ зима'!k796</f>
        <v>0</v>
      </c>
      <c r="I796" s="191" t="n">
        <f aca="false">'[2]$ зима'!ay796*1.1</f>
        <v>2618</v>
      </c>
    </row>
    <row r="797" customFormat="false" ht="15" hidden="false" customHeight="false" outlineLevel="0" collapsed="false">
      <c r="A797" s="196" t="s">
        <v>1357</v>
      </c>
      <c r="B797" s="149" t="s">
        <v>707</v>
      </c>
      <c r="C797" s="148" t="s">
        <v>3523</v>
      </c>
      <c r="D797" s="148"/>
      <c r="E797" s="192"/>
      <c r="F797" s="192"/>
      <c r="G797" s="193"/>
      <c r="H797" s="105" t="n">
        <f aca="false">'[2]$ зима'!j797-'[2]$ зима'!au797-'[2]$ зима'!at797-'[2]$ зима'!as797-'[2]$ зима'!ar797-'[2]$ зима'!aq797-'[2]$ зима'!ap797-'[2]$ зима'!an797-'[2]$ зима'!am797-'[2]$ зима'!al797-'[2]$ зима'!ak797-'[2]$ зима'!aj797-'[2]$ зима'!ah797-'[2]$ зима'!ag797-'[2]$ зима'!af797-'[2]$ зима'!ae797-'[2]$ зима'!ad797-'[2]$ зима'!ab797-'[2]$ зима'!aa797-'[2]$ зима'!z797-'[2]$ зима'!y797-'[2]$ зима'!x797-'[2]$ зима'!v797-'[2]$ зима'!u797-'[2]$ зима'!t797-'[2]$ зима'!s797-'[2]$ зима'!r797-'[2]$ зима'!p797-'[2]$ зима'!o797-'[2]$ зима'!n797-'[2]$ зима'!m797-'[2]$ зима'!l797+'[2]$ зима'!q797+'[2]$ зима'!w797+'[2]$ зима'!ac797+'[2]$ зима'!ai797+'[2]$ зима'!ao797+'[2]$ зима'!k797</f>
        <v>4</v>
      </c>
      <c r="I797" s="191" t="n">
        <f aca="false">'[2]$ зима'!ay797*1.1</f>
        <v>1540</v>
      </c>
    </row>
    <row r="798" customFormat="false" ht="15" hidden="false" customHeight="false" outlineLevel="0" collapsed="false">
      <c r="A798" s="188" t="s">
        <v>259</v>
      </c>
      <c r="B798" s="149" t="s">
        <v>844</v>
      </c>
      <c r="C798" s="148" t="s">
        <v>3192</v>
      </c>
      <c r="D798" s="148"/>
      <c r="E798" s="192"/>
      <c r="F798" s="192"/>
      <c r="G798" s="193"/>
      <c r="H798" s="105" t="n">
        <f aca="false">'[2]$ зима'!j798-'[2]$ зима'!au798-'[2]$ зима'!at798-'[2]$ зима'!as798-'[2]$ зима'!ar798-'[2]$ зима'!aq798-'[2]$ зима'!ap798-'[2]$ зима'!an798-'[2]$ зима'!am798-'[2]$ зима'!al798-'[2]$ зима'!ak798-'[2]$ зима'!aj798-'[2]$ зима'!ah798-'[2]$ зима'!ag798-'[2]$ зима'!af798-'[2]$ зима'!ae798-'[2]$ зима'!ad798-'[2]$ зима'!ab798-'[2]$ зима'!aa798-'[2]$ зима'!z798-'[2]$ зима'!y798-'[2]$ зима'!x798-'[2]$ зима'!v798-'[2]$ зима'!u798-'[2]$ зима'!t798-'[2]$ зима'!s798-'[2]$ зима'!r798-'[2]$ зима'!p798-'[2]$ зима'!o798-'[2]$ зима'!n798-'[2]$ зима'!m798-'[2]$ зима'!l798+'[2]$ зима'!q798+'[2]$ зима'!w798+'[2]$ зима'!ac798+'[2]$ зима'!ai798+'[2]$ зима'!ao798+'[2]$ зима'!k798</f>
        <v>4</v>
      </c>
      <c r="I798" s="191" t="n">
        <f aca="false">'[2]$ зима'!ay798*1.1</f>
        <v>2371.6</v>
      </c>
    </row>
    <row r="799" customFormat="false" ht="15" hidden="true" customHeight="false" outlineLevel="0" collapsed="false">
      <c r="A799" s="188" t="s">
        <v>259</v>
      </c>
      <c r="B799" s="149" t="s">
        <v>601</v>
      </c>
      <c r="C799" s="148" t="s">
        <v>3151</v>
      </c>
      <c r="D799" s="148"/>
      <c r="E799" s="148"/>
      <c r="F799" s="148"/>
      <c r="G799" s="193"/>
      <c r="H799" s="105" t="n">
        <f aca="false">'[2]$ зима'!j799-'[2]$ зима'!au799-'[2]$ зима'!at799-'[2]$ зима'!as799-'[2]$ зима'!ar799-'[2]$ зима'!aq799-'[2]$ зима'!ap799-'[2]$ зима'!an799-'[2]$ зима'!am799-'[2]$ зима'!al799-'[2]$ зима'!ak799-'[2]$ зима'!aj799-'[2]$ зима'!ah799-'[2]$ зима'!ag799-'[2]$ зима'!af799-'[2]$ зима'!ae799-'[2]$ зима'!ad799-'[2]$ зима'!ab799-'[2]$ зима'!aa799-'[2]$ зима'!z799-'[2]$ зима'!y799-'[2]$ зима'!x799-'[2]$ зима'!v799-'[2]$ зима'!u799-'[2]$ зима'!t799-'[2]$ зима'!s799-'[2]$ зима'!r799-'[2]$ зима'!p799-'[2]$ зима'!o799-'[2]$ зима'!n799-'[2]$ зима'!m799-'[2]$ зима'!l799+'[2]$ зима'!q799+'[2]$ зима'!w799+'[2]$ зима'!ac799+'[2]$ зима'!ai799+'[2]$ зима'!ao799+'[2]$ зима'!k799</f>
        <v>0</v>
      </c>
      <c r="I799" s="191" t="n">
        <f aca="false">'[2]$ зима'!ay799*1.1</f>
        <v>2772</v>
      </c>
    </row>
    <row r="800" customFormat="false" ht="15" hidden="false" customHeight="false" outlineLevel="0" collapsed="false">
      <c r="A800" s="188" t="s">
        <v>259</v>
      </c>
      <c r="B800" s="149" t="s">
        <v>601</v>
      </c>
      <c r="C800" s="148" t="s">
        <v>3150</v>
      </c>
      <c r="D800" s="148"/>
      <c r="E800" s="192"/>
      <c r="F800" s="192"/>
      <c r="G800" s="193"/>
      <c r="H800" s="105" t="n">
        <f aca="false">'[2]$ зима'!j800-'[2]$ зима'!au800-'[2]$ зима'!at800-'[2]$ зима'!as800-'[2]$ зима'!ar800-'[2]$ зима'!aq800-'[2]$ зима'!ap800-'[2]$ зима'!an800-'[2]$ зима'!am800-'[2]$ зима'!al800-'[2]$ зима'!ak800-'[2]$ зима'!aj800-'[2]$ зима'!ah800-'[2]$ зима'!ag800-'[2]$ зима'!af800-'[2]$ зима'!ae800-'[2]$ зима'!ad800-'[2]$ зима'!ab800-'[2]$ зима'!aa800-'[2]$ зима'!z800-'[2]$ зима'!y800-'[2]$ зима'!x800-'[2]$ зима'!v800-'[2]$ зима'!u800-'[2]$ зима'!t800-'[2]$ зима'!s800-'[2]$ зима'!r800-'[2]$ зима'!p800-'[2]$ зима'!o800-'[2]$ зима'!n800-'[2]$ зима'!m800-'[2]$ зима'!l800+'[2]$ зима'!q800+'[2]$ зима'!w800+'[2]$ зима'!ac800+'[2]$ зима'!ai800+'[2]$ зима'!ao800+'[2]$ зима'!k800</f>
        <v>4</v>
      </c>
      <c r="I800" s="191" t="n">
        <f aca="false">'[2]$ зима'!ay800*1.1</f>
        <v>3542</v>
      </c>
      <c r="J800" s="171" t="n">
        <v>2016</v>
      </c>
    </row>
    <row r="801" customFormat="false" ht="15" hidden="true" customHeight="false" outlineLevel="0" collapsed="false">
      <c r="A801" s="188" t="s">
        <v>259</v>
      </c>
      <c r="B801" s="149" t="s">
        <v>707</v>
      </c>
      <c r="C801" s="148" t="s">
        <v>3408</v>
      </c>
      <c r="D801" s="148"/>
      <c r="E801" s="148"/>
      <c r="F801" s="148"/>
      <c r="G801" s="193"/>
      <c r="H801" s="105" t="n">
        <f aca="false">'[2]$ зима'!j801-'[2]$ зима'!au801-'[2]$ зима'!at801-'[2]$ зима'!as801-'[2]$ зима'!ar801-'[2]$ зима'!aq801-'[2]$ зима'!ap801-'[2]$ зима'!an801-'[2]$ зима'!am801-'[2]$ зима'!al801-'[2]$ зима'!ak801-'[2]$ зима'!aj801-'[2]$ зима'!ah801-'[2]$ зима'!ag801-'[2]$ зима'!af801-'[2]$ зима'!ae801-'[2]$ зима'!ad801-'[2]$ зима'!ab801-'[2]$ зима'!aa801-'[2]$ зима'!z801-'[2]$ зима'!y801-'[2]$ зима'!x801-'[2]$ зима'!v801-'[2]$ зима'!u801-'[2]$ зима'!t801-'[2]$ зима'!s801-'[2]$ зима'!r801-'[2]$ зима'!p801-'[2]$ зима'!o801-'[2]$ зима'!n801-'[2]$ зима'!m801-'[2]$ зима'!l801+'[2]$ зима'!q801+'[2]$ зима'!w801+'[2]$ зима'!ac801+'[2]$ зима'!ai801+'[2]$ зима'!ao801+'[2]$ зима'!k801</f>
        <v>0</v>
      </c>
      <c r="I801" s="191" t="n">
        <f aca="false">'[2]$ зима'!ay801*1.1</f>
        <v>2156</v>
      </c>
    </row>
    <row r="802" customFormat="false" ht="15" hidden="false" customHeight="false" outlineLevel="0" collapsed="false">
      <c r="A802" s="217" t="s">
        <v>259</v>
      </c>
      <c r="B802" s="157" t="s">
        <v>948</v>
      </c>
      <c r="C802" s="158" t="s">
        <v>3524</v>
      </c>
      <c r="D802" s="158"/>
      <c r="E802" s="224"/>
      <c r="F802" s="224"/>
      <c r="G802" s="218"/>
      <c r="H802" s="105" t="n">
        <f aca="false">'[2]$ зима'!j802-'[2]$ зима'!au802-'[2]$ зима'!at802-'[2]$ зима'!as802-'[2]$ зима'!ar802-'[2]$ зима'!aq802-'[2]$ зима'!ap802-'[2]$ зима'!an802-'[2]$ зима'!am802-'[2]$ зима'!al802-'[2]$ зима'!ak802-'[2]$ зима'!aj802-'[2]$ зима'!ah802-'[2]$ зима'!ag802-'[2]$ зима'!af802-'[2]$ зима'!ae802-'[2]$ зима'!ad802-'[2]$ зима'!ab802-'[2]$ зима'!aa802-'[2]$ зима'!z802-'[2]$ зима'!y802-'[2]$ зима'!x802-'[2]$ зима'!v802-'[2]$ зима'!u802-'[2]$ зима'!t802-'[2]$ зима'!s802-'[2]$ зима'!r802-'[2]$ зима'!p802-'[2]$ зима'!o802-'[2]$ зима'!n802-'[2]$ зима'!m802-'[2]$ зима'!l802+'[2]$ зима'!q802+'[2]$ зима'!w802+'[2]$ зима'!ac802+'[2]$ зима'!ai802+'[2]$ зима'!ao802+'[2]$ зима'!k802</f>
        <v>1</v>
      </c>
      <c r="I802" s="219" t="n">
        <f aca="false">'[2]$ зима'!ay802*1.1</f>
        <v>110</v>
      </c>
    </row>
    <row r="803" customFormat="false" ht="15" hidden="true" customHeight="false" outlineLevel="0" collapsed="false">
      <c r="A803" s="188" t="s">
        <v>259</v>
      </c>
      <c r="B803" s="149" t="s">
        <v>606</v>
      </c>
      <c r="C803" s="148" t="s">
        <v>3525</v>
      </c>
      <c r="D803" s="148" t="s">
        <v>3147</v>
      </c>
      <c r="E803" s="148"/>
      <c r="F803" s="148"/>
      <c r="G803" s="193"/>
      <c r="H803" s="105" t="n">
        <f aca="false">'[2]$ зима'!j803-'[2]$ зима'!au803-'[2]$ зима'!at803-'[2]$ зима'!as803-'[2]$ зима'!ar803-'[2]$ зима'!aq803-'[2]$ зима'!ap803-'[2]$ зима'!an803-'[2]$ зима'!am803-'[2]$ зима'!al803-'[2]$ зима'!ak803-'[2]$ зима'!aj803-'[2]$ зима'!ah803-'[2]$ зима'!ag803-'[2]$ зима'!af803-'[2]$ зима'!ae803-'[2]$ зима'!ad803-'[2]$ зима'!ab803-'[2]$ зима'!aa803-'[2]$ зима'!z803-'[2]$ зима'!y803-'[2]$ зима'!x803-'[2]$ зима'!v803-'[2]$ зима'!u803-'[2]$ зима'!t803-'[2]$ зима'!s803-'[2]$ зима'!r803-'[2]$ зима'!p803-'[2]$ зима'!o803-'[2]$ зима'!n803-'[2]$ зима'!m803-'[2]$ зима'!l803+'[2]$ зима'!q803+'[2]$ зима'!w803+'[2]$ зима'!ac803+'[2]$ зима'!ai803+'[2]$ зима'!ao803+'[2]$ зима'!k803</f>
        <v>0</v>
      </c>
      <c r="I803" s="191" t="n">
        <f aca="false">'[2]$ зима'!ay803*1.1</f>
        <v>2618</v>
      </c>
    </row>
    <row r="804" customFormat="false" ht="15" hidden="false" customHeight="false" outlineLevel="0" collapsed="false">
      <c r="A804" s="188" t="s">
        <v>259</v>
      </c>
      <c r="B804" s="149" t="s">
        <v>606</v>
      </c>
      <c r="C804" s="148" t="s">
        <v>3156</v>
      </c>
      <c r="D804" s="148"/>
      <c r="E804" s="192" t="n">
        <v>99</v>
      </c>
      <c r="F804" s="192" t="s">
        <v>3216</v>
      </c>
      <c r="G804" s="193" t="s">
        <v>609</v>
      </c>
      <c r="H804" s="105" t="n">
        <f aca="false">'[2]$ зима'!j804-'[2]$ зима'!au804-'[2]$ зима'!at804-'[2]$ зима'!as804-'[2]$ зима'!ar804-'[2]$ зима'!aq804-'[2]$ зима'!ap804-'[2]$ зима'!an804-'[2]$ зима'!am804-'[2]$ зима'!al804-'[2]$ зима'!ak804-'[2]$ зима'!aj804-'[2]$ зима'!ah804-'[2]$ зима'!ag804-'[2]$ зима'!af804-'[2]$ зима'!ae804-'[2]$ зима'!ad804-'[2]$ зима'!ab804-'[2]$ зима'!aa804-'[2]$ зима'!z804-'[2]$ зима'!y804-'[2]$ зима'!x804-'[2]$ зима'!v804-'[2]$ зима'!u804-'[2]$ зима'!t804-'[2]$ зима'!s804-'[2]$ зима'!r804-'[2]$ зима'!p804-'[2]$ зима'!o804-'[2]$ зима'!n804-'[2]$ зима'!m804-'[2]$ зима'!l804+'[2]$ зима'!q804+'[2]$ зима'!w804+'[2]$ зима'!ac804+'[2]$ зима'!ai804+'[2]$ зима'!ao804+'[2]$ зима'!k804</f>
        <v>4</v>
      </c>
      <c r="I804" s="191" t="n">
        <f aca="false">'[2]$ зима'!ay804*1.1</f>
        <v>2464</v>
      </c>
      <c r="J804" s="171" t="n">
        <v>2018</v>
      </c>
    </row>
    <row r="805" customFormat="false" ht="15" hidden="true" customHeight="false" outlineLevel="0" collapsed="false">
      <c r="A805" s="188" t="s">
        <v>259</v>
      </c>
      <c r="B805" s="149" t="s">
        <v>668</v>
      </c>
      <c r="C805" s="148" t="s">
        <v>3233</v>
      </c>
      <c r="D805" s="148"/>
      <c r="E805" s="148"/>
      <c r="F805" s="148"/>
      <c r="G805" s="193"/>
      <c r="H805" s="105" t="n">
        <f aca="false">'[2]$ зима'!j805-'[2]$ зима'!au805-'[2]$ зима'!at805-'[2]$ зима'!as805-'[2]$ зима'!ar805-'[2]$ зима'!aq805-'[2]$ зима'!ap805-'[2]$ зима'!an805-'[2]$ зима'!am805-'[2]$ зима'!al805-'[2]$ зима'!ak805-'[2]$ зима'!aj805-'[2]$ зима'!ah805-'[2]$ зима'!ag805-'[2]$ зима'!af805-'[2]$ зима'!ae805-'[2]$ зима'!ad805-'[2]$ зима'!ab805-'[2]$ зима'!aa805-'[2]$ зима'!z805-'[2]$ зима'!y805-'[2]$ зима'!x805-'[2]$ зима'!v805-'[2]$ зима'!u805-'[2]$ зима'!t805-'[2]$ зима'!s805-'[2]$ зима'!r805-'[2]$ зима'!p805-'[2]$ зима'!o805-'[2]$ зима'!n805-'[2]$ зима'!m805-'[2]$ зима'!l805+'[2]$ зима'!q805+'[2]$ зима'!w805+'[2]$ зима'!ac805+'[2]$ зима'!ai805+'[2]$ зима'!ao805+'[2]$ зима'!k805</f>
        <v>0</v>
      </c>
      <c r="I805" s="191" t="n">
        <f aca="false">'[2]$ зима'!ay805*1.1</f>
        <v>2433.2</v>
      </c>
    </row>
    <row r="806" customFormat="false" ht="15" hidden="true" customHeight="false" outlineLevel="0" collapsed="false">
      <c r="A806" s="188" t="s">
        <v>259</v>
      </c>
      <c r="B806" s="149" t="s">
        <v>574</v>
      </c>
      <c r="C806" s="148" t="s">
        <v>3200</v>
      </c>
      <c r="D806" s="148"/>
      <c r="E806" s="148"/>
      <c r="F806" s="148"/>
      <c r="G806" s="193" t="s">
        <v>576</v>
      </c>
      <c r="H806" s="105" t="n">
        <f aca="false">'[2]$ зима'!j806-'[2]$ зима'!au806-'[2]$ зима'!at806-'[2]$ зима'!as806-'[2]$ зима'!ar806-'[2]$ зима'!aq806-'[2]$ зима'!ap806-'[2]$ зима'!an806-'[2]$ зима'!am806-'[2]$ зима'!al806-'[2]$ зима'!ak806-'[2]$ зима'!aj806-'[2]$ зима'!ah806-'[2]$ зима'!ag806-'[2]$ зима'!af806-'[2]$ зима'!ae806-'[2]$ зима'!ad806-'[2]$ зима'!ab806-'[2]$ зима'!aa806-'[2]$ зима'!z806-'[2]$ зима'!y806-'[2]$ зима'!x806-'[2]$ зима'!v806-'[2]$ зима'!u806-'[2]$ зима'!t806-'[2]$ зима'!s806-'[2]$ зима'!r806-'[2]$ зима'!p806-'[2]$ зима'!o806-'[2]$ зима'!n806-'[2]$ зима'!m806-'[2]$ зима'!l806+'[2]$ зима'!q806+'[2]$ зима'!w806+'[2]$ зима'!ac806+'[2]$ зима'!ai806+'[2]$ зима'!ao806+'[2]$ зима'!k806</f>
        <v>0</v>
      </c>
      <c r="I806" s="191" t="n">
        <f aca="false">'[2]$ зима'!ay806*1.1</f>
        <v>2147.97</v>
      </c>
    </row>
    <row r="807" customFormat="false" ht="15" hidden="false" customHeight="false" outlineLevel="0" collapsed="false">
      <c r="A807" s="188" t="s">
        <v>259</v>
      </c>
      <c r="B807" s="149" t="s">
        <v>593</v>
      </c>
      <c r="C807" s="148" t="s">
        <v>3342</v>
      </c>
      <c r="D807" s="148"/>
      <c r="E807" s="192" t="n">
        <v>99</v>
      </c>
      <c r="F807" s="192" t="s">
        <v>634</v>
      </c>
      <c r="G807" s="193" t="s">
        <v>911</v>
      </c>
      <c r="H807" s="105" t="n">
        <f aca="false">'[2]$ зима'!j807-'[2]$ зима'!au807-'[2]$ зима'!at807-'[2]$ зима'!as807-'[2]$ зима'!ar807-'[2]$ зима'!aq807-'[2]$ зима'!ap807-'[2]$ зима'!an807-'[2]$ зима'!am807-'[2]$ зима'!al807-'[2]$ зима'!ak807-'[2]$ зима'!aj807-'[2]$ зима'!ah807-'[2]$ зима'!ag807-'[2]$ зима'!af807-'[2]$ зима'!ae807-'[2]$ зима'!ad807-'[2]$ зима'!ab807-'[2]$ зима'!aa807-'[2]$ зима'!z807-'[2]$ зима'!y807-'[2]$ зима'!x807-'[2]$ зима'!v807-'[2]$ зима'!u807-'[2]$ зима'!t807-'[2]$ зима'!s807-'[2]$ зима'!r807-'[2]$ зима'!p807-'[2]$ зима'!o807-'[2]$ зима'!n807-'[2]$ зима'!m807-'[2]$ зима'!l807+'[2]$ зима'!q807+'[2]$ зима'!w807+'[2]$ зима'!ac807+'[2]$ зима'!ai807+'[2]$ зима'!ao807+'[2]$ зима'!k807</f>
        <v>4</v>
      </c>
      <c r="I807" s="191" t="n">
        <f aca="false">'[2]$ зима'!ay807*1.1</f>
        <v>2926</v>
      </c>
      <c r="J807" s="171" t="n">
        <v>2015</v>
      </c>
    </row>
    <row r="808" customFormat="false" ht="15" hidden="false" customHeight="false" outlineLevel="0" collapsed="false">
      <c r="A808" s="188" t="s">
        <v>259</v>
      </c>
      <c r="B808" s="149" t="s">
        <v>593</v>
      </c>
      <c r="C808" s="148" t="s">
        <v>3526</v>
      </c>
      <c r="D808" s="148"/>
      <c r="E808" s="192"/>
      <c r="F808" s="192" t="s">
        <v>3286</v>
      </c>
      <c r="G808" s="193" t="s">
        <v>935</v>
      </c>
      <c r="H808" s="105" t="n">
        <f aca="false">'[2]$ зима'!j808-'[2]$ зима'!au808-'[2]$ зима'!at808-'[2]$ зима'!as808-'[2]$ зима'!ar808-'[2]$ зима'!aq808-'[2]$ зима'!ap808-'[2]$ зима'!an808-'[2]$ зима'!am808-'[2]$ зима'!al808-'[2]$ зима'!ak808-'[2]$ зима'!aj808-'[2]$ зима'!ah808-'[2]$ зима'!ag808-'[2]$ зима'!af808-'[2]$ зима'!ae808-'[2]$ зима'!ad808-'[2]$ зима'!ab808-'[2]$ зима'!aa808-'[2]$ зима'!z808-'[2]$ зима'!y808-'[2]$ зима'!x808-'[2]$ зима'!v808-'[2]$ зима'!u808-'[2]$ зима'!t808-'[2]$ зима'!s808-'[2]$ зима'!r808-'[2]$ зима'!p808-'[2]$ зима'!o808-'[2]$ зима'!n808-'[2]$ зима'!m808-'[2]$ зима'!l808+'[2]$ зима'!q808+'[2]$ зима'!w808+'[2]$ зима'!ac808+'[2]$ зима'!ai808+'[2]$ зима'!ao808+'[2]$ зима'!k808</f>
        <v>8</v>
      </c>
      <c r="I808" s="191" t="n">
        <f aca="false">'[2]$ зима'!ay808*1.1</f>
        <v>3634.4</v>
      </c>
      <c r="J808" s="171" t="n">
        <v>2017</v>
      </c>
    </row>
    <row r="809" customFormat="false" ht="15" hidden="false" customHeight="false" outlineLevel="0" collapsed="false">
      <c r="A809" s="188" t="s">
        <v>259</v>
      </c>
      <c r="B809" s="149" t="s">
        <v>593</v>
      </c>
      <c r="C809" s="148" t="s">
        <v>3526</v>
      </c>
      <c r="D809" s="148"/>
      <c r="E809" s="192"/>
      <c r="F809" s="192" t="s">
        <v>3286</v>
      </c>
      <c r="G809" s="193" t="s">
        <v>935</v>
      </c>
      <c r="H809" s="105" t="n">
        <f aca="false">'[2]$ зима'!j809-'[2]$ зима'!au809-'[2]$ зима'!at809-'[2]$ зима'!as809-'[2]$ зима'!ar809-'[2]$ зима'!aq809-'[2]$ зима'!ap809-'[2]$ зима'!an809-'[2]$ зима'!am809-'[2]$ зима'!al809-'[2]$ зима'!ak809-'[2]$ зима'!aj809-'[2]$ зима'!ah809-'[2]$ зима'!ag809-'[2]$ зима'!af809-'[2]$ зима'!ae809-'[2]$ зима'!ad809-'[2]$ зима'!ab809-'[2]$ зима'!aa809-'[2]$ зима'!z809-'[2]$ зима'!y809-'[2]$ зима'!x809-'[2]$ зима'!v809-'[2]$ зима'!u809-'[2]$ зима'!t809-'[2]$ зима'!s809-'[2]$ зима'!r809-'[2]$ зима'!p809-'[2]$ зима'!o809-'[2]$ зима'!n809-'[2]$ зима'!m809-'[2]$ зима'!l809+'[2]$ зима'!q809+'[2]$ зима'!w809+'[2]$ зима'!ac809+'[2]$ зима'!ai809+'[2]$ зима'!ao809+'[2]$ зима'!k809</f>
        <v>4</v>
      </c>
      <c r="I809" s="191" t="n">
        <f aca="false">'[2]$ зима'!ay809*1.1</f>
        <v>2772</v>
      </c>
      <c r="J809" s="171" t="n">
        <v>2013</v>
      </c>
    </row>
    <row r="810" customFormat="false" ht="15" hidden="true" customHeight="false" outlineLevel="0" collapsed="false">
      <c r="A810" s="188" t="s">
        <v>259</v>
      </c>
      <c r="B810" s="149" t="s">
        <v>3307</v>
      </c>
      <c r="C810" s="148" t="s">
        <v>3527</v>
      </c>
      <c r="D810" s="148"/>
      <c r="E810" s="148"/>
      <c r="F810" s="148"/>
      <c r="G810" s="193"/>
      <c r="H810" s="105" t="n">
        <f aca="false">'[2]$ зима'!j810-'[2]$ зима'!au810-'[2]$ зима'!at810-'[2]$ зима'!as810-'[2]$ зима'!ar810-'[2]$ зима'!aq810-'[2]$ зима'!ap810-'[2]$ зима'!an810-'[2]$ зима'!am810-'[2]$ зима'!al810-'[2]$ зима'!ak810-'[2]$ зима'!aj810-'[2]$ зима'!ah810-'[2]$ зима'!ag810-'[2]$ зима'!af810-'[2]$ зима'!ae810-'[2]$ зима'!ad810-'[2]$ зима'!ab810-'[2]$ зима'!aa810-'[2]$ зима'!z810-'[2]$ зима'!y810-'[2]$ зима'!x810-'[2]$ зима'!v810-'[2]$ зима'!u810-'[2]$ зима'!t810-'[2]$ зима'!s810-'[2]$ зима'!r810-'[2]$ зима'!p810-'[2]$ зима'!o810-'[2]$ зима'!n810-'[2]$ зима'!m810-'[2]$ зима'!l810+'[2]$ зима'!q810+'[2]$ зима'!w810+'[2]$ зима'!ac810+'[2]$ зима'!ai810+'[2]$ зима'!ao810+'[2]$ зима'!k810</f>
        <v>0</v>
      </c>
      <c r="I810" s="191" t="n">
        <f aca="false">'[2]$ зима'!ay810*1.1</f>
        <v>1632.4</v>
      </c>
    </row>
    <row r="811" customFormat="false" ht="15" hidden="true" customHeight="false" outlineLevel="0" collapsed="false">
      <c r="A811" s="188" t="s">
        <v>259</v>
      </c>
      <c r="B811" s="149" t="s">
        <v>564</v>
      </c>
      <c r="C811" s="148" t="s">
        <v>3528</v>
      </c>
      <c r="D811" s="148"/>
      <c r="E811" s="148"/>
      <c r="F811" s="148"/>
      <c r="G811" s="193"/>
      <c r="H811" s="105" t="n">
        <f aca="false">'[2]$ зима'!j811-'[2]$ зима'!au811-'[2]$ зима'!at811-'[2]$ зима'!as811-'[2]$ зима'!ar811-'[2]$ зима'!aq811-'[2]$ зима'!ap811-'[2]$ зима'!an811-'[2]$ зима'!am811-'[2]$ зима'!al811-'[2]$ зима'!ak811-'[2]$ зима'!aj811-'[2]$ зима'!ah811-'[2]$ зима'!ag811-'[2]$ зима'!af811-'[2]$ зима'!ae811-'[2]$ зима'!ad811-'[2]$ зима'!ab811-'[2]$ зима'!aa811-'[2]$ зима'!z811-'[2]$ зима'!y811-'[2]$ зима'!x811-'[2]$ зима'!v811-'[2]$ зима'!u811-'[2]$ зима'!t811-'[2]$ зима'!s811-'[2]$ зима'!r811-'[2]$ зима'!p811-'[2]$ зима'!o811-'[2]$ зима'!n811-'[2]$ зима'!m811-'[2]$ зима'!l811+'[2]$ зима'!q811+'[2]$ зима'!w811+'[2]$ зима'!ac811+'[2]$ зима'!ai811+'[2]$ зима'!ao811+'[2]$ зима'!k811</f>
        <v>0</v>
      </c>
      <c r="I811" s="191" t="n">
        <f aca="false">'[2]$ зима'!ay811*1.1</f>
        <v>1632.4</v>
      </c>
    </row>
    <row r="812" customFormat="false" ht="15" hidden="true" customHeight="false" outlineLevel="0" collapsed="false">
      <c r="A812" s="188" t="s">
        <v>1377</v>
      </c>
      <c r="B812" s="149" t="s">
        <v>601</v>
      </c>
      <c r="C812" s="148" t="s">
        <v>3150</v>
      </c>
      <c r="D812" s="148"/>
      <c r="E812" s="148"/>
      <c r="F812" s="148"/>
      <c r="G812" s="193"/>
      <c r="H812" s="105" t="n">
        <f aca="false">'[2]$ зима'!j812-'[2]$ зима'!au812-'[2]$ зима'!at812-'[2]$ зима'!as812-'[2]$ зима'!ar812-'[2]$ зима'!aq812-'[2]$ зима'!ap812-'[2]$ зима'!an812-'[2]$ зима'!am812-'[2]$ зима'!al812-'[2]$ зима'!ak812-'[2]$ зима'!aj812-'[2]$ зима'!ah812-'[2]$ зима'!ag812-'[2]$ зима'!af812-'[2]$ зима'!ae812-'[2]$ зима'!ad812-'[2]$ зима'!ab812-'[2]$ зима'!aa812-'[2]$ зима'!z812-'[2]$ зима'!y812-'[2]$ зима'!x812-'[2]$ зима'!v812-'[2]$ зима'!u812-'[2]$ зима'!t812-'[2]$ зима'!s812-'[2]$ зима'!r812-'[2]$ зима'!p812-'[2]$ зима'!o812-'[2]$ зима'!n812-'[2]$ зима'!m812-'[2]$ зима'!l812+'[2]$ зима'!q812+'[2]$ зима'!w812+'[2]$ зима'!ac812+'[2]$ зима'!ai812+'[2]$ зима'!ao812+'[2]$ зима'!k812</f>
        <v>0</v>
      </c>
      <c r="I812" s="191" t="n">
        <f aca="false">'[2]$ зима'!ay812*1.1</f>
        <v>2926</v>
      </c>
    </row>
    <row r="813" customFormat="false" ht="15" hidden="false" customHeight="false" outlineLevel="0" collapsed="false">
      <c r="A813" s="188" t="s">
        <v>1377</v>
      </c>
      <c r="B813" s="149" t="s">
        <v>606</v>
      </c>
      <c r="C813" s="148" t="s">
        <v>3156</v>
      </c>
      <c r="D813" s="148"/>
      <c r="E813" s="192"/>
      <c r="F813" s="192" t="s">
        <v>3286</v>
      </c>
      <c r="G813" s="193" t="s">
        <v>609</v>
      </c>
      <c r="H813" s="105" t="n">
        <f aca="false">'[2]$ зима'!j813-'[2]$ зима'!au813-'[2]$ зима'!at813-'[2]$ зима'!as813-'[2]$ зима'!ar813-'[2]$ зима'!aq813-'[2]$ зима'!ap813-'[2]$ зима'!an813-'[2]$ зима'!am813-'[2]$ зима'!al813-'[2]$ зима'!ak813-'[2]$ зима'!aj813-'[2]$ зима'!ah813-'[2]$ зима'!ag813-'[2]$ зима'!af813-'[2]$ зима'!ae813-'[2]$ зима'!ad813-'[2]$ зима'!ab813-'[2]$ зима'!aa813-'[2]$ зима'!z813-'[2]$ зима'!y813-'[2]$ зима'!x813-'[2]$ зима'!v813-'[2]$ зима'!u813-'[2]$ зима'!t813-'[2]$ зима'!s813-'[2]$ зима'!r813-'[2]$ зима'!p813-'[2]$ зима'!o813-'[2]$ зима'!n813-'[2]$ зима'!m813-'[2]$ зима'!l813+'[2]$ зима'!q813+'[2]$ зима'!w813+'[2]$ зима'!ac813+'[2]$ зима'!ai813+'[2]$ зима'!ao813+'[2]$ зима'!k813</f>
        <v>4</v>
      </c>
      <c r="I813" s="191" t="n">
        <f aca="false">'[2]$ зима'!ay813*1.1</f>
        <v>2433.2</v>
      </c>
    </row>
    <row r="814" customFormat="false" ht="15" hidden="false" customHeight="false" outlineLevel="0" collapsed="false">
      <c r="A814" s="188" t="s">
        <v>1377</v>
      </c>
      <c r="B814" s="149" t="s">
        <v>606</v>
      </c>
      <c r="C814" s="148" t="s">
        <v>3155</v>
      </c>
      <c r="D814" s="148"/>
      <c r="E814" s="192"/>
      <c r="F814" s="192" t="s">
        <v>3286</v>
      </c>
      <c r="G814" s="193" t="s">
        <v>609</v>
      </c>
      <c r="H814" s="105" t="n">
        <f aca="false">'[2]$ зима'!j814-'[2]$ зима'!au814-'[2]$ зима'!at814-'[2]$ зима'!as814-'[2]$ зима'!ar814-'[2]$ зима'!aq814-'[2]$ зима'!ap814-'[2]$ зима'!an814-'[2]$ зима'!am814-'[2]$ зима'!al814-'[2]$ зима'!ak814-'[2]$ зима'!aj814-'[2]$ зима'!ah814-'[2]$ зима'!ag814-'[2]$ зима'!af814-'[2]$ зима'!ae814-'[2]$ зима'!ad814-'[2]$ зима'!ab814-'[2]$ зима'!aa814-'[2]$ зима'!z814-'[2]$ зима'!y814-'[2]$ зима'!x814-'[2]$ зима'!v814-'[2]$ зима'!u814-'[2]$ зима'!t814-'[2]$ зима'!s814-'[2]$ зима'!r814-'[2]$ зима'!p814-'[2]$ зима'!o814-'[2]$ зима'!n814-'[2]$ зима'!m814-'[2]$ зима'!l814+'[2]$ зима'!q814+'[2]$ зима'!w814+'[2]$ зима'!ac814+'[2]$ зима'!ai814+'[2]$ зима'!ao814+'[2]$ зима'!k814</f>
        <v>4</v>
      </c>
      <c r="I814" s="191" t="n">
        <f aca="false">'[2]$ зима'!ay814*1.1</f>
        <v>2433.2</v>
      </c>
      <c r="J814" s="171" t="n">
        <v>2018</v>
      </c>
    </row>
    <row r="815" customFormat="false" ht="15" hidden="true" customHeight="false" outlineLevel="0" collapsed="false">
      <c r="A815" s="188" t="s">
        <v>1377</v>
      </c>
      <c r="B815" s="149" t="s">
        <v>668</v>
      </c>
      <c r="C815" s="194" t="s">
        <v>3182</v>
      </c>
      <c r="D815" s="148"/>
      <c r="E815" s="148"/>
      <c r="F815" s="148"/>
      <c r="G815" s="193"/>
      <c r="H815" s="105" t="n">
        <f aca="false">'[2]$ зима'!j815-'[2]$ зима'!au815-'[2]$ зима'!at815-'[2]$ зима'!as815-'[2]$ зима'!ar815-'[2]$ зима'!aq815-'[2]$ зима'!ap815-'[2]$ зима'!an815-'[2]$ зима'!am815-'[2]$ зима'!al815-'[2]$ зима'!ak815-'[2]$ зима'!aj815-'[2]$ зима'!ah815-'[2]$ зима'!ag815-'[2]$ зима'!af815-'[2]$ зима'!ae815-'[2]$ зима'!ad815-'[2]$ зима'!ab815-'[2]$ зима'!aa815-'[2]$ зима'!z815-'[2]$ зима'!y815-'[2]$ зима'!x815-'[2]$ зима'!v815-'[2]$ зима'!u815-'[2]$ зима'!t815-'[2]$ зима'!s815-'[2]$ зима'!r815-'[2]$ зима'!p815-'[2]$ зима'!o815-'[2]$ зима'!n815-'[2]$ зима'!m815-'[2]$ зима'!l815+'[2]$ зима'!q815+'[2]$ зима'!w815+'[2]$ зима'!ac815+'[2]$ зима'!ai815+'[2]$ зима'!ao815+'[2]$ зима'!k815</f>
        <v>0</v>
      </c>
      <c r="I815" s="191" t="n">
        <f aca="false">'[2]$ зима'!ay815*1.1</f>
        <v>2279.2</v>
      </c>
    </row>
    <row r="816" customFormat="false" ht="15" hidden="true" customHeight="false" outlineLevel="0" collapsed="false">
      <c r="A816" s="188" t="s">
        <v>1377</v>
      </c>
      <c r="B816" s="149" t="s">
        <v>593</v>
      </c>
      <c r="C816" s="148" t="s">
        <v>3236</v>
      </c>
      <c r="D816" s="148"/>
      <c r="E816" s="148"/>
      <c r="F816" s="148"/>
      <c r="G816" s="193"/>
      <c r="H816" s="105" t="n">
        <f aca="false">'[2]$ зима'!j816-'[2]$ зима'!au816-'[2]$ зима'!at816-'[2]$ зима'!as816-'[2]$ зима'!ar816-'[2]$ зима'!aq816-'[2]$ зима'!ap816-'[2]$ зима'!an816-'[2]$ зима'!am816-'[2]$ зима'!al816-'[2]$ зима'!ak816-'[2]$ зима'!aj816-'[2]$ зима'!ah816-'[2]$ зима'!ag816-'[2]$ зима'!af816-'[2]$ зима'!ae816-'[2]$ зима'!ad816-'[2]$ зима'!ab816-'[2]$ зима'!aa816-'[2]$ зима'!z816-'[2]$ зима'!y816-'[2]$ зима'!x816-'[2]$ зима'!v816-'[2]$ зима'!u816-'[2]$ зима'!t816-'[2]$ зима'!s816-'[2]$ зима'!r816-'[2]$ зима'!p816-'[2]$ зима'!o816-'[2]$ зима'!n816-'[2]$ зима'!m816-'[2]$ зима'!l816+'[2]$ зима'!q816+'[2]$ зима'!w816+'[2]$ зима'!ac816+'[2]$ зима'!ai816+'[2]$ зима'!ao816+'[2]$ зима'!k816</f>
        <v>0</v>
      </c>
      <c r="I816" s="191" t="n">
        <f aca="false">'[2]$ зима'!ay816*1.1</f>
        <v>4466</v>
      </c>
      <c r="J816" s="171" t="s">
        <v>1954</v>
      </c>
    </row>
    <row r="817" customFormat="false" ht="15" hidden="true" customHeight="false" outlineLevel="0" collapsed="false">
      <c r="A817" s="188" t="s">
        <v>1377</v>
      </c>
      <c r="B817" s="149" t="s">
        <v>3142</v>
      </c>
      <c r="C817" s="148" t="s">
        <v>3274</v>
      </c>
      <c r="D817" s="148" t="s">
        <v>3127</v>
      </c>
      <c r="E817" s="148"/>
      <c r="F817" s="148"/>
      <c r="G817" s="193"/>
      <c r="H817" s="105" t="n">
        <f aca="false">'[2]$ зима'!j817-'[2]$ зима'!au817-'[2]$ зима'!at817-'[2]$ зима'!as817-'[2]$ зима'!ar817-'[2]$ зима'!aq817-'[2]$ зима'!ap817-'[2]$ зима'!an817-'[2]$ зима'!am817-'[2]$ зима'!al817-'[2]$ зима'!ak817-'[2]$ зима'!aj817-'[2]$ зима'!ah817-'[2]$ зима'!ag817-'[2]$ зима'!af817-'[2]$ зима'!ae817-'[2]$ зима'!ad817-'[2]$ зима'!ab817-'[2]$ зима'!aa817-'[2]$ зима'!z817-'[2]$ зима'!y817-'[2]$ зима'!x817-'[2]$ зима'!v817-'[2]$ зима'!u817-'[2]$ зима'!t817-'[2]$ зима'!s817-'[2]$ зима'!r817-'[2]$ зима'!p817-'[2]$ зима'!o817-'[2]$ зима'!n817-'[2]$ зима'!m817-'[2]$ зима'!l817+'[2]$ зима'!q817+'[2]$ зима'!w817+'[2]$ зима'!ac817+'[2]$ зима'!ai817+'[2]$ зима'!ao817+'[2]$ зима'!k817</f>
        <v>0</v>
      </c>
      <c r="I817" s="191" t="n">
        <f aca="false">'[2]$ зима'!ay817*1.1</f>
        <v>2063.6</v>
      </c>
    </row>
    <row r="818" customFormat="false" ht="15" hidden="true" customHeight="false" outlineLevel="0" collapsed="false">
      <c r="A818" s="188" t="s">
        <v>1377</v>
      </c>
      <c r="B818" s="149" t="s">
        <v>1149</v>
      </c>
      <c r="C818" s="148" t="s">
        <v>3529</v>
      </c>
      <c r="D818" s="148"/>
      <c r="E818" s="148"/>
      <c r="F818" s="148"/>
      <c r="G818" s="193"/>
      <c r="H818" s="105" t="n">
        <f aca="false">'[2]$ зима'!j818-'[2]$ зима'!au818-'[2]$ зима'!at818-'[2]$ зима'!as818-'[2]$ зима'!ar818-'[2]$ зима'!aq818-'[2]$ зима'!ap818-'[2]$ зима'!an818-'[2]$ зима'!am818-'[2]$ зима'!al818-'[2]$ зима'!ak818-'[2]$ зима'!aj818-'[2]$ зима'!ah818-'[2]$ зима'!ag818-'[2]$ зима'!af818-'[2]$ зима'!ae818-'[2]$ зима'!ad818-'[2]$ зима'!ab818-'[2]$ зима'!aa818-'[2]$ зима'!z818-'[2]$ зима'!y818-'[2]$ зима'!x818-'[2]$ зима'!v818-'[2]$ зима'!u818-'[2]$ зима'!t818-'[2]$ зима'!s818-'[2]$ зима'!r818-'[2]$ зима'!p818-'[2]$ зима'!o818-'[2]$ зима'!n818-'[2]$ зима'!m818-'[2]$ зима'!l818+'[2]$ зима'!q818+'[2]$ зима'!w818+'[2]$ зима'!ac818+'[2]$ зима'!ai818+'[2]$ зима'!ao818+'[2]$ зима'!k818</f>
        <v>0</v>
      </c>
      <c r="I818" s="191" t="n">
        <f aca="false">'[2]$ зима'!ay818*1.1</f>
        <v>2156</v>
      </c>
    </row>
    <row r="819" customFormat="false" ht="15" hidden="true" customHeight="false" outlineLevel="0" collapsed="false">
      <c r="A819" s="196" t="s">
        <v>1377</v>
      </c>
      <c r="B819" s="149" t="s">
        <v>589</v>
      </c>
      <c r="C819" s="148" t="s">
        <v>3530</v>
      </c>
      <c r="D819" s="148"/>
      <c r="E819" s="148"/>
      <c r="F819" s="148"/>
      <c r="G819" s="193" t="s">
        <v>626</v>
      </c>
      <c r="H819" s="105" t="n">
        <f aca="false">'[2]$ зима'!j819-'[2]$ зима'!au819-'[2]$ зима'!at819-'[2]$ зима'!as819-'[2]$ зима'!ar819-'[2]$ зима'!aq819-'[2]$ зима'!ap819-'[2]$ зима'!an819-'[2]$ зима'!am819-'[2]$ зима'!al819-'[2]$ зима'!ak819-'[2]$ зима'!aj819-'[2]$ зима'!ah819-'[2]$ зима'!ag819-'[2]$ зима'!af819-'[2]$ зима'!ae819-'[2]$ зима'!ad819-'[2]$ зима'!ab819-'[2]$ зима'!aa819-'[2]$ зима'!z819-'[2]$ зима'!y819-'[2]$ зима'!x819-'[2]$ зима'!v819-'[2]$ зима'!u819-'[2]$ зима'!t819-'[2]$ зима'!s819-'[2]$ зима'!r819-'[2]$ зима'!p819-'[2]$ зима'!o819-'[2]$ зима'!n819-'[2]$ зима'!m819-'[2]$ зима'!l819+'[2]$ зима'!q819+'[2]$ зима'!w819+'[2]$ зима'!ac819+'[2]$ зима'!ai819+'[2]$ зима'!ao819+'[2]$ зима'!k819</f>
        <v>0</v>
      </c>
      <c r="I819" s="191" t="n">
        <f aca="false">'[2]$ зима'!ay819*1.1</f>
        <v>2490.4</v>
      </c>
    </row>
    <row r="820" customFormat="false" ht="15" hidden="false" customHeight="false" outlineLevel="0" collapsed="false">
      <c r="A820" s="196" t="s">
        <v>1377</v>
      </c>
      <c r="B820" s="149" t="s">
        <v>564</v>
      </c>
      <c r="C820" s="148" t="s">
        <v>3438</v>
      </c>
      <c r="D820" s="148"/>
      <c r="E820" s="192" t="n">
        <v>98</v>
      </c>
      <c r="F820" s="192" t="s">
        <v>562</v>
      </c>
      <c r="G820" s="193"/>
      <c r="H820" s="105" t="n">
        <f aca="false">'[2]$ зима'!j820-'[2]$ зима'!au820-'[2]$ зима'!at820-'[2]$ зима'!as820-'[2]$ зима'!ar820-'[2]$ зима'!aq820-'[2]$ зима'!ap820-'[2]$ зима'!an820-'[2]$ зима'!am820-'[2]$ зима'!al820-'[2]$ зима'!ak820-'[2]$ зима'!aj820-'[2]$ зима'!ah820-'[2]$ зима'!ag820-'[2]$ зима'!af820-'[2]$ зима'!ae820-'[2]$ зима'!ad820-'[2]$ зима'!ab820-'[2]$ зима'!aa820-'[2]$ зима'!z820-'[2]$ зима'!y820-'[2]$ зима'!x820-'[2]$ зима'!v820-'[2]$ зима'!u820-'[2]$ зима'!t820-'[2]$ зима'!s820-'[2]$ зима'!r820-'[2]$ зима'!p820-'[2]$ зима'!o820-'[2]$ зима'!n820-'[2]$ зима'!m820-'[2]$ зима'!l820+'[2]$ зима'!q820+'[2]$ зима'!w820+'[2]$ зима'!ac820+'[2]$ зима'!ai820+'[2]$ зима'!ao820+'[2]$ зима'!k820</f>
        <v>4</v>
      </c>
      <c r="I820" s="191" t="n">
        <f aca="false">'[2]$ зима'!ay820*1.1</f>
        <v>1632.4</v>
      </c>
    </row>
    <row r="821" customFormat="false" ht="15" hidden="false" customHeight="false" outlineLevel="0" collapsed="false">
      <c r="A821" s="196" t="s">
        <v>3531</v>
      </c>
      <c r="B821" s="149" t="s">
        <v>1028</v>
      </c>
      <c r="C821" s="148" t="s">
        <v>3532</v>
      </c>
      <c r="D821" s="148"/>
      <c r="E821" s="192"/>
      <c r="F821" s="192"/>
      <c r="G821" s="193"/>
      <c r="H821" s="105" t="n">
        <f aca="false">'[2]$ зима'!j821-'[2]$ зима'!au821-'[2]$ зима'!at821-'[2]$ зима'!as821-'[2]$ зима'!ar821-'[2]$ зима'!aq821-'[2]$ зима'!ap821-'[2]$ зима'!an821-'[2]$ зима'!am821-'[2]$ зима'!al821-'[2]$ зима'!ak821-'[2]$ зима'!aj821-'[2]$ зима'!ah821-'[2]$ зима'!ag821-'[2]$ зима'!af821-'[2]$ зима'!ae821-'[2]$ зима'!ad821-'[2]$ зима'!ab821-'[2]$ зима'!aa821-'[2]$ зима'!z821-'[2]$ зима'!y821-'[2]$ зима'!x821-'[2]$ зима'!v821-'[2]$ зима'!u821-'[2]$ зима'!t821-'[2]$ зима'!s821-'[2]$ зима'!r821-'[2]$ зима'!p821-'[2]$ зима'!o821-'[2]$ зима'!n821-'[2]$ зима'!m821-'[2]$ зима'!l821+'[2]$ зима'!q821+'[2]$ зима'!w821+'[2]$ зима'!ac821+'[2]$ зима'!ai821+'[2]$ зима'!ao821+'[2]$ зима'!k821</f>
        <v>2</v>
      </c>
      <c r="I821" s="191" t="n">
        <f aca="false">'[2]$ зима'!ay821*1.1</f>
        <v>2156</v>
      </c>
    </row>
    <row r="822" customFormat="false" ht="15" hidden="true" customHeight="false" outlineLevel="0" collapsed="false">
      <c r="A822" s="196" t="s">
        <v>3531</v>
      </c>
      <c r="B822" s="149" t="s">
        <v>1028</v>
      </c>
      <c r="C822" s="148" t="s">
        <v>3349</v>
      </c>
      <c r="D822" s="148"/>
      <c r="E822" s="148"/>
      <c r="F822" s="148"/>
      <c r="G822" s="193"/>
      <c r="H822" s="105" t="n">
        <f aca="false">'[2]$ зима'!j822-'[2]$ зима'!au822-'[2]$ зима'!at822-'[2]$ зима'!as822-'[2]$ зима'!ar822-'[2]$ зима'!aq822-'[2]$ зима'!ap822-'[2]$ зима'!an822-'[2]$ зима'!am822-'[2]$ зима'!al822-'[2]$ зима'!ak822-'[2]$ зима'!aj822-'[2]$ зима'!ah822-'[2]$ зима'!ag822-'[2]$ зима'!af822-'[2]$ зима'!ae822-'[2]$ зима'!ad822-'[2]$ зима'!ab822-'[2]$ зима'!aa822-'[2]$ зима'!z822-'[2]$ зима'!y822-'[2]$ зима'!x822-'[2]$ зима'!v822-'[2]$ зима'!u822-'[2]$ зима'!t822-'[2]$ зима'!s822-'[2]$ зима'!r822-'[2]$ зима'!p822-'[2]$ зима'!o822-'[2]$ зима'!n822-'[2]$ зима'!m822-'[2]$ зима'!l822+'[2]$ зима'!q822+'[2]$ зима'!w822+'[2]$ зима'!ac822+'[2]$ зима'!ai822+'[2]$ зима'!ao822+'[2]$ зима'!k822</f>
        <v>0</v>
      </c>
      <c r="I822" s="191" t="n">
        <f aca="false">'[2]$ зима'!ay822*1.1</f>
        <v>2926</v>
      </c>
    </row>
    <row r="823" customFormat="false" ht="15" hidden="false" customHeight="false" outlineLevel="0" collapsed="false">
      <c r="A823" s="217" t="s">
        <v>1387</v>
      </c>
      <c r="B823" s="157" t="s">
        <v>844</v>
      </c>
      <c r="C823" s="158" t="s">
        <v>3450</v>
      </c>
      <c r="D823" s="158"/>
      <c r="E823" s="224"/>
      <c r="F823" s="224"/>
      <c r="G823" s="218"/>
      <c r="H823" s="105" t="n">
        <f aca="false">'[2]$ зима'!j823-'[2]$ зима'!au823-'[2]$ зима'!at823-'[2]$ зима'!as823-'[2]$ зима'!ar823-'[2]$ зима'!aq823-'[2]$ зима'!ap823-'[2]$ зима'!an823-'[2]$ зима'!am823-'[2]$ зима'!al823-'[2]$ зима'!ak823-'[2]$ зима'!aj823-'[2]$ зима'!ah823-'[2]$ зима'!ag823-'[2]$ зима'!af823-'[2]$ зима'!ae823-'[2]$ зима'!ad823-'[2]$ зима'!ab823-'[2]$ зима'!aa823-'[2]$ зима'!z823-'[2]$ зима'!y823-'[2]$ зима'!x823-'[2]$ зима'!v823-'[2]$ зима'!u823-'[2]$ зима'!t823-'[2]$ зима'!s823-'[2]$ зима'!r823-'[2]$ зима'!p823-'[2]$ зима'!o823-'[2]$ зима'!n823-'[2]$ зима'!m823-'[2]$ зима'!l823+'[2]$ зима'!q823+'[2]$ зима'!w823+'[2]$ зима'!ac823+'[2]$ зима'!ai823+'[2]$ зима'!ao823+'[2]$ зима'!k823</f>
        <v>4</v>
      </c>
      <c r="I823" s="219" t="n">
        <f aca="false">'[2]$ зима'!ay823*1.1</f>
        <v>1650</v>
      </c>
    </row>
    <row r="824" customFormat="false" ht="15" hidden="true" customHeight="false" outlineLevel="0" collapsed="false">
      <c r="A824" s="188" t="s">
        <v>1387</v>
      </c>
      <c r="B824" s="149" t="s">
        <v>601</v>
      </c>
      <c r="C824" s="148" t="s">
        <v>3482</v>
      </c>
      <c r="D824" s="148"/>
      <c r="E824" s="148"/>
      <c r="F824" s="148"/>
      <c r="G824" s="193"/>
      <c r="H824" s="105" t="n">
        <f aca="false">'[2]$ зима'!j824-'[2]$ зима'!au824-'[2]$ зима'!at824-'[2]$ зима'!as824-'[2]$ зима'!ar824-'[2]$ зима'!aq824-'[2]$ зима'!ap824-'[2]$ зима'!an824-'[2]$ зима'!am824-'[2]$ зима'!al824-'[2]$ зима'!ak824-'[2]$ зима'!aj824-'[2]$ зима'!ah824-'[2]$ зима'!ag824-'[2]$ зима'!af824-'[2]$ зима'!ae824-'[2]$ зима'!ad824-'[2]$ зима'!ab824-'[2]$ зима'!aa824-'[2]$ зима'!z824-'[2]$ зима'!y824-'[2]$ зима'!x824-'[2]$ зима'!v824-'[2]$ зима'!u824-'[2]$ зима'!t824-'[2]$ зима'!s824-'[2]$ зима'!r824-'[2]$ зима'!p824-'[2]$ зима'!o824-'[2]$ зима'!n824-'[2]$ зима'!m824-'[2]$ зима'!l824+'[2]$ зима'!q824+'[2]$ зима'!w824+'[2]$ зима'!ac824+'[2]$ зима'!ai824+'[2]$ зима'!ao824+'[2]$ зима'!k824</f>
        <v>0</v>
      </c>
      <c r="I824" s="191" t="n">
        <f aca="false">'[2]$ зима'!ay824*1.1</f>
        <v>2772</v>
      </c>
    </row>
    <row r="825" customFormat="false" ht="15" hidden="true" customHeight="false" outlineLevel="0" collapsed="false">
      <c r="A825" s="188" t="s">
        <v>1387</v>
      </c>
      <c r="B825" s="149" t="s">
        <v>606</v>
      </c>
      <c r="C825" s="148" t="s">
        <v>3533</v>
      </c>
      <c r="D825" s="148"/>
      <c r="E825" s="148" t="n">
        <v>103</v>
      </c>
      <c r="F825" s="148" t="s">
        <v>3207</v>
      </c>
      <c r="G825" s="193"/>
      <c r="H825" s="105" t="n">
        <f aca="false">'[2]$ зима'!j825-'[2]$ зима'!au825-'[2]$ зима'!at825-'[2]$ зима'!as825-'[2]$ зима'!ar825-'[2]$ зима'!aq825-'[2]$ зима'!ap825-'[2]$ зима'!an825-'[2]$ зима'!am825-'[2]$ зима'!al825-'[2]$ зима'!ak825-'[2]$ зима'!aj825-'[2]$ зима'!ah825-'[2]$ зима'!ag825-'[2]$ зима'!af825-'[2]$ зима'!ae825-'[2]$ зима'!ad825-'[2]$ зима'!ab825-'[2]$ зима'!aa825-'[2]$ зима'!z825-'[2]$ зима'!y825-'[2]$ зима'!x825-'[2]$ зима'!v825-'[2]$ зима'!u825-'[2]$ зима'!t825-'[2]$ зима'!s825-'[2]$ зима'!r825-'[2]$ зима'!p825-'[2]$ зима'!o825-'[2]$ зима'!n825-'[2]$ зима'!m825-'[2]$ зима'!l825+'[2]$ зима'!q825+'[2]$ зима'!w825+'[2]$ зима'!ac825+'[2]$ зима'!ai825+'[2]$ зима'!ao825+'[2]$ зима'!k825</f>
        <v>0</v>
      </c>
      <c r="I825" s="191" t="n">
        <f aca="false">'[2]$ зима'!ay825*1.1</f>
        <v>2310</v>
      </c>
      <c r="J825" s="171" t="n">
        <v>2017</v>
      </c>
    </row>
    <row r="826" customFormat="false" ht="15" hidden="false" customHeight="false" outlineLevel="0" collapsed="false">
      <c r="A826" s="188" t="s">
        <v>1387</v>
      </c>
      <c r="B826" s="149" t="s">
        <v>593</v>
      </c>
      <c r="C826" s="148" t="s">
        <v>3534</v>
      </c>
      <c r="D826" s="148"/>
      <c r="E826" s="192" t="n">
        <v>103</v>
      </c>
      <c r="F826" s="192" t="s">
        <v>562</v>
      </c>
      <c r="G826" s="193"/>
      <c r="H826" s="105" t="n">
        <f aca="false">'[2]$ зима'!j826-'[2]$ зима'!au826-'[2]$ зима'!at826-'[2]$ зима'!as826-'[2]$ зима'!ar826-'[2]$ зима'!aq826-'[2]$ зима'!ap826-'[2]$ зима'!an826-'[2]$ зима'!am826-'[2]$ зима'!al826-'[2]$ зима'!ak826-'[2]$ зима'!aj826-'[2]$ зима'!ah826-'[2]$ зима'!ag826-'[2]$ зима'!af826-'[2]$ зима'!ae826-'[2]$ зима'!ad826-'[2]$ зима'!ab826-'[2]$ зима'!aa826-'[2]$ зима'!z826-'[2]$ зима'!y826-'[2]$ зима'!x826-'[2]$ зима'!v826-'[2]$ зима'!u826-'[2]$ зима'!t826-'[2]$ зима'!s826-'[2]$ зима'!r826-'[2]$ зима'!p826-'[2]$ зима'!o826-'[2]$ зима'!n826-'[2]$ зима'!m826-'[2]$ зима'!l826+'[2]$ зима'!q826+'[2]$ зима'!w826+'[2]$ зима'!ac826+'[2]$ зима'!ai826+'[2]$ зима'!ao826+'[2]$ зима'!k826</f>
        <v>8</v>
      </c>
      <c r="I826" s="191" t="n">
        <f aca="false">'[2]$ зима'!ay826*1.1</f>
        <v>2002</v>
      </c>
      <c r="J826" s="171" t="n">
        <v>2013</v>
      </c>
    </row>
    <row r="827" customFormat="false" ht="15" hidden="false" customHeight="false" outlineLevel="0" collapsed="false">
      <c r="A827" s="188" t="s">
        <v>1387</v>
      </c>
      <c r="B827" s="149" t="s">
        <v>564</v>
      </c>
      <c r="C827" s="148" t="s">
        <v>3438</v>
      </c>
      <c r="D827" s="148"/>
      <c r="E827" s="192" t="n">
        <v>107</v>
      </c>
      <c r="F827" s="192" t="s">
        <v>3207</v>
      </c>
      <c r="G827" s="193"/>
      <c r="H827" s="105" t="n">
        <f aca="false">'[2]$ зима'!j827-'[2]$ зима'!au827-'[2]$ зима'!at827-'[2]$ зима'!as827-'[2]$ зима'!ar827-'[2]$ зима'!aq827-'[2]$ зима'!ap827-'[2]$ зима'!an827-'[2]$ зима'!am827-'[2]$ зима'!al827-'[2]$ зима'!ak827-'[2]$ зима'!aj827-'[2]$ зима'!ah827-'[2]$ зима'!ag827-'[2]$ зима'!af827-'[2]$ зима'!ae827-'[2]$ зима'!ad827-'[2]$ зима'!ab827-'[2]$ зима'!aa827-'[2]$ зима'!z827-'[2]$ зима'!y827-'[2]$ зима'!x827-'[2]$ зима'!v827-'[2]$ зима'!u827-'[2]$ зима'!t827-'[2]$ зима'!s827-'[2]$ зима'!r827-'[2]$ зима'!p827-'[2]$ зима'!o827-'[2]$ зима'!n827-'[2]$ зима'!m827-'[2]$ зима'!l827+'[2]$ зима'!q827+'[2]$ зима'!w827+'[2]$ зима'!ac827+'[2]$ зима'!ai827+'[2]$ зима'!ao827+'[2]$ зима'!k827</f>
        <v>4</v>
      </c>
      <c r="I827" s="191" t="n">
        <f aca="false">'[2]$ зима'!ay827*1.1</f>
        <v>1848</v>
      </c>
      <c r="J827" s="171" t="n">
        <v>2017</v>
      </c>
    </row>
    <row r="828" customFormat="false" ht="15" hidden="false" customHeight="false" outlineLevel="0" collapsed="false">
      <c r="A828" s="196" t="s">
        <v>261</v>
      </c>
      <c r="B828" s="149" t="s">
        <v>601</v>
      </c>
      <c r="C828" s="148" t="s">
        <v>3481</v>
      </c>
      <c r="D828" s="148"/>
      <c r="E828" s="192"/>
      <c r="F828" s="192"/>
      <c r="G828" s="193" t="s">
        <v>626</v>
      </c>
      <c r="H828" s="105" t="n">
        <f aca="false">'[2]$ зима'!j828-'[2]$ зима'!au828-'[2]$ зима'!at828-'[2]$ зима'!as828-'[2]$ зима'!ar828-'[2]$ зима'!aq828-'[2]$ зима'!ap828-'[2]$ зима'!an828-'[2]$ зима'!am828-'[2]$ зима'!al828-'[2]$ зима'!ak828-'[2]$ зима'!aj828-'[2]$ зима'!ah828-'[2]$ зима'!ag828-'[2]$ зима'!af828-'[2]$ зима'!ae828-'[2]$ зима'!ad828-'[2]$ зима'!ab828-'[2]$ зима'!aa828-'[2]$ зима'!z828-'[2]$ зима'!y828-'[2]$ зима'!x828-'[2]$ зима'!v828-'[2]$ зима'!u828-'[2]$ зима'!t828-'[2]$ зима'!s828-'[2]$ зима'!r828-'[2]$ зима'!p828-'[2]$ зима'!o828-'[2]$ зима'!n828-'[2]$ зима'!m828-'[2]$ зима'!l828+'[2]$ зима'!q828+'[2]$ зима'!w828+'[2]$ зима'!ac828+'[2]$ зима'!ai828+'[2]$ зима'!ao828+'[2]$ зима'!k828</f>
        <v>4</v>
      </c>
      <c r="I828" s="191" t="n">
        <f aca="false">'[2]$ зима'!ay828*1.1</f>
        <v>2156</v>
      </c>
      <c r="J828" s="171" t="n">
        <v>2011</v>
      </c>
    </row>
    <row r="829" customFormat="false" ht="15" hidden="false" customHeight="false" outlineLevel="0" collapsed="false">
      <c r="A829" s="196" t="s">
        <v>261</v>
      </c>
      <c r="B829" s="149" t="s">
        <v>677</v>
      </c>
      <c r="C829" s="202" t="s">
        <v>3535</v>
      </c>
      <c r="D829" s="202" t="s">
        <v>3127</v>
      </c>
      <c r="E829" s="211" t="s">
        <v>3536</v>
      </c>
      <c r="F829" s="211"/>
      <c r="G829" s="193"/>
      <c r="H829" s="105" t="n">
        <f aca="false">'[2]$ зима'!j829-'[2]$ зима'!au829-'[2]$ зима'!at829-'[2]$ зима'!as829-'[2]$ зима'!ar829-'[2]$ зима'!aq829-'[2]$ зима'!ap829-'[2]$ зима'!an829-'[2]$ зима'!am829-'[2]$ зима'!al829-'[2]$ зима'!ak829-'[2]$ зима'!aj829-'[2]$ зима'!ah829-'[2]$ зима'!ag829-'[2]$ зима'!af829-'[2]$ зима'!ae829-'[2]$ зима'!ad829-'[2]$ зима'!ab829-'[2]$ зима'!aa829-'[2]$ зима'!z829-'[2]$ зима'!y829-'[2]$ зима'!x829-'[2]$ зима'!v829-'[2]$ зима'!u829-'[2]$ зима'!t829-'[2]$ зима'!s829-'[2]$ зима'!r829-'[2]$ зима'!p829-'[2]$ зима'!o829-'[2]$ зима'!n829-'[2]$ зима'!m829-'[2]$ зима'!l829+'[2]$ зима'!q829+'[2]$ зима'!w829+'[2]$ зима'!ac829+'[2]$ зима'!ai829+'[2]$ зима'!ao829+'[2]$ зима'!k829</f>
        <v>8</v>
      </c>
      <c r="I829" s="191" t="n">
        <f aca="false">'[2]$ зима'!ay829*1.1</f>
        <v>2156</v>
      </c>
      <c r="J829" s="171" t="n">
        <v>2015</v>
      </c>
    </row>
    <row r="830" customFormat="false" ht="15" hidden="false" customHeight="false" outlineLevel="0" collapsed="false">
      <c r="A830" s="196" t="s">
        <v>261</v>
      </c>
      <c r="B830" s="149" t="s">
        <v>589</v>
      </c>
      <c r="C830" s="148" t="s">
        <v>3259</v>
      </c>
      <c r="D830" s="148"/>
      <c r="E830" s="192"/>
      <c r="F830" s="192"/>
      <c r="G830" s="193" t="s">
        <v>626</v>
      </c>
      <c r="H830" s="105" t="n">
        <f aca="false">'[2]$ зима'!j830-'[2]$ зима'!au830-'[2]$ зима'!at830-'[2]$ зима'!as830-'[2]$ зима'!ar830-'[2]$ зима'!aq830-'[2]$ зима'!ap830-'[2]$ зима'!an830-'[2]$ зима'!am830-'[2]$ зима'!al830-'[2]$ зима'!ak830-'[2]$ зима'!aj830-'[2]$ зима'!ah830-'[2]$ зима'!ag830-'[2]$ зима'!af830-'[2]$ зима'!ae830-'[2]$ зима'!ad830-'[2]$ зима'!ab830-'[2]$ зима'!aa830-'[2]$ зима'!z830-'[2]$ зима'!y830-'[2]$ зима'!x830-'[2]$ зима'!v830-'[2]$ зима'!u830-'[2]$ зима'!t830-'[2]$ зима'!s830-'[2]$ зима'!r830-'[2]$ зима'!p830-'[2]$ зима'!o830-'[2]$ зима'!n830-'[2]$ зима'!m830-'[2]$ зима'!l830+'[2]$ зима'!q830+'[2]$ зима'!w830+'[2]$ зима'!ac830+'[2]$ зима'!ai830+'[2]$ зима'!ao830+'[2]$ зима'!k830</f>
        <v>8</v>
      </c>
      <c r="I830" s="191" t="n">
        <f aca="false">'[2]$ зима'!ay830*1.1</f>
        <v>2186.8</v>
      </c>
      <c r="J830" s="171" t="n">
        <v>2012</v>
      </c>
    </row>
    <row r="831" customFormat="false" ht="15" hidden="true" customHeight="false" outlineLevel="0" collapsed="false">
      <c r="A831" s="188" t="s">
        <v>262</v>
      </c>
      <c r="B831" s="149" t="s">
        <v>658</v>
      </c>
      <c r="C831" s="148" t="s">
        <v>3537</v>
      </c>
      <c r="D831" s="148"/>
      <c r="E831" s="148"/>
      <c r="F831" s="148"/>
      <c r="G831" s="193"/>
      <c r="H831" s="105" t="n">
        <f aca="false">'[2]$ зима'!j831-'[2]$ зима'!au831-'[2]$ зима'!at831-'[2]$ зима'!as831-'[2]$ зима'!ar831-'[2]$ зима'!aq831-'[2]$ зима'!ap831-'[2]$ зима'!an831-'[2]$ зима'!am831-'[2]$ зима'!al831-'[2]$ зима'!ak831-'[2]$ зима'!aj831-'[2]$ зима'!ah831-'[2]$ зима'!ag831-'[2]$ зима'!af831-'[2]$ зима'!ae831-'[2]$ зима'!ad831-'[2]$ зима'!ab831-'[2]$ зима'!aa831-'[2]$ зима'!z831-'[2]$ зима'!y831-'[2]$ зима'!x831-'[2]$ зима'!v831-'[2]$ зима'!u831-'[2]$ зима'!t831-'[2]$ зима'!s831-'[2]$ зима'!r831-'[2]$ зима'!p831-'[2]$ зима'!o831-'[2]$ зима'!n831-'[2]$ зима'!m831-'[2]$ зима'!l831+'[2]$ зима'!q831+'[2]$ зима'!w831+'[2]$ зима'!ac831+'[2]$ зима'!ai831+'[2]$ зима'!ao831+'[2]$ зима'!k831</f>
        <v>0</v>
      </c>
      <c r="I831" s="191" t="n">
        <f aca="false">'[2]$ зима'!ay831*1.1</f>
        <v>4004</v>
      </c>
    </row>
    <row r="832" customFormat="false" ht="15" hidden="true" customHeight="false" outlineLevel="0" collapsed="false">
      <c r="A832" s="188" t="s">
        <v>262</v>
      </c>
      <c r="B832" s="149" t="s">
        <v>553</v>
      </c>
      <c r="C832" s="148" t="s">
        <v>3321</v>
      </c>
      <c r="D832" s="148"/>
      <c r="E832" s="148"/>
      <c r="F832" s="148"/>
      <c r="G832" s="193"/>
      <c r="H832" s="105" t="n">
        <f aca="false">'[2]$ зима'!j832-'[2]$ зима'!au832-'[2]$ зима'!at832-'[2]$ зима'!as832-'[2]$ зима'!ar832-'[2]$ зима'!aq832-'[2]$ зима'!ap832-'[2]$ зима'!an832-'[2]$ зима'!am832-'[2]$ зима'!al832-'[2]$ зима'!ak832-'[2]$ зима'!aj832-'[2]$ зима'!ah832-'[2]$ зима'!ag832-'[2]$ зима'!af832-'[2]$ зима'!ae832-'[2]$ зима'!ad832-'[2]$ зима'!ab832-'[2]$ зима'!aa832-'[2]$ зима'!z832-'[2]$ зима'!y832-'[2]$ зима'!x832-'[2]$ зима'!v832-'[2]$ зима'!u832-'[2]$ зима'!t832-'[2]$ зима'!s832-'[2]$ зима'!r832-'[2]$ зима'!p832-'[2]$ зима'!o832-'[2]$ зима'!n832-'[2]$ зима'!m832-'[2]$ зима'!l832+'[2]$ зима'!q832+'[2]$ зима'!w832+'[2]$ зима'!ac832+'[2]$ зима'!ai832+'[2]$ зима'!ao832+'[2]$ зима'!k832</f>
        <v>0</v>
      </c>
      <c r="I832" s="191" t="n">
        <f aca="false">'[2]$ зима'!ay832*1.1</f>
        <v>1848</v>
      </c>
    </row>
    <row r="833" customFormat="false" ht="15" hidden="true" customHeight="false" outlineLevel="0" collapsed="false">
      <c r="A833" s="188" t="s">
        <v>262</v>
      </c>
      <c r="B833" s="149" t="s">
        <v>606</v>
      </c>
      <c r="C833" s="148" t="s">
        <v>3156</v>
      </c>
      <c r="D833" s="148"/>
      <c r="E833" s="148"/>
      <c r="F833" s="148"/>
      <c r="G833" s="193"/>
      <c r="H833" s="105" t="n">
        <f aca="false">'[2]$ зима'!j833-'[2]$ зима'!au833-'[2]$ зима'!at833-'[2]$ зима'!as833-'[2]$ зима'!ar833-'[2]$ зима'!aq833-'[2]$ зима'!ap833-'[2]$ зима'!an833-'[2]$ зима'!am833-'[2]$ зима'!al833-'[2]$ зима'!ak833-'[2]$ зима'!aj833-'[2]$ зима'!ah833-'[2]$ зима'!ag833-'[2]$ зима'!af833-'[2]$ зима'!ae833-'[2]$ зима'!ad833-'[2]$ зима'!ab833-'[2]$ зима'!aa833-'[2]$ зима'!z833-'[2]$ зима'!y833-'[2]$ зима'!x833-'[2]$ зима'!v833-'[2]$ зима'!u833-'[2]$ зима'!t833-'[2]$ зима'!s833-'[2]$ зима'!r833-'[2]$ зима'!p833-'[2]$ зима'!o833-'[2]$ зима'!n833-'[2]$ зима'!m833-'[2]$ зима'!l833+'[2]$ зима'!q833+'[2]$ зима'!w833+'[2]$ зима'!ac833+'[2]$ зима'!ai833+'[2]$ зима'!ao833+'[2]$ зима'!k833</f>
        <v>0</v>
      </c>
      <c r="I833" s="191" t="n">
        <f aca="false">'[2]$ зима'!ay833*1.1</f>
        <v>2310</v>
      </c>
    </row>
    <row r="834" customFormat="false" ht="15" hidden="true" customHeight="false" outlineLevel="0" collapsed="false">
      <c r="A834" s="188" t="s">
        <v>262</v>
      </c>
      <c r="B834" s="149" t="s">
        <v>668</v>
      </c>
      <c r="C834" s="194" t="s">
        <v>3182</v>
      </c>
      <c r="D834" s="148"/>
      <c r="E834" s="148"/>
      <c r="F834" s="148"/>
      <c r="G834" s="193"/>
      <c r="H834" s="105" t="n">
        <f aca="false">'[2]$ зима'!j834-'[2]$ зима'!au834-'[2]$ зима'!at834-'[2]$ зима'!as834-'[2]$ зима'!ar834-'[2]$ зима'!aq834-'[2]$ зима'!ap834-'[2]$ зима'!an834-'[2]$ зима'!am834-'[2]$ зима'!al834-'[2]$ зима'!ak834-'[2]$ зима'!aj834-'[2]$ зима'!ah834-'[2]$ зима'!ag834-'[2]$ зима'!af834-'[2]$ зима'!ae834-'[2]$ зима'!ad834-'[2]$ зима'!ab834-'[2]$ зима'!aa834-'[2]$ зима'!z834-'[2]$ зима'!y834-'[2]$ зима'!x834-'[2]$ зима'!v834-'[2]$ зима'!u834-'[2]$ зима'!t834-'[2]$ зима'!s834-'[2]$ зима'!r834-'[2]$ зима'!p834-'[2]$ зима'!o834-'[2]$ зима'!n834-'[2]$ зима'!m834-'[2]$ зима'!l834+'[2]$ зима'!q834+'[2]$ зима'!w834+'[2]$ зима'!ac834+'[2]$ зима'!ai834+'[2]$ зима'!ao834+'[2]$ зима'!k834</f>
        <v>0</v>
      </c>
      <c r="I834" s="191" t="n">
        <f aca="false">'[2]$ зима'!ay834*1.1</f>
        <v>2156</v>
      </c>
    </row>
    <row r="835" customFormat="false" ht="15" hidden="true" customHeight="false" outlineLevel="0" collapsed="false">
      <c r="A835" s="188" t="s">
        <v>262</v>
      </c>
      <c r="B835" s="149" t="s">
        <v>668</v>
      </c>
      <c r="C835" s="148" t="s">
        <v>3538</v>
      </c>
      <c r="D835" s="148" t="s">
        <v>3317</v>
      </c>
      <c r="E835" s="148"/>
      <c r="F835" s="148"/>
      <c r="G835" s="193"/>
      <c r="H835" s="105" t="n">
        <f aca="false">'[2]$ зима'!j835-'[2]$ зима'!au835-'[2]$ зима'!at835-'[2]$ зима'!as835-'[2]$ зима'!ar835-'[2]$ зима'!aq835-'[2]$ зима'!ap835-'[2]$ зима'!an835-'[2]$ зима'!am835-'[2]$ зима'!al835-'[2]$ зима'!ak835-'[2]$ зима'!aj835-'[2]$ зима'!ah835-'[2]$ зима'!ag835-'[2]$ зима'!af835-'[2]$ зима'!ae835-'[2]$ зима'!ad835-'[2]$ зима'!ab835-'[2]$ зима'!aa835-'[2]$ зима'!z835-'[2]$ зима'!y835-'[2]$ зима'!x835-'[2]$ зима'!v835-'[2]$ зима'!u835-'[2]$ зима'!t835-'[2]$ зима'!s835-'[2]$ зима'!r835-'[2]$ зима'!p835-'[2]$ зима'!o835-'[2]$ зима'!n835-'[2]$ зима'!m835-'[2]$ зима'!l835+'[2]$ зима'!q835+'[2]$ зима'!w835+'[2]$ зима'!ac835+'[2]$ зима'!ai835+'[2]$ зима'!ao835+'[2]$ зима'!k835</f>
        <v>0</v>
      </c>
      <c r="I835" s="191" t="n">
        <f aca="false">'[2]$ зима'!ay835*1.1</f>
        <v>2094.4</v>
      </c>
    </row>
    <row r="836" customFormat="false" ht="15" hidden="true" customHeight="false" outlineLevel="0" collapsed="false">
      <c r="A836" s="188" t="s">
        <v>262</v>
      </c>
      <c r="B836" s="149" t="s">
        <v>583</v>
      </c>
      <c r="C836" s="148" t="s">
        <v>3303</v>
      </c>
      <c r="D836" s="148"/>
      <c r="E836" s="148"/>
      <c r="F836" s="148"/>
      <c r="G836" s="193"/>
      <c r="H836" s="105" t="n">
        <f aca="false">'[2]$ зима'!j836-'[2]$ зима'!au836-'[2]$ зима'!at836-'[2]$ зима'!as836-'[2]$ зима'!ar836-'[2]$ зима'!aq836-'[2]$ зима'!ap836-'[2]$ зима'!an836-'[2]$ зима'!am836-'[2]$ зима'!al836-'[2]$ зима'!ak836-'[2]$ зима'!aj836-'[2]$ зима'!ah836-'[2]$ зима'!ag836-'[2]$ зима'!af836-'[2]$ зима'!ae836-'[2]$ зима'!ad836-'[2]$ зима'!ab836-'[2]$ зима'!aa836-'[2]$ зима'!z836-'[2]$ зима'!y836-'[2]$ зима'!x836-'[2]$ зима'!v836-'[2]$ зима'!u836-'[2]$ зима'!t836-'[2]$ зима'!s836-'[2]$ зима'!r836-'[2]$ зима'!p836-'[2]$ зима'!o836-'[2]$ зима'!n836-'[2]$ зима'!m836-'[2]$ зима'!l836+'[2]$ зима'!q836+'[2]$ зима'!w836+'[2]$ зима'!ac836+'[2]$ зима'!ai836+'[2]$ зима'!ao836+'[2]$ зима'!k836</f>
        <v>0</v>
      </c>
      <c r="I836" s="191" t="n">
        <f aca="false">'[2]$ зима'!ay836*1.1</f>
        <v>2310</v>
      </c>
    </row>
    <row r="837" customFormat="false" ht="15" hidden="true" customHeight="false" outlineLevel="0" collapsed="false">
      <c r="A837" s="188" t="s">
        <v>262</v>
      </c>
      <c r="B837" s="149" t="s">
        <v>593</v>
      </c>
      <c r="C837" s="148" t="s">
        <v>3237</v>
      </c>
      <c r="D837" s="148"/>
      <c r="E837" s="148"/>
      <c r="F837" s="148"/>
      <c r="G837" s="193" t="s">
        <v>876</v>
      </c>
      <c r="H837" s="105" t="n">
        <f aca="false">'[2]$ зима'!j837-'[2]$ зима'!au837-'[2]$ зима'!at837-'[2]$ зима'!as837-'[2]$ зима'!ar837-'[2]$ зима'!aq837-'[2]$ зима'!ap837-'[2]$ зима'!an837-'[2]$ зима'!am837-'[2]$ зима'!al837-'[2]$ зима'!ak837-'[2]$ зима'!aj837-'[2]$ зима'!ah837-'[2]$ зима'!ag837-'[2]$ зима'!af837-'[2]$ зима'!ae837-'[2]$ зима'!ad837-'[2]$ зима'!ab837-'[2]$ зима'!aa837-'[2]$ зима'!z837-'[2]$ зима'!y837-'[2]$ зима'!x837-'[2]$ зима'!v837-'[2]$ зима'!u837-'[2]$ зима'!t837-'[2]$ зима'!s837-'[2]$ зима'!r837-'[2]$ зима'!p837-'[2]$ зима'!o837-'[2]$ зима'!n837-'[2]$ зима'!m837-'[2]$ зима'!l837+'[2]$ зима'!q837+'[2]$ зима'!w837+'[2]$ зима'!ac837+'[2]$ зима'!ai837+'[2]$ зима'!ao837+'[2]$ зима'!k837</f>
        <v>0</v>
      </c>
      <c r="I837" s="191" t="n">
        <f aca="false">'[2]$ зима'!ay837*1.1</f>
        <v>2156</v>
      </c>
    </row>
    <row r="838" customFormat="false" ht="15" hidden="false" customHeight="false" outlineLevel="0" collapsed="false">
      <c r="A838" s="188" t="s">
        <v>262</v>
      </c>
      <c r="B838" s="149" t="s">
        <v>3142</v>
      </c>
      <c r="C838" s="148" t="s">
        <v>3539</v>
      </c>
      <c r="D838" s="148" t="s">
        <v>3127</v>
      </c>
      <c r="E838" s="192"/>
      <c r="F838" s="192"/>
      <c r="G838" s="193"/>
      <c r="H838" s="105" t="n">
        <f aca="false">'[2]$ зима'!j838-'[2]$ зима'!au838-'[2]$ зима'!at838-'[2]$ зима'!as838-'[2]$ зима'!ar838-'[2]$ зима'!aq838-'[2]$ зима'!ap838-'[2]$ зима'!an838-'[2]$ зима'!am838-'[2]$ зима'!al838-'[2]$ зима'!ak838-'[2]$ зима'!aj838-'[2]$ зима'!ah838-'[2]$ зима'!ag838-'[2]$ зима'!af838-'[2]$ зима'!ae838-'[2]$ зима'!ad838-'[2]$ зима'!ab838-'[2]$ зима'!aa838-'[2]$ зима'!z838-'[2]$ зима'!y838-'[2]$ зима'!x838-'[2]$ зима'!v838-'[2]$ зима'!u838-'[2]$ зима'!t838-'[2]$ зима'!s838-'[2]$ зима'!r838-'[2]$ зима'!p838-'[2]$ зима'!o838-'[2]$ зима'!n838-'[2]$ зима'!m838-'[2]$ зима'!l838+'[2]$ зима'!q838+'[2]$ зима'!w838+'[2]$ зима'!ac838+'[2]$ зима'!ai838+'[2]$ зима'!ao838+'[2]$ зима'!k838</f>
        <v>2</v>
      </c>
      <c r="I838" s="191" t="n">
        <f aca="false">'[2]$ зима'!ay838*1.1</f>
        <v>2002</v>
      </c>
    </row>
    <row r="839" customFormat="false" ht="15" hidden="false" customHeight="false" outlineLevel="0" collapsed="false">
      <c r="A839" s="188" t="s">
        <v>262</v>
      </c>
      <c r="B839" s="149" t="s">
        <v>621</v>
      </c>
      <c r="C839" s="148" t="s">
        <v>3500</v>
      </c>
      <c r="D839" s="148"/>
      <c r="E839" s="192" t="n">
        <v>100</v>
      </c>
      <c r="F839" s="192" t="s">
        <v>562</v>
      </c>
      <c r="G839" s="193" t="s">
        <v>520</v>
      </c>
      <c r="H839" s="105" t="n">
        <f aca="false">'[2]$ зима'!j839-'[2]$ зима'!au839-'[2]$ зима'!at839-'[2]$ зима'!as839-'[2]$ зима'!ar839-'[2]$ зима'!aq839-'[2]$ зима'!ap839-'[2]$ зима'!an839-'[2]$ зима'!am839-'[2]$ зима'!al839-'[2]$ зима'!ak839-'[2]$ зима'!aj839-'[2]$ зима'!ah839-'[2]$ зима'!ag839-'[2]$ зима'!af839-'[2]$ зима'!ae839-'[2]$ зима'!ad839-'[2]$ зима'!ab839-'[2]$ зима'!aa839-'[2]$ зима'!z839-'[2]$ зима'!y839-'[2]$ зима'!x839-'[2]$ зима'!v839-'[2]$ зима'!u839-'[2]$ зима'!t839-'[2]$ зима'!s839-'[2]$ зима'!r839-'[2]$ зима'!p839-'[2]$ зима'!o839-'[2]$ зима'!n839-'[2]$ зима'!m839-'[2]$ зима'!l839+'[2]$ зима'!q839+'[2]$ зима'!w839+'[2]$ зима'!ac839+'[2]$ зима'!ai839+'[2]$ зима'!ao839+'[2]$ зима'!k839</f>
        <v>4</v>
      </c>
      <c r="I839" s="191" t="n">
        <f aca="false">'[2]$ зима'!ay839*1.1</f>
        <v>1848</v>
      </c>
    </row>
    <row r="840" customFormat="false" ht="15" hidden="true" customHeight="false" outlineLevel="0" collapsed="false">
      <c r="A840" s="188" t="s">
        <v>262</v>
      </c>
      <c r="B840" s="149" t="s">
        <v>589</v>
      </c>
      <c r="C840" s="148" t="s">
        <v>3455</v>
      </c>
      <c r="D840" s="148"/>
      <c r="E840" s="148"/>
      <c r="F840" s="148"/>
      <c r="G840" s="193" t="s">
        <v>626</v>
      </c>
      <c r="H840" s="105" t="n">
        <f aca="false">'[2]$ зима'!j840-'[2]$ зима'!au840-'[2]$ зима'!at840-'[2]$ зима'!as840-'[2]$ зима'!ar840-'[2]$ зима'!aq840-'[2]$ зима'!ap840-'[2]$ зима'!an840-'[2]$ зима'!am840-'[2]$ зима'!al840-'[2]$ зима'!ak840-'[2]$ зима'!aj840-'[2]$ зима'!ah840-'[2]$ зима'!ag840-'[2]$ зима'!af840-'[2]$ зима'!ae840-'[2]$ зима'!ad840-'[2]$ зима'!ab840-'[2]$ зима'!aa840-'[2]$ зима'!z840-'[2]$ зима'!y840-'[2]$ зима'!x840-'[2]$ зима'!v840-'[2]$ зима'!u840-'[2]$ зима'!t840-'[2]$ зима'!s840-'[2]$ зима'!r840-'[2]$ зима'!p840-'[2]$ зима'!o840-'[2]$ зима'!n840-'[2]$ зима'!m840-'[2]$ зима'!l840+'[2]$ зима'!q840+'[2]$ зима'!w840+'[2]$ зима'!ac840+'[2]$ зима'!ai840+'[2]$ зима'!ao840+'[2]$ зима'!k840</f>
        <v>0</v>
      </c>
      <c r="I840" s="191" t="n">
        <f aca="false">'[2]$ зима'!ay840*1.1</f>
        <v>3424.3</v>
      </c>
    </row>
    <row r="841" customFormat="false" ht="15" hidden="false" customHeight="false" outlineLevel="0" collapsed="false">
      <c r="A841" s="188" t="s">
        <v>262</v>
      </c>
      <c r="B841" s="149" t="s">
        <v>564</v>
      </c>
      <c r="C841" s="148" t="s">
        <v>3540</v>
      </c>
      <c r="D841" s="148"/>
      <c r="E841" s="192" t="n">
        <v>104</v>
      </c>
      <c r="F841" s="192" t="s">
        <v>3220</v>
      </c>
      <c r="G841" s="193" t="s">
        <v>520</v>
      </c>
      <c r="H841" s="105" t="n">
        <f aca="false">'[2]$ зима'!j841-'[2]$ зима'!au841-'[2]$ зима'!at841-'[2]$ зима'!as841-'[2]$ зима'!ar841-'[2]$ зима'!aq841-'[2]$ зима'!ap841-'[2]$ зима'!an841-'[2]$ зима'!am841-'[2]$ зима'!al841-'[2]$ зима'!ak841-'[2]$ зима'!aj841-'[2]$ зима'!ah841-'[2]$ зима'!ag841-'[2]$ зима'!af841-'[2]$ зима'!ae841-'[2]$ зима'!ad841-'[2]$ зима'!ab841-'[2]$ зима'!aa841-'[2]$ зима'!z841-'[2]$ зима'!y841-'[2]$ зима'!x841-'[2]$ зима'!v841-'[2]$ зима'!u841-'[2]$ зима'!t841-'[2]$ зима'!s841-'[2]$ зима'!r841-'[2]$ зима'!p841-'[2]$ зима'!o841-'[2]$ зима'!n841-'[2]$ зима'!m841-'[2]$ зима'!l841+'[2]$ зима'!q841+'[2]$ зима'!w841+'[2]$ зима'!ac841+'[2]$ зима'!ai841+'[2]$ зима'!ao841+'[2]$ зима'!k841</f>
        <v>8</v>
      </c>
      <c r="I841" s="191" t="n">
        <f aca="false">'[2]$ зима'!ay841*1.1</f>
        <v>1755.6</v>
      </c>
      <c r="J841" s="171" t="n">
        <v>2017</v>
      </c>
    </row>
    <row r="842" customFormat="false" ht="15" hidden="true" customHeight="false" outlineLevel="0" collapsed="false">
      <c r="A842" s="188" t="s">
        <v>265</v>
      </c>
      <c r="B842" s="149" t="s">
        <v>601</v>
      </c>
      <c r="C842" s="148" t="s">
        <v>3482</v>
      </c>
      <c r="D842" s="148"/>
      <c r="E842" s="148"/>
      <c r="F842" s="148"/>
      <c r="G842" s="193"/>
      <c r="H842" s="105" t="n">
        <f aca="false">'[2]$ зима'!j842-'[2]$ зима'!au842-'[2]$ зима'!at842-'[2]$ зима'!as842-'[2]$ зима'!ar842-'[2]$ зима'!aq842-'[2]$ зима'!ap842-'[2]$ зима'!an842-'[2]$ зима'!am842-'[2]$ зима'!al842-'[2]$ зима'!ak842-'[2]$ зима'!aj842-'[2]$ зима'!ah842-'[2]$ зима'!ag842-'[2]$ зима'!af842-'[2]$ зима'!ae842-'[2]$ зима'!ad842-'[2]$ зима'!ab842-'[2]$ зима'!aa842-'[2]$ зима'!z842-'[2]$ зима'!y842-'[2]$ зима'!x842-'[2]$ зима'!v842-'[2]$ зима'!u842-'[2]$ зима'!t842-'[2]$ зима'!s842-'[2]$ зима'!r842-'[2]$ зима'!p842-'[2]$ зима'!o842-'[2]$ зима'!n842-'[2]$ зима'!m842-'[2]$ зима'!l842+'[2]$ зима'!q842+'[2]$ зима'!w842+'[2]$ зима'!ac842+'[2]$ зима'!ai842+'[2]$ зима'!ao842+'[2]$ зима'!k842</f>
        <v>0</v>
      </c>
      <c r="I842" s="191" t="n">
        <f aca="false">'[2]$ зима'!ay842*1.1</f>
        <v>3018.4</v>
      </c>
    </row>
    <row r="843" customFormat="false" ht="15" hidden="true" customHeight="false" outlineLevel="0" collapsed="false">
      <c r="A843" s="188" t="s">
        <v>265</v>
      </c>
      <c r="B843" s="149" t="s">
        <v>606</v>
      </c>
      <c r="C843" s="148" t="s">
        <v>3541</v>
      </c>
      <c r="D843" s="148"/>
      <c r="E843" s="148" t="n">
        <v>106</v>
      </c>
      <c r="F843" s="148" t="s">
        <v>3207</v>
      </c>
      <c r="G843" s="193"/>
      <c r="H843" s="105" t="n">
        <f aca="false">'[2]$ зима'!j843-'[2]$ зима'!au843-'[2]$ зима'!at843-'[2]$ зима'!as843-'[2]$ зима'!ar843-'[2]$ зима'!aq843-'[2]$ зима'!ap843-'[2]$ зима'!an843-'[2]$ зима'!am843-'[2]$ зима'!al843-'[2]$ зима'!ak843-'[2]$ зима'!aj843-'[2]$ зима'!ah843-'[2]$ зима'!ag843-'[2]$ зима'!af843-'[2]$ зима'!ae843-'[2]$ зима'!ad843-'[2]$ зима'!ab843-'[2]$ зима'!aa843-'[2]$ зима'!z843-'[2]$ зима'!y843-'[2]$ зима'!x843-'[2]$ зима'!v843-'[2]$ зима'!u843-'[2]$ зима'!t843-'[2]$ зима'!s843-'[2]$ зима'!r843-'[2]$ зима'!p843-'[2]$ зима'!o843-'[2]$ зима'!n843-'[2]$ зима'!m843-'[2]$ зима'!l843+'[2]$ зима'!q843+'[2]$ зима'!w843+'[2]$ зима'!ac843+'[2]$ зима'!ai843+'[2]$ зима'!ao843+'[2]$ зима'!k843</f>
        <v>0</v>
      </c>
      <c r="I843" s="191" t="n">
        <f aca="false">'[2]$ зима'!ay843*1.1</f>
        <v>2464</v>
      </c>
    </row>
    <row r="844" customFormat="false" ht="15" hidden="true" customHeight="false" outlineLevel="0" collapsed="false">
      <c r="A844" s="188" t="s">
        <v>265</v>
      </c>
      <c r="B844" s="149" t="s">
        <v>668</v>
      </c>
      <c r="C844" s="194" t="s">
        <v>3182</v>
      </c>
      <c r="D844" s="148"/>
      <c r="E844" s="148"/>
      <c r="F844" s="148"/>
      <c r="G844" s="193"/>
      <c r="H844" s="105" t="n">
        <f aca="false">'[2]$ зима'!j844-'[2]$ зима'!au844-'[2]$ зима'!at844-'[2]$ зима'!as844-'[2]$ зима'!ar844-'[2]$ зима'!aq844-'[2]$ зима'!ap844-'[2]$ зима'!an844-'[2]$ зима'!am844-'[2]$ зима'!al844-'[2]$ зима'!ak844-'[2]$ зима'!aj844-'[2]$ зима'!ah844-'[2]$ зима'!ag844-'[2]$ зима'!af844-'[2]$ зима'!ae844-'[2]$ зима'!ad844-'[2]$ зима'!ab844-'[2]$ зима'!aa844-'[2]$ зима'!z844-'[2]$ зима'!y844-'[2]$ зима'!x844-'[2]$ зима'!v844-'[2]$ зима'!u844-'[2]$ зима'!t844-'[2]$ зима'!s844-'[2]$ зима'!r844-'[2]$ зима'!p844-'[2]$ зима'!o844-'[2]$ зима'!n844-'[2]$ зима'!m844-'[2]$ зима'!l844+'[2]$ зима'!q844+'[2]$ зима'!w844+'[2]$ зима'!ac844+'[2]$ зима'!ai844+'[2]$ зима'!ao844+'[2]$ зима'!k844</f>
        <v>0</v>
      </c>
      <c r="I844" s="191" t="n">
        <f aca="false">'[2]$ зима'!ay844*1.1</f>
        <v>3018.4</v>
      </c>
    </row>
    <row r="845" customFormat="false" ht="15" hidden="true" customHeight="false" outlineLevel="0" collapsed="false">
      <c r="A845" s="188" t="s">
        <v>265</v>
      </c>
      <c r="B845" s="149" t="s">
        <v>574</v>
      </c>
      <c r="C845" s="148" t="s">
        <v>3515</v>
      </c>
      <c r="D845" s="148"/>
      <c r="E845" s="148"/>
      <c r="F845" s="148"/>
      <c r="G845" s="193" t="s">
        <v>576</v>
      </c>
      <c r="H845" s="105" t="n">
        <f aca="false">'[2]$ зима'!j845-'[2]$ зима'!au845-'[2]$ зима'!at845-'[2]$ зима'!as845-'[2]$ зима'!ar845-'[2]$ зима'!aq845-'[2]$ зима'!ap845-'[2]$ зима'!an845-'[2]$ зима'!am845-'[2]$ зима'!al845-'[2]$ зима'!ak845-'[2]$ зима'!aj845-'[2]$ зима'!ah845-'[2]$ зима'!ag845-'[2]$ зима'!af845-'[2]$ зима'!ae845-'[2]$ зима'!ad845-'[2]$ зима'!ab845-'[2]$ зима'!aa845-'[2]$ зима'!z845-'[2]$ зима'!y845-'[2]$ зима'!x845-'[2]$ зима'!v845-'[2]$ зима'!u845-'[2]$ зима'!t845-'[2]$ зима'!s845-'[2]$ зима'!r845-'[2]$ зима'!p845-'[2]$ зима'!o845-'[2]$ зима'!n845-'[2]$ зима'!m845-'[2]$ зима'!l845+'[2]$ зима'!q845+'[2]$ зима'!w845+'[2]$ зима'!ac845+'[2]$ зима'!ai845+'[2]$ зима'!ao845+'[2]$ зима'!k845</f>
        <v>0</v>
      </c>
      <c r="I845" s="191" t="n">
        <f aca="false">'[2]$ зима'!ay845*1.1</f>
        <v>2490.4</v>
      </c>
    </row>
    <row r="846" customFormat="false" ht="15" hidden="true" customHeight="false" outlineLevel="0" collapsed="false">
      <c r="A846" s="188" t="s">
        <v>265</v>
      </c>
      <c r="B846" s="149" t="s">
        <v>577</v>
      </c>
      <c r="C846" s="148" t="s">
        <v>3542</v>
      </c>
      <c r="D846" s="148"/>
      <c r="E846" s="148" t="n">
        <v>109</v>
      </c>
      <c r="F846" s="148" t="s">
        <v>3216</v>
      </c>
      <c r="G846" s="193" t="s">
        <v>563</v>
      </c>
      <c r="H846" s="105" t="n">
        <f aca="false">'[2]$ зима'!j846-'[2]$ зима'!au846-'[2]$ зима'!at846-'[2]$ зима'!as846-'[2]$ зима'!ar846-'[2]$ зима'!aq846-'[2]$ зима'!ap846-'[2]$ зима'!an846-'[2]$ зима'!am846-'[2]$ зима'!al846-'[2]$ зима'!ak846-'[2]$ зима'!aj846-'[2]$ зима'!ah846-'[2]$ зима'!ag846-'[2]$ зима'!af846-'[2]$ зима'!ae846-'[2]$ зима'!ad846-'[2]$ зима'!ab846-'[2]$ зима'!aa846-'[2]$ зима'!z846-'[2]$ зима'!y846-'[2]$ зима'!x846-'[2]$ зима'!v846-'[2]$ зима'!u846-'[2]$ зима'!t846-'[2]$ зима'!s846-'[2]$ зима'!r846-'[2]$ зима'!p846-'[2]$ зима'!o846-'[2]$ зима'!n846-'[2]$ зима'!m846-'[2]$ зима'!l846+'[2]$ зима'!q846+'[2]$ зима'!w846+'[2]$ зима'!ac846+'[2]$ зима'!ai846+'[2]$ зима'!ao846+'[2]$ зима'!k846</f>
        <v>0</v>
      </c>
      <c r="I846" s="191" t="n">
        <f aca="false">'[2]$ зима'!ay846*1.1</f>
        <v>2156</v>
      </c>
    </row>
    <row r="847" customFormat="false" ht="15" hidden="false" customHeight="false" outlineLevel="0" collapsed="false">
      <c r="A847" s="188" t="s">
        <v>265</v>
      </c>
      <c r="B847" s="149" t="s">
        <v>583</v>
      </c>
      <c r="C847" s="148" t="s">
        <v>3313</v>
      </c>
      <c r="D847" s="148"/>
      <c r="E847" s="192"/>
      <c r="F847" s="192"/>
      <c r="G847" s="193"/>
      <c r="H847" s="105" t="n">
        <f aca="false">'[2]$ зима'!j847-'[2]$ зима'!au847-'[2]$ зима'!at847-'[2]$ зима'!as847-'[2]$ зима'!ar847-'[2]$ зима'!aq847-'[2]$ зима'!ap847-'[2]$ зима'!an847-'[2]$ зима'!am847-'[2]$ зима'!al847-'[2]$ зима'!ak847-'[2]$ зима'!aj847-'[2]$ зима'!ah847-'[2]$ зима'!ag847-'[2]$ зима'!af847-'[2]$ зима'!ae847-'[2]$ зима'!ad847-'[2]$ зима'!ab847-'[2]$ зима'!aa847-'[2]$ зима'!z847-'[2]$ зима'!y847-'[2]$ зима'!x847-'[2]$ зима'!v847-'[2]$ зима'!u847-'[2]$ зима'!t847-'[2]$ зима'!s847-'[2]$ зима'!r847-'[2]$ зима'!p847-'[2]$ зима'!o847-'[2]$ зима'!n847-'[2]$ зима'!m847-'[2]$ зима'!l847+'[2]$ зима'!q847+'[2]$ зима'!w847+'[2]$ зима'!ac847+'[2]$ зима'!ai847+'[2]$ зима'!ao847+'[2]$ зима'!k847</f>
        <v>4</v>
      </c>
      <c r="I847" s="191" t="n">
        <f aca="false">'[2]$ зима'!ay847*1.1</f>
        <v>2248.4</v>
      </c>
    </row>
    <row r="848" customFormat="false" ht="15" hidden="true" customHeight="false" outlineLevel="0" collapsed="false">
      <c r="A848" s="188" t="s">
        <v>265</v>
      </c>
      <c r="B848" s="149" t="s">
        <v>1149</v>
      </c>
      <c r="C848" s="148" t="s">
        <v>3170</v>
      </c>
      <c r="D848" s="148"/>
      <c r="E848" s="148"/>
      <c r="F848" s="148"/>
      <c r="G848" s="193"/>
      <c r="H848" s="105" t="n">
        <f aca="false">'[2]$ зима'!j848-'[2]$ зима'!au848-'[2]$ зима'!at848-'[2]$ зима'!as848-'[2]$ зима'!ar848-'[2]$ зима'!aq848-'[2]$ зима'!ap848-'[2]$ зима'!an848-'[2]$ зима'!am848-'[2]$ зима'!al848-'[2]$ зима'!ak848-'[2]$ зима'!aj848-'[2]$ зима'!ah848-'[2]$ зима'!ag848-'[2]$ зима'!af848-'[2]$ зима'!ae848-'[2]$ зима'!ad848-'[2]$ зима'!ab848-'[2]$ зима'!aa848-'[2]$ зима'!z848-'[2]$ зима'!y848-'[2]$ зима'!x848-'[2]$ зима'!v848-'[2]$ зима'!u848-'[2]$ зима'!t848-'[2]$ зима'!s848-'[2]$ зима'!r848-'[2]$ зима'!p848-'[2]$ зима'!o848-'[2]$ зима'!n848-'[2]$ зима'!m848-'[2]$ зима'!l848+'[2]$ зима'!q848+'[2]$ зима'!w848+'[2]$ зима'!ac848+'[2]$ зима'!ai848+'[2]$ зима'!ao848+'[2]$ зима'!k848</f>
        <v>0</v>
      </c>
      <c r="I848" s="191" t="n">
        <f aca="false">'[2]$ зима'!ay848*1.1</f>
        <v>2310</v>
      </c>
    </row>
    <row r="849" customFormat="false" ht="15" hidden="true" customHeight="false" outlineLevel="0" collapsed="false">
      <c r="A849" s="188" t="s">
        <v>265</v>
      </c>
      <c r="B849" s="149" t="s">
        <v>677</v>
      </c>
      <c r="C849" s="148" t="s">
        <v>3454</v>
      </c>
      <c r="D849" s="148" t="s">
        <v>3127</v>
      </c>
      <c r="E849" s="148"/>
      <c r="F849" s="148"/>
      <c r="G849" s="193"/>
      <c r="H849" s="105" t="n">
        <f aca="false">'[2]$ зима'!j849-'[2]$ зима'!au849-'[2]$ зима'!at849-'[2]$ зима'!as849-'[2]$ зима'!ar849-'[2]$ зима'!aq849-'[2]$ зима'!ap849-'[2]$ зима'!an849-'[2]$ зима'!am849-'[2]$ зима'!al849-'[2]$ зима'!ak849-'[2]$ зима'!aj849-'[2]$ зима'!ah849-'[2]$ зима'!ag849-'[2]$ зима'!af849-'[2]$ зима'!ae849-'[2]$ зима'!ad849-'[2]$ зима'!ab849-'[2]$ зима'!aa849-'[2]$ зима'!z849-'[2]$ зима'!y849-'[2]$ зима'!x849-'[2]$ зима'!v849-'[2]$ зима'!u849-'[2]$ зима'!t849-'[2]$ зима'!s849-'[2]$ зима'!r849-'[2]$ зима'!p849-'[2]$ зима'!o849-'[2]$ зима'!n849-'[2]$ зима'!m849-'[2]$ зима'!l849+'[2]$ зима'!q849+'[2]$ зима'!w849+'[2]$ зима'!ac849+'[2]$ зима'!ai849+'[2]$ зима'!ao849+'[2]$ зима'!k849</f>
        <v>0</v>
      </c>
      <c r="I849" s="191" t="n">
        <f aca="false">'[2]$ зима'!ay849*1.1</f>
        <v>2464</v>
      </c>
    </row>
    <row r="850" customFormat="false" ht="15" hidden="true" customHeight="false" outlineLevel="0" collapsed="false">
      <c r="A850" s="188" t="s">
        <v>265</v>
      </c>
      <c r="B850" s="149" t="s">
        <v>1028</v>
      </c>
      <c r="C850" s="148" t="s">
        <v>3543</v>
      </c>
      <c r="D850" s="148"/>
      <c r="E850" s="148"/>
      <c r="F850" s="148"/>
      <c r="G850" s="193"/>
      <c r="H850" s="105" t="n">
        <f aca="false">'[2]$ зима'!j850-'[2]$ зима'!au850-'[2]$ зима'!at850-'[2]$ зима'!as850-'[2]$ зима'!ar850-'[2]$ зима'!aq850-'[2]$ зима'!ap850-'[2]$ зима'!an850-'[2]$ зима'!am850-'[2]$ зима'!al850-'[2]$ зима'!ak850-'[2]$ зима'!aj850-'[2]$ зима'!ah850-'[2]$ зима'!ag850-'[2]$ зима'!af850-'[2]$ зима'!ae850-'[2]$ зима'!ad850-'[2]$ зима'!ab850-'[2]$ зима'!aa850-'[2]$ зима'!z850-'[2]$ зима'!y850-'[2]$ зима'!x850-'[2]$ зима'!v850-'[2]$ зима'!u850-'[2]$ зима'!t850-'[2]$ зима'!s850-'[2]$ зима'!r850-'[2]$ зима'!p850-'[2]$ зима'!o850-'[2]$ зима'!n850-'[2]$ зима'!m850-'[2]$ зима'!l850+'[2]$ зима'!q850+'[2]$ зима'!w850+'[2]$ зима'!ac850+'[2]$ зима'!ai850+'[2]$ зима'!ao850+'[2]$ зима'!k850</f>
        <v>0</v>
      </c>
      <c r="I850" s="191" t="n">
        <f aca="false">'[2]$ зима'!ay850*1.1</f>
        <v>2618</v>
      </c>
    </row>
    <row r="851" customFormat="false" ht="15" hidden="false" customHeight="false" outlineLevel="0" collapsed="false">
      <c r="A851" s="188" t="s">
        <v>1422</v>
      </c>
      <c r="B851" s="149" t="s">
        <v>606</v>
      </c>
      <c r="C851" s="148" t="s">
        <v>3386</v>
      </c>
      <c r="D851" s="148"/>
      <c r="E851" s="192" t="n">
        <v>108</v>
      </c>
      <c r="F851" s="192" t="s">
        <v>562</v>
      </c>
      <c r="G851" s="193" t="s">
        <v>857</v>
      </c>
      <c r="H851" s="105" t="n">
        <f aca="false">'[2]$ зима'!j851-'[2]$ зима'!au851-'[2]$ зима'!at851-'[2]$ зима'!as851-'[2]$ зима'!ar851-'[2]$ зима'!aq851-'[2]$ зима'!ap851-'[2]$ зима'!an851-'[2]$ зима'!am851-'[2]$ зима'!al851-'[2]$ зима'!ak851-'[2]$ зима'!aj851-'[2]$ зима'!ah851-'[2]$ зима'!ag851-'[2]$ зима'!af851-'[2]$ зима'!ae851-'[2]$ зима'!ad851-'[2]$ зима'!ab851-'[2]$ зима'!aa851-'[2]$ зима'!z851-'[2]$ зима'!y851-'[2]$ зима'!x851-'[2]$ зима'!v851-'[2]$ зима'!u851-'[2]$ зима'!t851-'[2]$ зима'!s851-'[2]$ зима'!r851-'[2]$ зима'!p851-'[2]$ зима'!o851-'[2]$ зима'!n851-'[2]$ зима'!m851-'[2]$ зима'!l851+'[2]$ зима'!q851+'[2]$ зима'!w851+'[2]$ зима'!ac851+'[2]$ зима'!ai851+'[2]$ зима'!ao851+'[2]$ зима'!k851</f>
        <v>4</v>
      </c>
      <c r="I851" s="191" t="n">
        <f aca="false">'[2]$ зима'!ay851*1.1</f>
        <v>2772</v>
      </c>
      <c r="J851" s="171" t="n">
        <v>2018</v>
      </c>
    </row>
    <row r="852" customFormat="false" ht="15" hidden="true" customHeight="false" outlineLevel="0" collapsed="false">
      <c r="A852" s="188" t="s">
        <v>1425</v>
      </c>
      <c r="B852" s="149" t="s">
        <v>601</v>
      </c>
      <c r="C852" s="148" t="s">
        <v>3482</v>
      </c>
      <c r="D852" s="148"/>
      <c r="E852" s="148"/>
      <c r="F852" s="148"/>
      <c r="G852" s="193"/>
      <c r="H852" s="105" t="n">
        <f aca="false">'[2]$ зима'!j852-'[2]$ зима'!au852-'[2]$ зима'!at852-'[2]$ зима'!as852-'[2]$ зима'!ar852-'[2]$ зима'!aq852-'[2]$ зима'!ap852-'[2]$ зима'!an852-'[2]$ зима'!am852-'[2]$ зима'!al852-'[2]$ зима'!ak852-'[2]$ зима'!aj852-'[2]$ зима'!ah852-'[2]$ зима'!ag852-'[2]$ зима'!af852-'[2]$ зима'!ae852-'[2]$ зима'!ad852-'[2]$ зима'!ab852-'[2]$ зима'!aa852-'[2]$ зима'!z852-'[2]$ зима'!y852-'[2]$ зима'!x852-'[2]$ зима'!v852-'[2]$ зима'!u852-'[2]$ зима'!t852-'[2]$ зима'!s852-'[2]$ зима'!r852-'[2]$ зима'!p852-'[2]$ зима'!o852-'[2]$ зима'!n852-'[2]$ зима'!m852-'[2]$ зима'!l852+'[2]$ зима'!q852+'[2]$ зима'!w852+'[2]$ зима'!ac852+'[2]$ зима'!ai852+'[2]$ зима'!ao852+'[2]$ зима'!k852</f>
        <v>0</v>
      </c>
      <c r="I852" s="191" t="n">
        <f aca="false">'[2]$ зима'!ay852*1.1</f>
        <v>3449.6</v>
      </c>
    </row>
    <row r="853" customFormat="false" ht="15" hidden="true" customHeight="false" outlineLevel="0" collapsed="false">
      <c r="A853" s="188" t="s">
        <v>1425</v>
      </c>
      <c r="B853" s="149" t="s">
        <v>677</v>
      </c>
      <c r="C853" s="148" t="s">
        <v>3454</v>
      </c>
      <c r="D853" s="148" t="s">
        <v>3127</v>
      </c>
      <c r="E853" s="148"/>
      <c r="F853" s="148"/>
      <c r="G853" s="193"/>
      <c r="H853" s="105" t="n">
        <f aca="false">'[2]$ зима'!j853-'[2]$ зима'!au853-'[2]$ зима'!at853-'[2]$ зима'!as853-'[2]$ зима'!ar853-'[2]$ зима'!aq853-'[2]$ зима'!ap853-'[2]$ зима'!an853-'[2]$ зима'!am853-'[2]$ зима'!al853-'[2]$ зима'!ak853-'[2]$ зима'!aj853-'[2]$ зима'!ah853-'[2]$ зима'!ag853-'[2]$ зима'!af853-'[2]$ зима'!ae853-'[2]$ зима'!ad853-'[2]$ зима'!ab853-'[2]$ зима'!aa853-'[2]$ зима'!z853-'[2]$ зима'!y853-'[2]$ зима'!x853-'[2]$ зима'!v853-'[2]$ зима'!u853-'[2]$ зима'!t853-'[2]$ зима'!s853-'[2]$ зима'!r853-'[2]$ зима'!p853-'[2]$ зима'!o853-'[2]$ зима'!n853-'[2]$ зима'!m853-'[2]$ зима'!l853+'[2]$ зима'!q853+'[2]$ зима'!w853+'[2]$ зима'!ac853+'[2]$ зима'!ai853+'[2]$ зима'!ao853+'[2]$ зима'!k853</f>
        <v>0</v>
      </c>
      <c r="I853" s="191" t="n">
        <f aca="false">'[2]$ зима'!ay853*1.1</f>
        <v>2772</v>
      </c>
    </row>
    <row r="854" customFormat="false" ht="15" hidden="true" customHeight="false" outlineLevel="0" collapsed="false">
      <c r="A854" s="196" t="s">
        <v>1425</v>
      </c>
      <c r="B854" s="149" t="s">
        <v>557</v>
      </c>
      <c r="C854" s="148" t="s">
        <v>3544</v>
      </c>
      <c r="D854" s="148"/>
      <c r="E854" s="148"/>
      <c r="F854" s="148"/>
      <c r="G854" s="193"/>
      <c r="H854" s="105" t="n">
        <f aca="false">'[2]$ зима'!j854-'[2]$ зима'!au854-'[2]$ зима'!at854-'[2]$ зима'!as854-'[2]$ зима'!ar854-'[2]$ зима'!aq854-'[2]$ зима'!ap854-'[2]$ зима'!an854-'[2]$ зима'!am854-'[2]$ зима'!al854-'[2]$ зима'!ak854-'[2]$ зима'!aj854-'[2]$ зима'!ah854-'[2]$ зима'!ag854-'[2]$ зима'!af854-'[2]$ зима'!ae854-'[2]$ зима'!ad854-'[2]$ зима'!ab854-'[2]$ зима'!aa854-'[2]$ зима'!z854-'[2]$ зима'!y854-'[2]$ зима'!x854-'[2]$ зима'!v854-'[2]$ зима'!u854-'[2]$ зима'!t854-'[2]$ зима'!s854-'[2]$ зима'!r854-'[2]$ зима'!p854-'[2]$ зима'!o854-'[2]$ зима'!n854-'[2]$ зима'!m854-'[2]$ зима'!l854+'[2]$ зима'!q854+'[2]$ зима'!w854+'[2]$ зима'!ac854+'[2]$ зима'!ai854+'[2]$ зима'!ao854+'[2]$ зима'!k854</f>
        <v>0</v>
      </c>
      <c r="I854" s="191" t="n">
        <f aca="false">'[2]$ зима'!ay854*1.1</f>
        <v>2556.4</v>
      </c>
    </row>
    <row r="855" customFormat="false" ht="15" hidden="true" customHeight="false" outlineLevel="0" collapsed="false">
      <c r="A855" s="196" t="s">
        <v>1425</v>
      </c>
      <c r="B855" s="149" t="s">
        <v>744</v>
      </c>
      <c r="C855" s="148" t="s">
        <v>3443</v>
      </c>
      <c r="D855" s="148" t="s">
        <v>3127</v>
      </c>
      <c r="E855" s="148"/>
      <c r="F855" s="148"/>
      <c r="G855" s="193"/>
      <c r="H855" s="105" t="n">
        <f aca="false">'[2]$ зима'!j855-'[2]$ зима'!au855-'[2]$ зима'!at855-'[2]$ зима'!as855-'[2]$ зима'!ar855-'[2]$ зима'!aq855-'[2]$ зима'!ap855-'[2]$ зима'!an855-'[2]$ зима'!am855-'[2]$ зима'!al855-'[2]$ зима'!ak855-'[2]$ зима'!aj855-'[2]$ зима'!ah855-'[2]$ зима'!ag855-'[2]$ зима'!af855-'[2]$ зима'!ae855-'[2]$ зима'!ad855-'[2]$ зима'!ab855-'[2]$ зима'!aa855-'[2]$ зима'!z855-'[2]$ зима'!y855-'[2]$ зима'!x855-'[2]$ зима'!v855-'[2]$ зима'!u855-'[2]$ зима'!t855-'[2]$ зима'!s855-'[2]$ зима'!r855-'[2]$ зима'!p855-'[2]$ зима'!o855-'[2]$ зима'!n855-'[2]$ зима'!m855-'[2]$ зима'!l855+'[2]$ зима'!q855+'[2]$ зима'!w855+'[2]$ зима'!ac855+'[2]$ зима'!ai855+'[2]$ зима'!ao855+'[2]$ зима'!k855</f>
        <v>0</v>
      </c>
      <c r="I855" s="191" t="n">
        <f aca="false">'[2]$ зима'!ay855*1.1</f>
        <v>2926</v>
      </c>
    </row>
    <row r="856" customFormat="false" ht="15" hidden="false" customHeight="false" outlineLevel="0" collapsed="false">
      <c r="A856" s="196" t="s">
        <v>1425</v>
      </c>
      <c r="B856" s="149" t="s">
        <v>606</v>
      </c>
      <c r="C856" s="148" t="s">
        <v>3545</v>
      </c>
      <c r="D856" s="148"/>
      <c r="E856" s="192"/>
      <c r="F856" s="192"/>
      <c r="G856" s="193"/>
      <c r="H856" s="105" t="n">
        <f aca="false">'[2]$ зима'!j856-'[2]$ зима'!au856-'[2]$ зима'!at856-'[2]$ зима'!as856-'[2]$ зима'!ar856-'[2]$ зима'!aq856-'[2]$ зима'!ap856-'[2]$ зима'!an856-'[2]$ зима'!am856-'[2]$ зима'!al856-'[2]$ зима'!ak856-'[2]$ зима'!aj856-'[2]$ зима'!ah856-'[2]$ зима'!ag856-'[2]$ зима'!af856-'[2]$ зима'!ae856-'[2]$ зима'!ad856-'[2]$ зима'!ab856-'[2]$ зима'!aa856-'[2]$ зима'!z856-'[2]$ зима'!y856-'[2]$ зима'!x856-'[2]$ зима'!v856-'[2]$ зима'!u856-'[2]$ зима'!t856-'[2]$ зима'!s856-'[2]$ зима'!r856-'[2]$ зима'!p856-'[2]$ зима'!o856-'[2]$ зима'!n856-'[2]$ зима'!m856-'[2]$ зима'!l856+'[2]$ зима'!q856+'[2]$ зима'!w856+'[2]$ зима'!ac856+'[2]$ зима'!ai856+'[2]$ зима'!ao856+'[2]$ зима'!k856</f>
        <v>2</v>
      </c>
      <c r="I856" s="191" t="n">
        <f aca="false">'[2]$ зима'!ay856*1.1</f>
        <v>2926</v>
      </c>
      <c r="J856" s="171" t="n">
        <v>2017</v>
      </c>
    </row>
    <row r="857" customFormat="false" ht="15" hidden="true" customHeight="false" outlineLevel="0" collapsed="false">
      <c r="A857" s="188" t="s">
        <v>1425</v>
      </c>
      <c r="B857" s="149" t="s">
        <v>668</v>
      </c>
      <c r="C857" s="194" t="s">
        <v>3182</v>
      </c>
      <c r="D857" s="148"/>
      <c r="E857" s="148"/>
      <c r="F857" s="148"/>
      <c r="G857" s="193"/>
      <c r="H857" s="105" t="n">
        <f aca="false">'[2]$ зима'!j857-'[2]$ зима'!au857-'[2]$ зима'!at857-'[2]$ зима'!as857-'[2]$ зима'!ar857-'[2]$ зима'!aq857-'[2]$ зима'!ap857-'[2]$ зима'!an857-'[2]$ зима'!am857-'[2]$ зима'!al857-'[2]$ зима'!ak857-'[2]$ зима'!aj857-'[2]$ зима'!ah857-'[2]$ зима'!ag857-'[2]$ зима'!af857-'[2]$ зима'!ae857-'[2]$ зима'!ad857-'[2]$ зима'!ab857-'[2]$ зима'!aa857-'[2]$ зима'!z857-'[2]$ зима'!y857-'[2]$ зима'!x857-'[2]$ зима'!v857-'[2]$ зима'!u857-'[2]$ зима'!t857-'[2]$ зима'!s857-'[2]$ зима'!r857-'[2]$ зима'!p857-'[2]$ зима'!o857-'[2]$ зима'!n857-'[2]$ зима'!m857-'[2]$ зима'!l857+'[2]$ зима'!q857+'[2]$ зима'!w857+'[2]$ зима'!ac857+'[2]$ зима'!ai857+'[2]$ зима'!ao857+'[2]$ зима'!k857</f>
        <v>0</v>
      </c>
      <c r="I857" s="191" t="n">
        <f aca="false">'[2]$ зима'!ay857*1.1</f>
        <v>2772</v>
      </c>
    </row>
    <row r="858" customFormat="false" ht="15" hidden="false" customHeight="false" outlineLevel="0" collapsed="false">
      <c r="A858" s="188" t="s">
        <v>1425</v>
      </c>
      <c r="B858" s="149" t="s">
        <v>574</v>
      </c>
      <c r="C858" s="148" t="s">
        <v>3515</v>
      </c>
      <c r="D858" s="148"/>
      <c r="E858" s="192"/>
      <c r="F858" s="192"/>
      <c r="G858" s="193" t="s">
        <v>576</v>
      </c>
      <c r="H858" s="105" t="n">
        <f aca="false">'[2]$ зима'!j858-'[2]$ зима'!au858-'[2]$ зима'!at858-'[2]$ зима'!as858-'[2]$ зима'!ar858-'[2]$ зима'!aq858-'[2]$ зима'!ap858-'[2]$ зима'!an858-'[2]$ зима'!am858-'[2]$ зима'!al858-'[2]$ зима'!ak858-'[2]$ зима'!aj858-'[2]$ зима'!ah858-'[2]$ зима'!ag858-'[2]$ зима'!af858-'[2]$ зима'!ae858-'[2]$ зима'!ad858-'[2]$ зима'!ab858-'[2]$ зима'!aa858-'[2]$ зима'!z858-'[2]$ зима'!y858-'[2]$ зима'!x858-'[2]$ зима'!v858-'[2]$ зима'!u858-'[2]$ зима'!t858-'[2]$ зима'!s858-'[2]$ зима'!r858-'[2]$ зима'!p858-'[2]$ зима'!o858-'[2]$ зима'!n858-'[2]$ зима'!m858-'[2]$ зима'!l858+'[2]$ зима'!q858+'[2]$ зима'!w858+'[2]$ зима'!ac858+'[2]$ зима'!ai858+'[2]$ зима'!ao858+'[2]$ зима'!k858</f>
        <v>1</v>
      </c>
      <c r="I858" s="191" t="n">
        <f aca="false">'[2]$ зима'!ay858*1.1</f>
        <v>1874.4</v>
      </c>
    </row>
    <row r="859" customFormat="false" ht="15" hidden="false" customHeight="false" outlineLevel="0" collapsed="false">
      <c r="A859" s="188" t="s">
        <v>1425</v>
      </c>
      <c r="B859" s="149" t="s">
        <v>574</v>
      </c>
      <c r="C859" s="148" t="s">
        <v>3516</v>
      </c>
      <c r="D859" s="148"/>
      <c r="E859" s="192"/>
      <c r="F859" s="192"/>
      <c r="G859" s="193" t="s">
        <v>576</v>
      </c>
      <c r="H859" s="105" t="n">
        <f aca="false">'[2]$ зима'!j859-'[2]$ зима'!au859-'[2]$ зима'!at859-'[2]$ зима'!as859-'[2]$ зима'!ar859-'[2]$ зима'!aq859-'[2]$ зима'!ap859-'[2]$ зима'!an859-'[2]$ зима'!am859-'[2]$ зима'!al859-'[2]$ зима'!ak859-'[2]$ зима'!aj859-'[2]$ зима'!ah859-'[2]$ зима'!ag859-'[2]$ зима'!af859-'[2]$ зима'!ae859-'[2]$ зима'!ad859-'[2]$ зима'!ab859-'[2]$ зима'!aa859-'[2]$ зима'!z859-'[2]$ зима'!y859-'[2]$ зима'!x859-'[2]$ зима'!v859-'[2]$ зима'!u859-'[2]$ зима'!t859-'[2]$ зима'!s859-'[2]$ зима'!r859-'[2]$ зима'!p859-'[2]$ зима'!o859-'[2]$ зима'!n859-'[2]$ зима'!m859-'[2]$ зима'!l859+'[2]$ зима'!q859+'[2]$ зима'!w859+'[2]$ зима'!ac859+'[2]$ зима'!ai859+'[2]$ зима'!ao859+'[2]$ зима'!k859</f>
        <v>2</v>
      </c>
      <c r="I859" s="191" t="n">
        <f aca="false">'[2]$ зима'!ay859*1.1</f>
        <v>2561.68</v>
      </c>
    </row>
    <row r="860" customFormat="false" ht="15" hidden="false" customHeight="false" outlineLevel="0" collapsed="false">
      <c r="A860" s="188" t="s">
        <v>1425</v>
      </c>
      <c r="B860" s="149" t="s">
        <v>577</v>
      </c>
      <c r="C860" s="148" t="s">
        <v>3234</v>
      </c>
      <c r="D860" s="148" t="s">
        <v>3127</v>
      </c>
      <c r="E860" s="192" t="n">
        <v>111</v>
      </c>
      <c r="F860" s="192" t="s">
        <v>562</v>
      </c>
      <c r="G860" s="193" t="s">
        <v>563</v>
      </c>
      <c r="H860" s="105" t="n">
        <f aca="false">'[2]$ зима'!j860-'[2]$ зима'!au860-'[2]$ зима'!at860-'[2]$ зима'!as860-'[2]$ зима'!ar860-'[2]$ зима'!aq860-'[2]$ зима'!ap860-'[2]$ зима'!an860-'[2]$ зима'!am860-'[2]$ зима'!al860-'[2]$ зима'!ak860-'[2]$ зима'!aj860-'[2]$ зима'!ah860-'[2]$ зима'!ag860-'[2]$ зима'!af860-'[2]$ зима'!ae860-'[2]$ зима'!ad860-'[2]$ зима'!ab860-'[2]$ зима'!aa860-'[2]$ зима'!z860-'[2]$ зима'!y860-'[2]$ зима'!x860-'[2]$ зима'!v860-'[2]$ зима'!u860-'[2]$ зима'!t860-'[2]$ зима'!s860-'[2]$ зима'!r860-'[2]$ зима'!p860-'[2]$ зима'!o860-'[2]$ зима'!n860-'[2]$ зима'!m860-'[2]$ зима'!l860+'[2]$ зима'!q860+'[2]$ зима'!w860+'[2]$ зима'!ac860+'[2]$ зима'!ai860+'[2]$ зима'!ao860+'[2]$ зима'!k860</f>
        <v>4</v>
      </c>
      <c r="I860" s="191" t="n">
        <f aca="false">'[2]$ зима'!ay860*1.1</f>
        <v>2433.2</v>
      </c>
      <c r="J860" s="171" t="n">
        <v>2017</v>
      </c>
    </row>
    <row r="861" customFormat="false" ht="15" hidden="false" customHeight="false" outlineLevel="0" collapsed="false">
      <c r="A861" s="188" t="s">
        <v>1425</v>
      </c>
      <c r="B861" s="149" t="s">
        <v>1471</v>
      </c>
      <c r="C861" s="148" t="s">
        <v>3129</v>
      </c>
      <c r="D861" s="148"/>
      <c r="E861" s="192"/>
      <c r="F861" s="192"/>
      <c r="G861" s="193"/>
      <c r="H861" s="105" t="n">
        <f aca="false">'[2]$ зима'!j861-'[2]$ зима'!au861-'[2]$ зима'!at861-'[2]$ зима'!as861-'[2]$ зима'!ar861-'[2]$ зима'!aq861-'[2]$ зима'!ap861-'[2]$ зима'!an861-'[2]$ зима'!am861-'[2]$ зима'!al861-'[2]$ зима'!ak861-'[2]$ зима'!aj861-'[2]$ зима'!ah861-'[2]$ зима'!ag861-'[2]$ зима'!af861-'[2]$ зима'!ae861-'[2]$ зима'!ad861-'[2]$ зима'!ab861-'[2]$ зима'!aa861-'[2]$ зима'!z861-'[2]$ зима'!y861-'[2]$ зима'!x861-'[2]$ зима'!v861-'[2]$ зима'!u861-'[2]$ зима'!t861-'[2]$ зима'!s861-'[2]$ зима'!r861-'[2]$ зима'!p861-'[2]$ зима'!o861-'[2]$ зима'!n861-'[2]$ зима'!m861-'[2]$ зима'!l861+'[2]$ зима'!q861+'[2]$ зима'!w861+'[2]$ зима'!ac861+'[2]$ зима'!ai861+'[2]$ зима'!ao861+'[2]$ зима'!k861</f>
        <v>8</v>
      </c>
      <c r="I861" s="191" t="n">
        <f aca="false">'[2]$ зима'!ay861*1.1</f>
        <v>2679.6</v>
      </c>
    </row>
    <row r="862" customFormat="false" ht="15" hidden="false" customHeight="false" outlineLevel="0" collapsed="false">
      <c r="A862" s="188" t="s">
        <v>1425</v>
      </c>
      <c r="B862" s="149" t="s">
        <v>583</v>
      </c>
      <c r="C862" s="148" t="s">
        <v>3313</v>
      </c>
      <c r="D862" s="148"/>
      <c r="E862" s="192"/>
      <c r="F862" s="192"/>
      <c r="G862" s="193"/>
      <c r="H862" s="105" t="n">
        <f aca="false">'[2]$ зима'!j862-'[2]$ зима'!au862-'[2]$ зима'!at862-'[2]$ зима'!as862-'[2]$ зима'!ar862-'[2]$ зима'!aq862-'[2]$ зима'!ap862-'[2]$ зима'!an862-'[2]$ зима'!am862-'[2]$ зима'!al862-'[2]$ зима'!ak862-'[2]$ зима'!aj862-'[2]$ зима'!ah862-'[2]$ зима'!ag862-'[2]$ зима'!af862-'[2]$ зима'!ae862-'[2]$ зима'!ad862-'[2]$ зима'!ab862-'[2]$ зима'!aa862-'[2]$ зима'!z862-'[2]$ зима'!y862-'[2]$ зима'!x862-'[2]$ зима'!v862-'[2]$ зима'!u862-'[2]$ зима'!t862-'[2]$ зима'!s862-'[2]$ зима'!r862-'[2]$ зима'!p862-'[2]$ зима'!o862-'[2]$ зима'!n862-'[2]$ зима'!m862-'[2]$ зима'!l862+'[2]$ зима'!q862+'[2]$ зима'!w862+'[2]$ зима'!ac862+'[2]$ зима'!ai862+'[2]$ зима'!ao862+'[2]$ зима'!k862</f>
        <v>4</v>
      </c>
      <c r="I862" s="191" t="n">
        <f aca="false">'[2]$ зима'!ay862*1.1</f>
        <v>2618</v>
      </c>
    </row>
    <row r="863" customFormat="false" ht="15" hidden="true" customHeight="false" outlineLevel="0" collapsed="false">
      <c r="A863" s="188" t="s">
        <v>1425</v>
      </c>
      <c r="B863" s="149" t="s">
        <v>593</v>
      </c>
      <c r="C863" s="148" t="s">
        <v>3546</v>
      </c>
      <c r="D863" s="148"/>
      <c r="E863" s="148"/>
      <c r="F863" s="148"/>
      <c r="G863" s="193" t="s">
        <v>2382</v>
      </c>
      <c r="H863" s="105" t="n">
        <f aca="false">'[2]$ зима'!j863-'[2]$ зима'!au863-'[2]$ зима'!at863-'[2]$ зима'!as863-'[2]$ зима'!ar863-'[2]$ зима'!aq863-'[2]$ зима'!ap863-'[2]$ зима'!an863-'[2]$ зима'!am863-'[2]$ зима'!al863-'[2]$ зима'!ak863-'[2]$ зима'!aj863-'[2]$ зима'!ah863-'[2]$ зима'!ag863-'[2]$ зима'!af863-'[2]$ зима'!ae863-'[2]$ зима'!ad863-'[2]$ зима'!ab863-'[2]$ зима'!aa863-'[2]$ зима'!z863-'[2]$ зима'!y863-'[2]$ зима'!x863-'[2]$ зима'!v863-'[2]$ зима'!u863-'[2]$ зима'!t863-'[2]$ зима'!s863-'[2]$ зима'!r863-'[2]$ зима'!p863-'[2]$ зима'!o863-'[2]$ зима'!n863-'[2]$ зима'!m863-'[2]$ зима'!l863+'[2]$ зима'!q863+'[2]$ зима'!w863+'[2]$ зима'!ac863+'[2]$ зима'!ai863+'[2]$ зима'!ao863+'[2]$ зима'!k863</f>
        <v>0</v>
      </c>
      <c r="I863" s="191" t="n">
        <f aca="false">'[2]$ зима'!ay863*1.1</f>
        <v>3388</v>
      </c>
      <c r="J863" s="171" t="n">
        <v>2017</v>
      </c>
    </row>
    <row r="864" customFormat="false" ht="15" hidden="true" customHeight="false" outlineLevel="0" collapsed="false">
      <c r="A864" s="188" t="s">
        <v>1425</v>
      </c>
      <c r="B864" s="149" t="s">
        <v>564</v>
      </c>
      <c r="C864" s="148" t="s">
        <v>3547</v>
      </c>
      <c r="D864" s="148"/>
      <c r="E864" s="148"/>
      <c r="F864" s="148"/>
      <c r="G864" s="193"/>
      <c r="H864" s="105" t="n">
        <f aca="false">'[2]$ зима'!j864-'[2]$ зима'!au864-'[2]$ зима'!at864-'[2]$ зима'!as864-'[2]$ зима'!ar864-'[2]$ зима'!aq864-'[2]$ зима'!ap864-'[2]$ зима'!an864-'[2]$ зима'!am864-'[2]$ зима'!al864-'[2]$ зима'!ak864-'[2]$ зима'!aj864-'[2]$ зима'!ah864-'[2]$ зима'!ag864-'[2]$ зима'!af864-'[2]$ зима'!ae864-'[2]$ зима'!ad864-'[2]$ зима'!ab864-'[2]$ зима'!aa864-'[2]$ зима'!z864-'[2]$ зима'!y864-'[2]$ зима'!x864-'[2]$ зима'!v864-'[2]$ зима'!u864-'[2]$ зима'!t864-'[2]$ зима'!s864-'[2]$ зима'!r864-'[2]$ зима'!p864-'[2]$ зима'!o864-'[2]$ зима'!n864-'[2]$ зима'!m864-'[2]$ зима'!l864+'[2]$ зима'!q864+'[2]$ зима'!w864+'[2]$ зима'!ac864+'[2]$ зима'!ai864+'[2]$ зима'!ao864+'[2]$ зима'!k864</f>
        <v>0</v>
      </c>
      <c r="I864" s="191" t="n">
        <f aca="false">'[2]$ зима'!ay864*1.1</f>
        <v>2002</v>
      </c>
    </row>
    <row r="865" customFormat="false" ht="15" hidden="false" customHeight="false" outlineLevel="0" collapsed="false">
      <c r="A865" s="188" t="s">
        <v>1425</v>
      </c>
      <c r="B865" s="149" t="s">
        <v>589</v>
      </c>
      <c r="C865" s="148" t="s">
        <v>3209</v>
      </c>
      <c r="D865" s="148"/>
      <c r="E865" s="192" t="n">
        <v>107</v>
      </c>
      <c r="F865" s="192" t="s">
        <v>3207</v>
      </c>
      <c r="G865" s="193" t="s">
        <v>626</v>
      </c>
      <c r="H865" s="105" t="n">
        <f aca="false">'[2]$ зима'!j865-'[2]$ зима'!au865-'[2]$ зима'!at865-'[2]$ зима'!as865-'[2]$ зима'!ar865-'[2]$ зима'!aq865-'[2]$ зима'!ap865-'[2]$ зима'!an865-'[2]$ зима'!am865-'[2]$ зима'!al865-'[2]$ зима'!ak865-'[2]$ зима'!aj865-'[2]$ зима'!ah865-'[2]$ зима'!ag865-'[2]$ зима'!af865-'[2]$ зима'!ae865-'[2]$ зима'!ad865-'[2]$ зима'!ab865-'[2]$ зима'!aa865-'[2]$ зима'!z865-'[2]$ зима'!y865-'[2]$ зима'!x865-'[2]$ зима'!v865-'[2]$ зима'!u865-'[2]$ зима'!t865-'[2]$ зима'!s865-'[2]$ зима'!r865-'[2]$ зима'!p865-'[2]$ зима'!o865-'[2]$ зима'!n865-'[2]$ зима'!m865-'[2]$ зима'!l865+'[2]$ зима'!q865+'[2]$ зима'!w865+'[2]$ зима'!ac865+'[2]$ зима'!ai865+'[2]$ зима'!ao865+'[2]$ зима'!k865</f>
        <v>4</v>
      </c>
      <c r="I865" s="191" t="n">
        <f aca="false">'[2]$ зима'!ay865*1.1</f>
        <v>3405.16</v>
      </c>
      <c r="J865" s="171" t="n">
        <v>2018</v>
      </c>
    </row>
    <row r="866" customFormat="false" ht="15" hidden="true" customHeight="false" outlineLevel="0" collapsed="false">
      <c r="A866" s="188" t="s">
        <v>1425</v>
      </c>
      <c r="B866" s="149" t="s">
        <v>589</v>
      </c>
      <c r="C866" s="148" t="s">
        <v>3548</v>
      </c>
      <c r="D866" s="148"/>
      <c r="E866" s="148"/>
      <c r="F866" s="148"/>
      <c r="G866" s="193" t="s">
        <v>626</v>
      </c>
      <c r="H866" s="105" t="n">
        <f aca="false">'[2]$ зима'!j866-'[2]$ зима'!au866-'[2]$ зима'!at866-'[2]$ зима'!as866-'[2]$ зима'!ar866-'[2]$ зима'!aq866-'[2]$ зима'!ap866-'[2]$ зима'!an866-'[2]$ зима'!am866-'[2]$ зима'!al866-'[2]$ зима'!ak866-'[2]$ зима'!aj866-'[2]$ зима'!ah866-'[2]$ зима'!ag866-'[2]$ зима'!af866-'[2]$ зима'!ae866-'[2]$ зима'!ad866-'[2]$ зима'!ab866-'[2]$ зима'!aa866-'[2]$ зима'!z866-'[2]$ зима'!y866-'[2]$ зима'!x866-'[2]$ зима'!v866-'[2]$ зима'!u866-'[2]$ зима'!t866-'[2]$ зима'!s866-'[2]$ зима'!r866-'[2]$ зима'!p866-'[2]$ зима'!o866-'[2]$ зима'!n866-'[2]$ зима'!m866-'[2]$ зима'!l866+'[2]$ зима'!q866+'[2]$ зима'!w866+'[2]$ зима'!ac866+'[2]$ зима'!ai866+'[2]$ зима'!ao866+'[2]$ зима'!k866</f>
        <v>0</v>
      </c>
      <c r="I866" s="191" t="n">
        <f aca="false">'[2]$ зима'!ay866*1.1</f>
        <v>4046.9</v>
      </c>
    </row>
    <row r="867" customFormat="false" ht="15" hidden="false" customHeight="false" outlineLevel="0" collapsed="false">
      <c r="A867" s="188" t="s">
        <v>1449</v>
      </c>
      <c r="B867" s="149" t="s">
        <v>606</v>
      </c>
      <c r="C867" s="148" t="s">
        <v>3386</v>
      </c>
      <c r="D867" s="148"/>
      <c r="E867" s="192" t="n">
        <v>111</v>
      </c>
      <c r="F867" s="192" t="s">
        <v>562</v>
      </c>
      <c r="G867" s="193"/>
      <c r="H867" s="105" t="n">
        <f aca="false">'[2]$ зима'!j867-'[2]$ зима'!au867-'[2]$ зима'!at867-'[2]$ зима'!as867-'[2]$ зима'!ar867-'[2]$ зима'!aq867-'[2]$ зима'!ap867-'[2]$ зима'!an867-'[2]$ зима'!am867-'[2]$ зима'!al867-'[2]$ зима'!ak867-'[2]$ зима'!aj867-'[2]$ зима'!ah867-'[2]$ зима'!ag867-'[2]$ зима'!af867-'[2]$ зима'!ae867-'[2]$ зима'!ad867-'[2]$ зима'!ab867-'[2]$ зима'!aa867-'[2]$ зима'!z867-'[2]$ зима'!y867-'[2]$ зима'!x867-'[2]$ зима'!v867-'[2]$ зима'!u867-'[2]$ зима'!t867-'[2]$ зима'!s867-'[2]$ зима'!r867-'[2]$ зима'!p867-'[2]$ зима'!o867-'[2]$ зима'!n867-'[2]$ зима'!m867-'[2]$ зима'!l867+'[2]$ зима'!q867+'[2]$ зима'!w867+'[2]$ зима'!ac867+'[2]$ зима'!ai867+'[2]$ зима'!ao867+'[2]$ зима'!k867</f>
        <v>4</v>
      </c>
      <c r="I867" s="191" t="n">
        <f aca="false">'[2]$ зима'!ay867*1.1</f>
        <v>2987.6</v>
      </c>
    </row>
    <row r="868" customFormat="false" ht="15" hidden="false" customHeight="false" outlineLevel="0" collapsed="false">
      <c r="A868" s="188" t="s">
        <v>1449</v>
      </c>
      <c r="B868" s="149" t="s">
        <v>3142</v>
      </c>
      <c r="C868" s="148" t="s">
        <v>3539</v>
      </c>
      <c r="D868" s="148" t="s">
        <v>3127</v>
      </c>
      <c r="E868" s="192"/>
      <c r="F868" s="192"/>
      <c r="G868" s="193"/>
      <c r="H868" s="105" t="n">
        <f aca="false">'[2]$ зима'!j868-'[2]$ зима'!au868-'[2]$ зима'!at868-'[2]$ зима'!as868-'[2]$ зима'!ar868-'[2]$ зима'!aq868-'[2]$ зима'!ap868-'[2]$ зима'!an868-'[2]$ зима'!am868-'[2]$ зима'!al868-'[2]$ зима'!ak868-'[2]$ зима'!aj868-'[2]$ зима'!ah868-'[2]$ зима'!ag868-'[2]$ зима'!af868-'[2]$ зима'!ae868-'[2]$ зима'!ad868-'[2]$ зима'!ab868-'[2]$ зима'!aa868-'[2]$ зима'!z868-'[2]$ зима'!y868-'[2]$ зима'!x868-'[2]$ зима'!v868-'[2]$ зима'!u868-'[2]$ зима'!t868-'[2]$ зима'!s868-'[2]$ зима'!r868-'[2]$ зима'!p868-'[2]$ зима'!o868-'[2]$ зима'!n868-'[2]$ зима'!m868-'[2]$ зима'!l868+'[2]$ зима'!q868+'[2]$ зима'!w868+'[2]$ зима'!ac868+'[2]$ зима'!ai868+'[2]$ зима'!ao868+'[2]$ зима'!k868</f>
        <v>4</v>
      </c>
      <c r="I868" s="191" t="n">
        <f aca="false">'[2]$ зима'!ay868*1.1</f>
        <v>2618</v>
      </c>
    </row>
    <row r="869" customFormat="false" ht="15" hidden="true" customHeight="false" outlineLevel="0" collapsed="false">
      <c r="A869" s="188" t="s">
        <v>1449</v>
      </c>
      <c r="B869" s="149" t="s">
        <v>677</v>
      </c>
      <c r="C869" s="148" t="s">
        <v>3454</v>
      </c>
      <c r="D869" s="148" t="s">
        <v>3127</v>
      </c>
      <c r="E869" s="148"/>
      <c r="F869" s="148"/>
      <c r="G869" s="193"/>
      <c r="H869" s="105" t="n">
        <f aca="false">'[2]$ зима'!j869-'[2]$ зима'!au869-'[2]$ зима'!at869-'[2]$ зима'!as869-'[2]$ зима'!ar869-'[2]$ зима'!aq869-'[2]$ зима'!ap869-'[2]$ зима'!an869-'[2]$ зима'!am869-'[2]$ зима'!al869-'[2]$ зима'!ak869-'[2]$ зима'!aj869-'[2]$ зима'!ah869-'[2]$ зима'!ag869-'[2]$ зима'!af869-'[2]$ зима'!ae869-'[2]$ зима'!ad869-'[2]$ зима'!ab869-'[2]$ зима'!aa869-'[2]$ зима'!z869-'[2]$ зима'!y869-'[2]$ зима'!x869-'[2]$ зима'!v869-'[2]$ зима'!u869-'[2]$ зима'!t869-'[2]$ зима'!s869-'[2]$ зима'!r869-'[2]$ зима'!p869-'[2]$ зима'!o869-'[2]$ зима'!n869-'[2]$ зима'!m869-'[2]$ зима'!l869+'[2]$ зима'!q869+'[2]$ зима'!w869+'[2]$ зима'!ac869+'[2]$ зима'!ai869+'[2]$ зима'!ao869+'[2]$ зима'!k869</f>
        <v>0</v>
      </c>
      <c r="I869" s="191" t="n">
        <f aca="false">'[2]$ зима'!ay869*1.1</f>
        <v>2618</v>
      </c>
      <c r="J869" s="171" t="n">
        <v>2017</v>
      </c>
    </row>
    <row r="870" customFormat="false" ht="15" hidden="true" customHeight="false" outlineLevel="0" collapsed="false">
      <c r="A870" s="188" t="s">
        <v>1457</v>
      </c>
      <c r="B870" s="149" t="s">
        <v>574</v>
      </c>
      <c r="C870" s="148" t="s">
        <v>3515</v>
      </c>
      <c r="D870" s="148"/>
      <c r="E870" s="148"/>
      <c r="F870" s="148"/>
      <c r="G870" s="193" t="s">
        <v>576</v>
      </c>
      <c r="H870" s="105" t="n">
        <f aca="false">'[2]$ зима'!j870-'[2]$ зима'!au870-'[2]$ зима'!at870-'[2]$ зима'!as870-'[2]$ зима'!ar870-'[2]$ зима'!aq870-'[2]$ зима'!ap870-'[2]$ зима'!an870-'[2]$ зима'!am870-'[2]$ зима'!al870-'[2]$ зима'!ak870-'[2]$ зима'!aj870-'[2]$ зима'!ah870-'[2]$ зима'!ag870-'[2]$ зима'!af870-'[2]$ зима'!ae870-'[2]$ зима'!ad870-'[2]$ зима'!ab870-'[2]$ зима'!aa870-'[2]$ зима'!z870-'[2]$ зима'!y870-'[2]$ зима'!x870-'[2]$ зима'!v870-'[2]$ зима'!u870-'[2]$ зима'!t870-'[2]$ зима'!s870-'[2]$ зима'!r870-'[2]$ зима'!p870-'[2]$ зима'!o870-'[2]$ зима'!n870-'[2]$ зима'!m870-'[2]$ зима'!l870+'[2]$ зима'!q870+'[2]$ зима'!w870+'[2]$ зима'!ac870+'[2]$ зима'!ai870+'[2]$ зима'!ao870+'[2]$ зима'!k870</f>
        <v>0</v>
      </c>
      <c r="I870" s="191" t="n">
        <f aca="false">'[2]$ зима'!ay870*1.1</f>
        <v>3113</v>
      </c>
    </row>
    <row r="871" customFormat="false" ht="15" hidden="true" customHeight="false" outlineLevel="0" collapsed="false">
      <c r="A871" s="196" t="s">
        <v>1461</v>
      </c>
      <c r="B871" s="149" t="s">
        <v>601</v>
      </c>
      <c r="C871" s="148" t="s">
        <v>3481</v>
      </c>
      <c r="D871" s="148"/>
      <c r="E871" s="148"/>
      <c r="F871" s="148"/>
      <c r="G871" s="193"/>
      <c r="H871" s="105" t="n">
        <f aca="false">'[2]$ зима'!j871-'[2]$ зима'!au871-'[2]$ зима'!at871-'[2]$ зима'!as871-'[2]$ зима'!ar871-'[2]$ зима'!aq871-'[2]$ зима'!ap871-'[2]$ зима'!an871-'[2]$ зима'!am871-'[2]$ зима'!al871-'[2]$ зима'!ak871-'[2]$ зима'!aj871-'[2]$ зима'!ah871-'[2]$ зима'!ag871-'[2]$ зима'!af871-'[2]$ зима'!ae871-'[2]$ зима'!ad871-'[2]$ зима'!ab871-'[2]$ зима'!aa871-'[2]$ зима'!z871-'[2]$ зима'!y871-'[2]$ зима'!x871-'[2]$ зима'!v871-'[2]$ зима'!u871-'[2]$ зима'!t871-'[2]$ зима'!s871-'[2]$ зима'!r871-'[2]$ зима'!p871-'[2]$ зима'!o871-'[2]$ зима'!n871-'[2]$ зима'!m871-'[2]$ зима'!l871+'[2]$ зима'!q871+'[2]$ зима'!w871+'[2]$ зима'!ac871+'[2]$ зима'!ai871+'[2]$ зима'!ao871+'[2]$ зима'!k871</f>
        <v>0</v>
      </c>
      <c r="I871" s="191" t="n">
        <f aca="false">'[2]$ зима'!ay871*1.1</f>
        <v>3696</v>
      </c>
    </row>
    <row r="872" customFormat="false" ht="15" hidden="true" customHeight="false" outlineLevel="0" collapsed="false">
      <c r="A872" s="196" t="s">
        <v>1461</v>
      </c>
      <c r="B872" s="149" t="s">
        <v>601</v>
      </c>
      <c r="C872" s="148" t="s">
        <v>3482</v>
      </c>
      <c r="D872" s="148"/>
      <c r="E872" s="148"/>
      <c r="F872" s="148"/>
      <c r="G872" s="193"/>
      <c r="H872" s="105" t="n">
        <f aca="false">'[2]$ зима'!j872-'[2]$ зима'!au872-'[2]$ зима'!at872-'[2]$ зима'!as872-'[2]$ зима'!ar872-'[2]$ зима'!aq872-'[2]$ зима'!ap872-'[2]$ зима'!an872-'[2]$ зима'!am872-'[2]$ зима'!al872-'[2]$ зима'!ak872-'[2]$ зима'!aj872-'[2]$ зима'!ah872-'[2]$ зима'!ag872-'[2]$ зима'!af872-'[2]$ зима'!ae872-'[2]$ зима'!ad872-'[2]$ зима'!ab872-'[2]$ зима'!aa872-'[2]$ зима'!z872-'[2]$ зима'!y872-'[2]$ зима'!x872-'[2]$ зима'!v872-'[2]$ зима'!u872-'[2]$ зима'!t872-'[2]$ зима'!s872-'[2]$ зима'!r872-'[2]$ зима'!p872-'[2]$ зима'!o872-'[2]$ зима'!n872-'[2]$ зима'!m872-'[2]$ зима'!l872+'[2]$ зима'!q872+'[2]$ зима'!w872+'[2]$ зима'!ac872+'[2]$ зима'!ai872+'[2]$ зима'!ao872+'[2]$ зима'!k872</f>
        <v>0</v>
      </c>
      <c r="I872" s="191" t="n">
        <f aca="false">'[2]$ зима'!ay872*1.1</f>
        <v>3942.4</v>
      </c>
    </row>
    <row r="873" customFormat="false" ht="15" hidden="false" customHeight="false" outlineLevel="0" collapsed="false">
      <c r="A873" s="228" t="s">
        <v>1461</v>
      </c>
      <c r="B873" s="148" t="s">
        <v>606</v>
      </c>
      <c r="C873" s="148" t="s">
        <v>3545</v>
      </c>
      <c r="D873" s="194"/>
      <c r="E873" s="195"/>
      <c r="F873" s="195"/>
      <c r="G873" s="193"/>
      <c r="H873" s="105" t="n">
        <f aca="false">'[2]$ зима'!j873-'[2]$ зима'!au873-'[2]$ зима'!at873-'[2]$ зима'!as873-'[2]$ зима'!ar873-'[2]$ зима'!aq873-'[2]$ зима'!ap873-'[2]$ зима'!an873-'[2]$ зима'!am873-'[2]$ зима'!al873-'[2]$ зима'!ak873-'[2]$ зима'!aj873-'[2]$ зима'!ah873-'[2]$ зима'!ag873-'[2]$ зима'!af873-'[2]$ зима'!ae873-'[2]$ зима'!ad873-'[2]$ зима'!ab873-'[2]$ зима'!aa873-'[2]$ зима'!z873-'[2]$ зима'!y873-'[2]$ зима'!x873-'[2]$ зима'!v873-'[2]$ зима'!u873-'[2]$ зима'!t873-'[2]$ зима'!s873-'[2]$ зима'!r873-'[2]$ зима'!p873-'[2]$ зима'!o873-'[2]$ зима'!n873-'[2]$ зима'!m873-'[2]$ зима'!l873+'[2]$ зима'!q873+'[2]$ зима'!w873+'[2]$ зима'!ac873+'[2]$ зима'!ai873+'[2]$ зима'!ao873+'[2]$ зима'!k873</f>
        <v>2</v>
      </c>
      <c r="I873" s="191" t="n">
        <f aca="false">'[2]$ зима'!ay873*1.1</f>
        <v>3234</v>
      </c>
      <c r="J873" s="171" t="n">
        <v>2017</v>
      </c>
    </row>
    <row r="874" customFormat="false" ht="15" hidden="false" customHeight="false" outlineLevel="0" collapsed="false">
      <c r="A874" s="188" t="s">
        <v>1461</v>
      </c>
      <c r="B874" s="148" t="s">
        <v>606</v>
      </c>
      <c r="C874" s="148" t="s">
        <v>3549</v>
      </c>
      <c r="D874" s="194"/>
      <c r="E874" s="195" t="n">
        <v>112</v>
      </c>
      <c r="F874" s="195" t="s">
        <v>562</v>
      </c>
      <c r="G874" s="193" t="s">
        <v>609</v>
      </c>
      <c r="H874" s="105" t="n">
        <f aca="false">'[2]$ зима'!j874-'[2]$ зима'!au874-'[2]$ зима'!at874-'[2]$ зима'!as874-'[2]$ зима'!ar874-'[2]$ зима'!aq874-'[2]$ зима'!ap874-'[2]$ зима'!an874-'[2]$ зима'!am874-'[2]$ зима'!al874-'[2]$ зима'!ak874-'[2]$ зима'!aj874-'[2]$ зима'!ah874-'[2]$ зима'!ag874-'[2]$ зима'!af874-'[2]$ зима'!ae874-'[2]$ зима'!ad874-'[2]$ зима'!ab874-'[2]$ зима'!aa874-'[2]$ зима'!z874-'[2]$ зима'!y874-'[2]$ зима'!x874-'[2]$ зима'!v874-'[2]$ зима'!u874-'[2]$ зима'!t874-'[2]$ зима'!s874-'[2]$ зима'!r874-'[2]$ зима'!p874-'[2]$ зима'!o874-'[2]$ зима'!n874-'[2]$ зима'!m874-'[2]$ зима'!l874+'[2]$ зима'!q874+'[2]$ зима'!w874+'[2]$ зима'!ac874+'[2]$ зима'!ai874+'[2]$ зима'!ao874+'[2]$ зима'!k874</f>
        <v>4</v>
      </c>
      <c r="I874" s="191" t="n">
        <f aca="false">'[2]$ зима'!ay874*1.1</f>
        <v>3264.8</v>
      </c>
      <c r="J874" s="171" t="n">
        <v>2018</v>
      </c>
    </row>
    <row r="875" customFormat="false" ht="15" hidden="false" customHeight="false" outlineLevel="0" collapsed="false">
      <c r="A875" s="188" t="s">
        <v>1461</v>
      </c>
      <c r="B875" s="149" t="s">
        <v>574</v>
      </c>
      <c r="C875" s="148" t="s">
        <v>3516</v>
      </c>
      <c r="D875" s="148"/>
      <c r="E875" s="192"/>
      <c r="F875" s="192"/>
      <c r="G875" s="193" t="s">
        <v>576</v>
      </c>
      <c r="H875" s="105" t="n">
        <f aca="false">'[2]$ зима'!j875-'[2]$ зима'!au875-'[2]$ зима'!at875-'[2]$ зима'!as875-'[2]$ зима'!ar875-'[2]$ зима'!aq875-'[2]$ зима'!ap875-'[2]$ зима'!an875-'[2]$ зима'!am875-'[2]$ зима'!al875-'[2]$ зима'!ak875-'[2]$ зима'!aj875-'[2]$ зима'!ah875-'[2]$ зима'!ag875-'[2]$ зима'!af875-'[2]$ зима'!ae875-'[2]$ зима'!ad875-'[2]$ зима'!ab875-'[2]$ зима'!aa875-'[2]$ зима'!z875-'[2]$ зима'!y875-'[2]$ зима'!x875-'[2]$ зима'!v875-'[2]$ зима'!u875-'[2]$ зима'!t875-'[2]$ зима'!s875-'[2]$ зима'!r875-'[2]$ зима'!p875-'[2]$ зима'!o875-'[2]$ зима'!n875-'[2]$ зима'!m875-'[2]$ зима'!l875+'[2]$ зима'!q875+'[2]$ зима'!w875+'[2]$ зима'!ac875+'[2]$ зима'!ai875+'[2]$ зима'!ao875+'[2]$ зима'!k875</f>
        <v>8</v>
      </c>
      <c r="I875" s="191" t="n">
        <f aca="false">'[2]$ зима'!ay875*1.1</f>
        <v>2905.32</v>
      </c>
      <c r="J875" s="171" t="n">
        <v>2017</v>
      </c>
    </row>
    <row r="876" customFormat="false" ht="15" hidden="true" customHeight="false" outlineLevel="0" collapsed="false">
      <c r="A876" s="188" t="s">
        <v>1461</v>
      </c>
      <c r="B876" s="149" t="s">
        <v>577</v>
      </c>
      <c r="C876" s="148" t="s">
        <v>3550</v>
      </c>
      <c r="D876" s="148" t="s">
        <v>3127</v>
      </c>
      <c r="E876" s="148" t="n">
        <v>112</v>
      </c>
      <c r="F876" s="148" t="s">
        <v>562</v>
      </c>
      <c r="G876" s="193" t="s">
        <v>563</v>
      </c>
      <c r="H876" s="105" t="n">
        <f aca="false">'[2]$ зима'!j876-'[2]$ зима'!au876-'[2]$ зима'!at876-'[2]$ зима'!as876-'[2]$ зима'!ar876-'[2]$ зима'!aq876-'[2]$ зима'!ap876-'[2]$ зима'!an876-'[2]$ зима'!am876-'[2]$ зима'!al876-'[2]$ зима'!ak876-'[2]$ зима'!aj876-'[2]$ зима'!ah876-'[2]$ зима'!ag876-'[2]$ зима'!af876-'[2]$ зима'!ae876-'[2]$ зима'!ad876-'[2]$ зима'!ab876-'[2]$ зима'!aa876-'[2]$ зима'!z876-'[2]$ зима'!y876-'[2]$ зима'!x876-'[2]$ зима'!v876-'[2]$ зима'!u876-'[2]$ зима'!t876-'[2]$ зима'!s876-'[2]$ зима'!r876-'[2]$ зима'!p876-'[2]$ зима'!o876-'[2]$ зима'!n876-'[2]$ зима'!m876-'[2]$ зима'!l876+'[2]$ зима'!q876+'[2]$ зима'!w876+'[2]$ зима'!ac876+'[2]$ зима'!ai876+'[2]$ зима'!ao876+'[2]$ зима'!k876</f>
        <v>0</v>
      </c>
      <c r="I876" s="191" t="n">
        <f aca="false">'[2]$ зима'!ay876*1.1</f>
        <v>2618</v>
      </c>
    </row>
    <row r="877" customFormat="false" ht="15" hidden="false" customHeight="false" outlineLevel="0" collapsed="false">
      <c r="A877" s="188" t="s">
        <v>1461</v>
      </c>
      <c r="B877" s="149" t="s">
        <v>583</v>
      </c>
      <c r="C877" s="148" t="s">
        <v>3313</v>
      </c>
      <c r="D877" s="148"/>
      <c r="E877" s="192"/>
      <c r="F877" s="192"/>
      <c r="G877" s="193"/>
      <c r="H877" s="105" t="n">
        <f aca="false">'[2]$ зима'!j877-'[2]$ зима'!au877-'[2]$ зима'!at877-'[2]$ зима'!as877-'[2]$ зима'!ar877-'[2]$ зима'!aq877-'[2]$ зима'!ap877-'[2]$ зима'!an877-'[2]$ зима'!am877-'[2]$ зима'!al877-'[2]$ зима'!ak877-'[2]$ зима'!aj877-'[2]$ зима'!ah877-'[2]$ зима'!ag877-'[2]$ зима'!af877-'[2]$ зима'!ae877-'[2]$ зима'!ad877-'[2]$ зима'!ab877-'[2]$ зима'!aa877-'[2]$ зима'!z877-'[2]$ зима'!y877-'[2]$ зима'!x877-'[2]$ зима'!v877-'[2]$ зима'!u877-'[2]$ зима'!t877-'[2]$ зима'!s877-'[2]$ зима'!r877-'[2]$ зима'!p877-'[2]$ зима'!o877-'[2]$ зима'!n877-'[2]$ зима'!m877-'[2]$ зима'!l877+'[2]$ зима'!q877+'[2]$ зима'!w877+'[2]$ зима'!ac877+'[2]$ зима'!ai877+'[2]$ зима'!ao877+'[2]$ зима'!k877</f>
        <v>4</v>
      </c>
      <c r="I877" s="191" t="n">
        <f aca="false">'[2]$ зима'!ay877*1.1</f>
        <v>2618</v>
      </c>
    </row>
    <row r="878" customFormat="false" ht="15" hidden="true" customHeight="false" outlineLevel="0" collapsed="false">
      <c r="A878" s="188" t="s">
        <v>1461</v>
      </c>
      <c r="B878" s="149" t="s">
        <v>589</v>
      </c>
      <c r="C878" s="148" t="s">
        <v>3551</v>
      </c>
      <c r="D878" s="148"/>
      <c r="E878" s="148"/>
      <c r="F878" s="148"/>
      <c r="G878" s="193" t="s">
        <v>626</v>
      </c>
      <c r="H878" s="105" t="n">
        <f aca="false">'[2]$ зима'!j878-'[2]$ зима'!au878-'[2]$ зима'!at878-'[2]$ зима'!as878-'[2]$ зима'!ar878-'[2]$ зима'!aq878-'[2]$ зима'!ap878-'[2]$ зима'!an878-'[2]$ зима'!am878-'[2]$ зима'!al878-'[2]$ зима'!ak878-'[2]$ зима'!aj878-'[2]$ зима'!ah878-'[2]$ зима'!ag878-'[2]$ зима'!af878-'[2]$ зима'!ae878-'[2]$ зима'!ad878-'[2]$ зима'!ab878-'[2]$ зима'!aa878-'[2]$ зима'!z878-'[2]$ зима'!y878-'[2]$ зима'!x878-'[2]$ зима'!v878-'[2]$ зима'!u878-'[2]$ зима'!t878-'[2]$ зима'!s878-'[2]$ зима'!r878-'[2]$ зима'!p878-'[2]$ зима'!o878-'[2]$ зима'!n878-'[2]$ зима'!m878-'[2]$ зима'!l878+'[2]$ зима'!q878+'[2]$ зима'!w878+'[2]$ зима'!ac878+'[2]$ зима'!ai878+'[2]$ зима'!ao878+'[2]$ зима'!k878</f>
        <v>0</v>
      </c>
      <c r="I878" s="191" t="n">
        <f aca="false">'[2]$ зима'!ay878*1.1</f>
        <v>3268.65</v>
      </c>
    </row>
    <row r="879" customFormat="false" ht="15" hidden="false" customHeight="false" outlineLevel="0" collapsed="false">
      <c r="A879" s="188" t="s">
        <v>1480</v>
      </c>
      <c r="B879" s="148" t="s">
        <v>606</v>
      </c>
      <c r="C879" s="231"/>
      <c r="D879" s="194"/>
      <c r="E879" s="195" t="n">
        <v>116</v>
      </c>
      <c r="F879" s="195" t="s">
        <v>562</v>
      </c>
      <c r="G879" s="193" t="s">
        <v>609</v>
      </c>
      <c r="H879" s="105" t="n">
        <f aca="false">'[2]$ зима'!j879-'[2]$ зима'!au879-'[2]$ зима'!at879-'[2]$ зима'!as879-'[2]$ зима'!ar879-'[2]$ зима'!aq879-'[2]$ зима'!ap879-'[2]$ зима'!an879-'[2]$ зима'!am879-'[2]$ зима'!al879-'[2]$ зима'!ak879-'[2]$ зима'!aj879-'[2]$ зима'!ah879-'[2]$ зима'!ag879-'[2]$ зима'!af879-'[2]$ зима'!ae879-'[2]$ зима'!ad879-'[2]$ зима'!ab879-'[2]$ зима'!aa879-'[2]$ зима'!z879-'[2]$ зима'!y879-'[2]$ зима'!x879-'[2]$ зима'!v879-'[2]$ зима'!u879-'[2]$ зима'!t879-'[2]$ зима'!s879-'[2]$ зима'!r879-'[2]$ зима'!p879-'[2]$ зима'!o879-'[2]$ зима'!n879-'[2]$ зима'!m879-'[2]$ зима'!l879+'[2]$ зима'!q879+'[2]$ зима'!w879+'[2]$ зима'!ac879+'[2]$ зима'!ai879+'[2]$ зима'!ao879+'[2]$ зима'!k879</f>
        <v>4</v>
      </c>
      <c r="I879" s="191" t="n">
        <f aca="false">'[2]$ зима'!ay879*1.1</f>
        <v>3234</v>
      </c>
      <c r="J879" s="171" t="n">
        <v>2018</v>
      </c>
    </row>
    <row r="880" customFormat="false" ht="15" hidden="false" customHeight="false" outlineLevel="0" collapsed="false">
      <c r="A880" s="188" t="s">
        <v>1484</v>
      </c>
      <c r="B880" s="149" t="s">
        <v>601</v>
      </c>
      <c r="C880" s="148" t="s">
        <v>3482</v>
      </c>
      <c r="D880" s="148"/>
      <c r="E880" s="192"/>
      <c r="F880" s="192"/>
      <c r="G880" s="193"/>
      <c r="H880" s="105" t="n">
        <f aca="false">'[2]$ зима'!j880-'[2]$ зима'!au880-'[2]$ зима'!at880-'[2]$ зима'!as880-'[2]$ зима'!ar880-'[2]$ зима'!aq880-'[2]$ зима'!ap880-'[2]$ зима'!an880-'[2]$ зима'!am880-'[2]$ зима'!al880-'[2]$ зима'!ak880-'[2]$ зима'!aj880-'[2]$ зима'!ah880-'[2]$ зима'!ag880-'[2]$ зима'!af880-'[2]$ зима'!ae880-'[2]$ зима'!ad880-'[2]$ зима'!ab880-'[2]$ зима'!aa880-'[2]$ зима'!z880-'[2]$ зима'!y880-'[2]$ зима'!x880-'[2]$ зима'!v880-'[2]$ зима'!u880-'[2]$ зима'!t880-'[2]$ зима'!s880-'[2]$ зима'!r880-'[2]$ зима'!p880-'[2]$ зима'!o880-'[2]$ зима'!n880-'[2]$ зима'!m880-'[2]$ зима'!l880+'[2]$ зима'!q880+'[2]$ зима'!w880+'[2]$ зима'!ac880+'[2]$ зима'!ai880+'[2]$ зима'!ao880+'[2]$ зима'!k880</f>
        <v>6</v>
      </c>
      <c r="I880" s="191" t="n">
        <f aca="false">'[2]$ зима'!ay880*1.1</f>
        <v>3942.4</v>
      </c>
    </row>
    <row r="881" customFormat="false" ht="15" hidden="true" customHeight="false" outlineLevel="0" collapsed="false">
      <c r="A881" s="188" t="s">
        <v>1484</v>
      </c>
      <c r="B881" s="149" t="s">
        <v>707</v>
      </c>
      <c r="C881" s="148" t="s">
        <v>3376</v>
      </c>
      <c r="D881" s="148"/>
      <c r="E881" s="148"/>
      <c r="F881" s="148"/>
      <c r="G881" s="193"/>
      <c r="H881" s="105" t="n">
        <f aca="false">'[2]$ зима'!j881-'[2]$ зима'!au881-'[2]$ зима'!at881-'[2]$ зима'!as881-'[2]$ зима'!ar881-'[2]$ зима'!aq881-'[2]$ зима'!ap881-'[2]$ зима'!an881-'[2]$ зима'!am881-'[2]$ зима'!al881-'[2]$ зима'!ak881-'[2]$ зима'!aj881-'[2]$ зима'!ah881-'[2]$ зима'!ag881-'[2]$ зима'!af881-'[2]$ зима'!ae881-'[2]$ зима'!ad881-'[2]$ зима'!ab881-'[2]$ зима'!aa881-'[2]$ зима'!z881-'[2]$ зима'!y881-'[2]$ зима'!x881-'[2]$ зима'!v881-'[2]$ зима'!u881-'[2]$ зима'!t881-'[2]$ зима'!s881-'[2]$ зима'!r881-'[2]$ зима'!p881-'[2]$ зима'!o881-'[2]$ зима'!n881-'[2]$ зима'!m881-'[2]$ зима'!l881+'[2]$ зима'!q881+'[2]$ зима'!w881+'[2]$ зима'!ac881+'[2]$ зима'!ai881+'[2]$ зима'!ao881+'[2]$ зима'!k881</f>
        <v>0</v>
      </c>
      <c r="I881" s="191" t="n">
        <f aca="false">'[2]$ зима'!ay881*1.1</f>
        <v>4158</v>
      </c>
    </row>
    <row r="882" customFormat="false" ht="15" hidden="true" customHeight="false" outlineLevel="0" collapsed="false">
      <c r="A882" s="188" t="s">
        <v>1484</v>
      </c>
      <c r="B882" s="149" t="s">
        <v>606</v>
      </c>
      <c r="C882" s="148" t="s">
        <v>3545</v>
      </c>
      <c r="D882" s="148"/>
      <c r="E882" s="148"/>
      <c r="F882" s="148"/>
      <c r="G882" s="193"/>
      <c r="H882" s="105" t="n">
        <f aca="false">'[2]$ зима'!j882-'[2]$ зима'!au882-'[2]$ зима'!at882-'[2]$ зима'!as882-'[2]$ зима'!ar882-'[2]$ зима'!aq882-'[2]$ зима'!ap882-'[2]$ зима'!an882-'[2]$ зима'!am882-'[2]$ зима'!al882-'[2]$ зима'!ak882-'[2]$ зима'!aj882-'[2]$ зима'!ah882-'[2]$ зима'!ag882-'[2]$ зима'!af882-'[2]$ зима'!ae882-'[2]$ зима'!ad882-'[2]$ зима'!ab882-'[2]$ зима'!aa882-'[2]$ зима'!z882-'[2]$ зима'!y882-'[2]$ зима'!x882-'[2]$ зима'!v882-'[2]$ зима'!u882-'[2]$ зима'!t882-'[2]$ зима'!s882-'[2]$ зима'!r882-'[2]$ зима'!p882-'[2]$ зима'!o882-'[2]$ зима'!n882-'[2]$ зима'!m882-'[2]$ зима'!l882+'[2]$ зима'!q882+'[2]$ зима'!w882+'[2]$ зима'!ac882+'[2]$ зима'!ai882+'[2]$ зима'!ao882+'[2]$ зима'!k882</f>
        <v>0</v>
      </c>
      <c r="I882" s="191" t="n">
        <f aca="false">'[2]$ зима'!ay882*1.1</f>
        <v>3172.4</v>
      </c>
    </row>
    <row r="883" customFormat="false" ht="15" hidden="true" customHeight="false" outlineLevel="0" collapsed="false">
      <c r="A883" s="188" t="s">
        <v>1484</v>
      </c>
      <c r="B883" s="149" t="s">
        <v>606</v>
      </c>
      <c r="C883" s="148" t="s">
        <v>3552</v>
      </c>
      <c r="D883" s="148"/>
      <c r="E883" s="148" t="n">
        <v>114</v>
      </c>
      <c r="F883" s="148" t="s">
        <v>562</v>
      </c>
      <c r="G883" s="193"/>
      <c r="H883" s="105" t="n">
        <f aca="false">'[2]$ зима'!j883-'[2]$ зима'!au883-'[2]$ зима'!at883-'[2]$ зима'!as883-'[2]$ зима'!ar883-'[2]$ зима'!aq883-'[2]$ зима'!ap883-'[2]$ зима'!an883-'[2]$ зима'!am883-'[2]$ зима'!al883-'[2]$ зима'!ak883-'[2]$ зима'!aj883-'[2]$ зима'!ah883-'[2]$ зима'!ag883-'[2]$ зима'!af883-'[2]$ зима'!ae883-'[2]$ зима'!ad883-'[2]$ зима'!ab883-'[2]$ зима'!aa883-'[2]$ зима'!z883-'[2]$ зима'!y883-'[2]$ зима'!x883-'[2]$ зима'!v883-'[2]$ зима'!u883-'[2]$ зима'!t883-'[2]$ зима'!s883-'[2]$ зима'!r883-'[2]$ зима'!p883-'[2]$ зима'!o883-'[2]$ зима'!n883-'[2]$ зима'!m883-'[2]$ зима'!l883+'[2]$ зима'!q883+'[2]$ зима'!w883+'[2]$ зима'!ac883+'[2]$ зима'!ai883+'[2]$ зима'!ao883+'[2]$ зима'!k883</f>
        <v>0</v>
      </c>
      <c r="I883" s="191" t="n">
        <f aca="false">'[2]$ зима'!ay883*1.1</f>
        <v>3110.8</v>
      </c>
    </row>
    <row r="884" customFormat="false" ht="15" hidden="false" customHeight="false" outlineLevel="0" collapsed="false">
      <c r="A884" s="188" t="s">
        <v>1484</v>
      </c>
      <c r="B884" s="149" t="s">
        <v>593</v>
      </c>
      <c r="C884" s="148" t="s">
        <v>3534</v>
      </c>
      <c r="D884" s="148"/>
      <c r="E884" s="192" t="n">
        <v>114</v>
      </c>
      <c r="F884" s="192" t="s">
        <v>562</v>
      </c>
      <c r="G884" s="193"/>
      <c r="H884" s="105" t="n">
        <f aca="false">'[2]$ зима'!j884-'[2]$ зима'!au884-'[2]$ зима'!at884-'[2]$ зима'!as884-'[2]$ зима'!ar884-'[2]$ зима'!aq884-'[2]$ зима'!ap884-'[2]$ зима'!an884-'[2]$ зима'!am884-'[2]$ зима'!al884-'[2]$ зима'!ak884-'[2]$ зима'!aj884-'[2]$ зима'!ah884-'[2]$ зима'!ag884-'[2]$ зима'!af884-'[2]$ зима'!ae884-'[2]$ зима'!ad884-'[2]$ зима'!ab884-'[2]$ зима'!aa884-'[2]$ зима'!z884-'[2]$ зима'!y884-'[2]$ зима'!x884-'[2]$ зима'!v884-'[2]$ зима'!u884-'[2]$ зима'!t884-'[2]$ зима'!s884-'[2]$ зима'!r884-'[2]$ зима'!p884-'[2]$ зима'!o884-'[2]$ зима'!n884-'[2]$ зима'!m884-'[2]$ зима'!l884+'[2]$ зима'!q884+'[2]$ зима'!w884+'[2]$ зима'!ac884+'[2]$ зима'!ai884+'[2]$ зима'!ao884+'[2]$ зима'!k884</f>
        <v>4</v>
      </c>
      <c r="I884" s="191" t="n">
        <f aca="false">'[2]$ зима'!ay884*1.1</f>
        <v>3696</v>
      </c>
    </row>
    <row r="885" customFormat="false" ht="15" hidden="false" customHeight="false" outlineLevel="0" collapsed="false">
      <c r="A885" s="188" t="s">
        <v>1484</v>
      </c>
      <c r="B885" s="149" t="s">
        <v>586</v>
      </c>
      <c r="C885" s="148" t="s">
        <v>3305</v>
      </c>
      <c r="D885" s="148"/>
      <c r="E885" s="192" t="n">
        <v>114</v>
      </c>
      <c r="F885" s="192" t="s">
        <v>562</v>
      </c>
      <c r="G885" s="193"/>
      <c r="H885" s="105" t="n">
        <f aca="false">'[2]$ зима'!j885-'[2]$ зима'!au885-'[2]$ зима'!at885-'[2]$ зима'!as885-'[2]$ зима'!ar885-'[2]$ зима'!aq885-'[2]$ зима'!ap885-'[2]$ зима'!an885-'[2]$ зима'!am885-'[2]$ зима'!al885-'[2]$ зима'!ak885-'[2]$ зима'!aj885-'[2]$ зима'!ah885-'[2]$ зима'!ag885-'[2]$ зима'!af885-'[2]$ зима'!ae885-'[2]$ зима'!ad885-'[2]$ зима'!ab885-'[2]$ зима'!aa885-'[2]$ зима'!z885-'[2]$ зима'!y885-'[2]$ зима'!x885-'[2]$ зима'!v885-'[2]$ зима'!u885-'[2]$ зима'!t885-'[2]$ зима'!s885-'[2]$ зима'!r885-'[2]$ зима'!p885-'[2]$ зима'!o885-'[2]$ зима'!n885-'[2]$ зима'!m885-'[2]$ зима'!l885+'[2]$ зима'!q885+'[2]$ зима'!w885+'[2]$ зима'!ac885+'[2]$ зима'!ai885+'[2]$ зима'!ao885+'[2]$ зима'!k885</f>
        <v>2</v>
      </c>
      <c r="I885" s="191" t="n">
        <f aca="false">'[2]$ зима'!ay885*1.1</f>
        <v>2156</v>
      </c>
    </row>
    <row r="886" customFormat="false" ht="15.75" hidden="false" customHeight="false" outlineLevel="0" collapsed="false">
      <c r="A886" s="183" t="s">
        <v>1496</v>
      </c>
      <c r="B886" s="207"/>
      <c r="C886" s="207"/>
      <c r="D886" s="207"/>
      <c r="E886" s="208"/>
      <c r="F886" s="208"/>
      <c r="G886" s="209"/>
      <c r="H886" s="105"/>
      <c r="I886" s="187" t="n">
        <f aca="false">'[2]$ зима'!ay886*1.1</f>
        <v>0</v>
      </c>
    </row>
    <row r="887" customFormat="false" ht="15" hidden="true" customHeight="false" outlineLevel="0" collapsed="false">
      <c r="A887" s="188" t="s">
        <v>1497</v>
      </c>
      <c r="B887" s="198" t="s">
        <v>707</v>
      </c>
      <c r="C887" s="148" t="s">
        <v>3320</v>
      </c>
      <c r="D887" s="148"/>
      <c r="E887" s="148"/>
      <c r="F887" s="148"/>
      <c r="G887" s="193"/>
      <c r="H887" s="105" t="n">
        <f aca="false">'[2]$ зима'!j887-'[2]$ зима'!au887-'[2]$ зима'!at887-'[2]$ зима'!as887-'[2]$ зима'!ar887-'[2]$ зима'!aq887-'[2]$ зима'!ap887-'[2]$ зима'!an887-'[2]$ зима'!am887-'[2]$ зима'!al887-'[2]$ зима'!ak887-'[2]$ зима'!aj887-'[2]$ зима'!ah887-'[2]$ зима'!ag887-'[2]$ зима'!af887-'[2]$ зима'!ae887-'[2]$ зима'!ad887-'[2]$ зима'!ab887-'[2]$ зима'!aa887-'[2]$ зима'!z887-'[2]$ зима'!y887-'[2]$ зима'!x887-'[2]$ зима'!v887-'[2]$ зима'!u887-'[2]$ зима'!t887-'[2]$ зима'!s887-'[2]$ зима'!r887-'[2]$ зима'!p887-'[2]$ зима'!o887-'[2]$ зима'!n887-'[2]$ зима'!m887-'[2]$ зима'!l887+'[2]$ зима'!q887+'[2]$ зима'!w887+'[2]$ зима'!ac887+'[2]$ зима'!ai887+'[2]$ зима'!ao887+'[2]$ зима'!k887</f>
        <v>0</v>
      </c>
      <c r="I887" s="191" t="n">
        <f aca="false">'[2]$ зима'!ay887*1.1</f>
        <v>2156</v>
      </c>
    </row>
    <row r="888" customFormat="false" ht="15" hidden="true" customHeight="false" outlineLevel="0" collapsed="false">
      <c r="A888" s="188" t="s">
        <v>1497</v>
      </c>
      <c r="B888" s="198" t="s">
        <v>744</v>
      </c>
      <c r="C888" s="148" t="s">
        <v>3443</v>
      </c>
      <c r="D888" s="148" t="s">
        <v>3127</v>
      </c>
      <c r="E888" s="148"/>
      <c r="F888" s="148"/>
      <c r="G888" s="193"/>
      <c r="H888" s="105" t="n">
        <f aca="false">'[2]$ зима'!j888-'[2]$ зима'!au888-'[2]$ зима'!at888-'[2]$ зима'!as888-'[2]$ зима'!ar888-'[2]$ зима'!aq888-'[2]$ зима'!ap888-'[2]$ зима'!an888-'[2]$ зима'!am888-'[2]$ зима'!al888-'[2]$ зима'!ak888-'[2]$ зима'!aj888-'[2]$ зима'!ah888-'[2]$ зима'!ag888-'[2]$ зима'!af888-'[2]$ зима'!ae888-'[2]$ зима'!ad888-'[2]$ зима'!ab888-'[2]$ зима'!aa888-'[2]$ зима'!z888-'[2]$ зима'!y888-'[2]$ зима'!x888-'[2]$ зима'!v888-'[2]$ зима'!u888-'[2]$ зима'!t888-'[2]$ зима'!s888-'[2]$ зима'!r888-'[2]$ зима'!p888-'[2]$ зима'!o888-'[2]$ зима'!n888-'[2]$ зима'!m888-'[2]$ зима'!l888+'[2]$ зима'!q888+'[2]$ зима'!w888+'[2]$ зима'!ac888+'[2]$ зима'!ai888+'[2]$ зима'!ao888+'[2]$ зима'!k888</f>
        <v>0</v>
      </c>
      <c r="I888" s="191" t="n">
        <f aca="false">'[2]$ зима'!ay888*1.1</f>
        <v>1848</v>
      </c>
    </row>
    <row r="889" customFormat="false" ht="15" hidden="false" customHeight="false" outlineLevel="0" collapsed="false">
      <c r="A889" s="188" t="s">
        <v>1497</v>
      </c>
      <c r="B889" s="149" t="s">
        <v>668</v>
      </c>
      <c r="C889" s="148" t="s">
        <v>3553</v>
      </c>
      <c r="D889" s="148" t="s">
        <v>3127</v>
      </c>
      <c r="E889" s="192"/>
      <c r="F889" s="192"/>
      <c r="G889" s="193"/>
      <c r="H889" s="105" t="n">
        <f aca="false">'[2]$ зима'!j889-'[2]$ зима'!au889-'[2]$ зима'!at889-'[2]$ зима'!as889-'[2]$ зима'!ar889-'[2]$ зима'!aq889-'[2]$ зима'!ap889-'[2]$ зима'!an889-'[2]$ зима'!am889-'[2]$ зима'!al889-'[2]$ зима'!ak889-'[2]$ зима'!aj889-'[2]$ зима'!ah889-'[2]$ зима'!ag889-'[2]$ зима'!af889-'[2]$ зима'!ae889-'[2]$ зима'!ad889-'[2]$ зима'!ab889-'[2]$ зима'!aa889-'[2]$ зима'!z889-'[2]$ зима'!y889-'[2]$ зима'!x889-'[2]$ зима'!v889-'[2]$ зима'!u889-'[2]$ зима'!t889-'[2]$ зима'!s889-'[2]$ зима'!r889-'[2]$ зима'!p889-'[2]$ зима'!o889-'[2]$ зима'!n889-'[2]$ зима'!m889-'[2]$ зима'!l889+'[2]$ зима'!q889+'[2]$ зима'!w889+'[2]$ зима'!ac889+'[2]$ зима'!ai889+'[2]$ зима'!ao889+'[2]$ зима'!k889</f>
        <v>4</v>
      </c>
      <c r="I889" s="191" t="n">
        <f aca="false">'[2]$ зима'!ay889*1.1</f>
        <v>2310</v>
      </c>
    </row>
    <row r="890" customFormat="false" ht="15" hidden="false" customHeight="false" outlineLevel="0" collapsed="false">
      <c r="A890" s="188" t="s">
        <v>1497</v>
      </c>
      <c r="B890" s="198" t="s">
        <v>606</v>
      </c>
      <c r="C890" s="148" t="s">
        <v>3309</v>
      </c>
      <c r="D890" s="148"/>
      <c r="E890" s="192"/>
      <c r="F890" s="192"/>
      <c r="G890" s="193"/>
      <c r="H890" s="105" t="n">
        <f aca="false">'[2]$ зима'!j890-'[2]$ зима'!au890-'[2]$ зима'!at890-'[2]$ зима'!as890-'[2]$ зима'!ar890-'[2]$ зима'!aq890-'[2]$ зима'!ap890-'[2]$ зима'!an890-'[2]$ зима'!am890-'[2]$ зима'!al890-'[2]$ зима'!ak890-'[2]$ зима'!aj890-'[2]$ зима'!ah890-'[2]$ зима'!ag890-'[2]$ зима'!af890-'[2]$ зима'!ae890-'[2]$ зима'!ad890-'[2]$ зима'!ab890-'[2]$ зима'!aa890-'[2]$ зима'!z890-'[2]$ зима'!y890-'[2]$ зима'!x890-'[2]$ зима'!v890-'[2]$ зима'!u890-'[2]$ зима'!t890-'[2]$ зима'!s890-'[2]$ зима'!r890-'[2]$ зима'!p890-'[2]$ зима'!o890-'[2]$ зима'!n890-'[2]$ зима'!m890-'[2]$ зима'!l890+'[2]$ зима'!q890+'[2]$ зима'!w890+'[2]$ зима'!ac890+'[2]$ зима'!ai890+'[2]$ зима'!ao890+'[2]$ зима'!k890</f>
        <v>4</v>
      </c>
      <c r="I890" s="191" t="n">
        <f aca="false">'[2]$ зима'!ay890*1.1</f>
        <v>2464</v>
      </c>
    </row>
    <row r="891" customFormat="false" ht="15" hidden="true" customHeight="false" outlineLevel="0" collapsed="false">
      <c r="A891" s="188" t="s">
        <v>1497</v>
      </c>
      <c r="B891" s="149" t="s">
        <v>1149</v>
      </c>
      <c r="C891" s="148" t="s">
        <v>3529</v>
      </c>
      <c r="D891" s="148"/>
      <c r="E891" s="148"/>
      <c r="F891" s="148"/>
      <c r="G891" s="193"/>
      <c r="H891" s="105" t="n">
        <f aca="false">'[2]$ зима'!j891-'[2]$ зима'!au891-'[2]$ зима'!at891-'[2]$ зима'!as891-'[2]$ зима'!ar891-'[2]$ зима'!aq891-'[2]$ зима'!ap891-'[2]$ зима'!an891-'[2]$ зима'!am891-'[2]$ зима'!al891-'[2]$ зима'!ak891-'[2]$ зима'!aj891-'[2]$ зима'!ah891-'[2]$ зима'!ag891-'[2]$ зима'!af891-'[2]$ зима'!ae891-'[2]$ зима'!ad891-'[2]$ зима'!ab891-'[2]$ зима'!aa891-'[2]$ зима'!z891-'[2]$ зима'!y891-'[2]$ зима'!x891-'[2]$ зима'!v891-'[2]$ зима'!u891-'[2]$ зима'!t891-'[2]$ зима'!s891-'[2]$ зима'!r891-'[2]$ зима'!p891-'[2]$ зима'!o891-'[2]$ зима'!n891-'[2]$ зима'!m891-'[2]$ зима'!l891+'[2]$ зима'!q891+'[2]$ зима'!w891+'[2]$ зима'!ac891+'[2]$ зима'!ai891+'[2]$ зима'!ao891+'[2]$ зима'!k891</f>
        <v>0</v>
      </c>
      <c r="I891" s="191" t="n">
        <f aca="false">'[2]$ зима'!ay891*1.1</f>
        <v>1848</v>
      </c>
    </row>
    <row r="892" customFormat="false" ht="15" hidden="false" customHeight="false" outlineLevel="0" collapsed="false">
      <c r="A892" s="188" t="s">
        <v>1497</v>
      </c>
      <c r="B892" s="198" t="s">
        <v>1149</v>
      </c>
      <c r="C892" s="148" t="s">
        <v>3554</v>
      </c>
      <c r="D892" s="148" t="s">
        <v>3147</v>
      </c>
      <c r="E892" s="192"/>
      <c r="F892" s="192"/>
      <c r="G892" s="193"/>
      <c r="H892" s="105" t="n">
        <f aca="false">'[2]$ зима'!j892-'[2]$ зима'!au892-'[2]$ зима'!at892-'[2]$ зима'!as892-'[2]$ зима'!ar892-'[2]$ зима'!aq892-'[2]$ зима'!ap892-'[2]$ зима'!an892-'[2]$ зима'!am892-'[2]$ зима'!al892-'[2]$ зима'!ak892-'[2]$ зима'!aj892-'[2]$ зима'!ah892-'[2]$ зима'!ag892-'[2]$ зима'!af892-'[2]$ зима'!ae892-'[2]$ зима'!ad892-'[2]$ зима'!ab892-'[2]$ зима'!aa892-'[2]$ зима'!z892-'[2]$ зима'!y892-'[2]$ зима'!x892-'[2]$ зима'!v892-'[2]$ зима'!u892-'[2]$ зима'!t892-'[2]$ зима'!s892-'[2]$ зима'!r892-'[2]$ зима'!p892-'[2]$ зима'!o892-'[2]$ зима'!n892-'[2]$ зима'!m892-'[2]$ зима'!l892+'[2]$ зима'!q892+'[2]$ зима'!w892+'[2]$ зима'!ac892+'[2]$ зима'!ai892+'[2]$ зима'!ao892+'[2]$ зима'!k892</f>
        <v>2</v>
      </c>
      <c r="I892" s="191" t="n">
        <f aca="false">'[2]$ зима'!ay892*1.1</f>
        <v>1848</v>
      </c>
      <c r="J892" s="171" t="s">
        <v>3555</v>
      </c>
    </row>
    <row r="893" customFormat="false" ht="15" hidden="true" customHeight="false" outlineLevel="0" collapsed="false">
      <c r="A893" s="188" t="s">
        <v>1497</v>
      </c>
      <c r="B893" s="198" t="s">
        <v>564</v>
      </c>
      <c r="C893" s="148" t="s">
        <v>3556</v>
      </c>
      <c r="D893" s="148"/>
      <c r="E893" s="148"/>
      <c r="F893" s="148"/>
      <c r="G893" s="193"/>
      <c r="H893" s="105" t="n">
        <f aca="false">'[2]$ зима'!j893-'[2]$ зима'!au893-'[2]$ зима'!at893-'[2]$ зима'!as893-'[2]$ зима'!ar893-'[2]$ зима'!aq893-'[2]$ зима'!ap893-'[2]$ зима'!an893-'[2]$ зима'!am893-'[2]$ зима'!al893-'[2]$ зима'!ak893-'[2]$ зима'!aj893-'[2]$ зима'!ah893-'[2]$ зима'!ag893-'[2]$ зима'!af893-'[2]$ зима'!ae893-'[2]$ зима'!ad893-'[2]$ зима'!ab893-'[2]$ зима'!aa893-'[2]$ зима'!z893-'[2]$ зима'!y893-'[2]$ зима'!x893-'[2]$ зима'!v893-'[2]$ зима'!u893-'[2]$ зима'!t893-'[2]$ зима'!s893-'[2]$ зима'!r893-'[2]$ зима'!p893-'[2]$ зима'!o893-'[2]$ зима'!n893-'[2]$ зима'!m893-'[2]$ зима'!l893+'[2]$ зима'!q893+'[2]$ зима'!w893+'[2]$ зима'!ac893+'[2]$ зима'!ai893+'[2]$ зима'!ao893+'[2]$ зима'!k893</f>
        <v>0</v>
      </c>
      <c r="I893" s="191" t="n">
        <f aca="false">'[2]$ зима'!ay893*1.1</f>
        <v>1386</v>
      </c>
    </row>
    <row r="894" customFormat="false" ht="15" hidden="true" customHeight="false" outlineLevel="0" collapsed="false">
      <c r="A894" s="188" t="s">
        <v>1504</v>
      </c>
      <c r="B894" s="198" t="s">
        <v>1176</v>
      </c>
      <c r="C894" s="148" t="s">
        <v>3557</v>
      </c>
      <c r="D894" s="148"/>
      <c r="E894" s="148"/>
      <c r="F894" s="148"/>
      <c r="G894" s="193" t="s">
        <v>520</v>
      </c>
      <c r="H894" s="105" t="n">
        <f aca="false">'[2]$ зима'!j894-'[2]$ зима'!au894-'[2]$ зима'!at894-'[2]$ зима'!as894-'[2]$ зима'!ar894-'[2]$ зима'!aq894-'[2]$ зима'!ap894-'[2]$ зима'!an894-'[2]$ зима'!am894-'[2]$ зима'!al894-'[2]$ зима'!ak894-'[2]$ зима'!aj894-'[2]$ зима'!ah894-'[2]$ зима'!ag894-'[2]$ зима'!af894-'[2]$ зима'!ae894-'[2]$ зима'!ad894-'[2]$ зима'!ab894-'[2]$ зима'!aa894-'[2]$ зима'!z894-'[2]$ зима'!y894-'[2]$ зима'!x894-'[2]$ зима'!v894-'[2]$ зима'!u894-'[2]$ зима'!t894-'[2]$ зима'!s894-'[2]$ зима'!r894-'[2]$ зима'!p894-'[2]$ зима'!o894-'[2]$ зима'!n894-'[2]$ зима'!m894-'[2]$ зима'!l894+'[2]$ зима'!q894+'[2]$ зима'!w894+'[2]$ зима'!ac894+'[2]$ зима'!ai894+'[2]$ зима'!ao894+'[2]$ зима'!k894</f>
        <v>0</v>
      </c>
      <c r="I894" s="191" t="n">
        <f aca="false">'[2]$ зима'!ay894*1.1</f>
        <v>1848</v>
      </c>
    </row>
    <row r="895" customFormat="false" ht="15" hidden="true" customHeight="false" outlineLevel="0" collapsed="false">
      <c r="A895" s="188" t="s">
        <v>3558</v>
      </c>
      <c r="B895" s="149" t="s">
        <v>606</v>
      </c>
      <c r="C895" s="148" t="s">
        <v>3309</v>
      </c>
      <c r="D895" s="148"/>
      <c r="E895" s="148"/>
      <c r="F895" s="148"/>
      <c r="G895" s="193"/>
      <c r="H895" s="105" t="n">
        <f aca="false">'[2]$ зима'!j895-'[2]$ зима'!au895-'[2]$ зима'!at895-'[2]$ зима'!as895-'[2]$ зима'!ar895-'[2]$ зима'!aq895-'[2]$ зима'!ap895-'[2]$ зима'!an895-'[2]$ зима'!am895-'[2]$ зима'!al895-'[2]$ зима'!ak895-'[2]$ зима'!aj895-'[2]$ зима'!ah895-'[2]$ зима'!ag895-'[2]$ зима'!af895-'[2]$ зима'!ae895-'[2]$ зима'!ad895-'[2]$ зима'!ab895-'[2]$ зима'!aa895-'[2]$ зима'!z895-'[2]$ зима'!y895-'[2]$ зима'!x895-'[2]$ зима'!v895-'[2]$ зима'!u895-'[2]$ зима'!t895-'[2]$ зима'!s895-'[2]$ зима'!r895-'[2]$ зима'!p895-'[2]$ зима'!o895-'[2]$ зима'!n895-'[2]$ зима'!m895-'[2]$ зима'!l895+'[2]$ зима'!q895+'[2]$ зима'!w895+'[2]$ зима'!ac895+'[2]$ зима'!ai895+'[2]$ зима'!ao895+'[2]$ зима'!k895</f>
        <v>0</v>
      </c>
      <c r="I895" s="191" t="n">
        <f aca="false">'[2]$ зима'!ay895*1.1</f>
        <v>2310</v>
      </c>
    </row>
    <row r="896" customFormat="false" ht="15" hidden="true" customHeight="false" outlineLevel="0" collapsed="false">
      <c r="A896" s="188" t="s">
        <v>3558</v>
      </c>
      <c r="B896" s="198" t="s">
        <v>668</v>
      </c>
      <c r="C896" s="148" t="s">
        <v>3559</v>
      </c>
      <c r="D896" s="148"/>
      <c r="E896" s="148"/>
      <c r="F896" s="148"/>
      <c r="G896" s="193"/>
      <c r="H896" s="105" t="n">
        <f aca="false">'[2]$ зима'!j896-'[2]$ зима'!au896-'[2]$ зима'!at896-'[2]$ зима'!as896-'[2]$ зима'!ar896-'[2]$ зима'!aq896-'[2]$ зима'!ap896-'[2]$ зима'!an896-'[2]$ зима'!am896-'[2]$ зима'!al896-'[2]$ зима'!ak896-'[2]$ зима'!aj896-'[2]$ зима'!ah896-'[2]$ зима'!ag896-'[2]$ зима'!af896-'[2]$ зима'!ae896-'[2]$ зима'!ad896-'[2]$ зима'!ab896-'[2]$ зима'!aa896-'[2]$ зима'!z896-'[2]$ зима'!y896-'[2]$ зима'!x896-'[2]$ зима'!v896-'[2]$ зима'!u896-'[2]$ зима'!t896-'[2]$ зима'!s896-'[2]$ зима'!r896-'[2]$ зима'!p896-'[2]$ зима'!o896-'[2]$ зима'!n896-'[2]$ зима'!m896-'[2]$ зима'!l896+'[2]$ зима'!q896+'[2]$ зима'!w896+'[2]$ зима'!ac896+'[2]$ зима'!ai896+'[2]$ зима'!ao896+'[2]$ зима'!k896</f>
        <v>0</v>
      </c>
      <c r="I896" s="191" t="n">
        <f aca="false">'[2]$ зима'!ay896*1.1</f>
        <v>1509.2</v>
      </c>
    </row>
    <row r="897" customFormat="false" ht="15" hidden="false" customHeight="false" outlineLevel="0" collapsed="false">
      <c r="A897" s="188" t="s">
        <v>3558</v>
      </c>
      <c r="B897" s="149" t="s">
        <v>1149</v>
      </c>
      <c r="C897" s="148" t="s">
        <v>3560</v>
      </c>
      <c r="D897" s="148" t="s">
        <v>3147</v>
      </c>
      <c r="E897" s="192"/>
      <c r="F897" s="192"/>
      <c r="G897" s="193"/>
      <c r="H897" s="105" t="n">
        <f aca="false">'[2]$ зима'!j897-'[2]$ зима'!au897-'[2]$ зима'!at897-'[2]$ зима'!as897-'[2]$ зима'!ar897-'[2]$ зима'!aq897-'[2]$ зима'!ap897-'[2]$ зима'!an897-'[2]$ зима'!am897-'[2]$ зима'!al897-'[2]$ зима'!ak897-'[2]$ зима'!aj897-'[2]$ зима'!ah897-'[2]$ зима'!ag897-'[2]$ зима'!af897-'[2]$ зима'!ae897-'[2]$ зима'!ad897-'[2]$ зима'!ab897-'[2]$ зима'!aa897-'[2]$ зима'!z897-'[2]$ зима'!y897-'[2]$ зима'!x897-'[2]$ зима'!v897-'[2]$ зима'!u897-'[2]$ зима'!t897-'[2]$ зима'!s897-'[2]$ зима'!r897-'[2]$ зима'!p897-'[2]$ зима'!o897-'[2]$ зима'!n897-'[2]$ зима'!m897-'[2]$ зима'!l897+'[2]$ зима'!q897+'[2]$ зима'!w897+'[2]$ зима'!ac897+'[2]$ зима'!ai897+'[2]$ зима'!ao897+'[2]$ зима'!k897</f>
        <v>2</v>
      </c>
      <c r="I897" s="191" t="n">
        <f aca="false">'[2]$ зима'!ay897*1.1</f>
        <v>1848</v>
      </c>
    </row>
    <row r="898" customFormat="false" ht="15" hidden="true" customHeight="false" outlineLevel="0" collapsed="false">
      <c r="A898" s="188" t="s">
        <v>1511</v>
      </c>
      <c r="B898" s="149" t="s">
        <v>601</v>
      </c>
      <c r="C898" s="148" t="s">
        <v>3332</v>
      </c>
      <c r="D898" s="148"/>
      <c r="E898" s="148" t="n">
        <v>91</v>
      </c>
      <c r="F898" s="148" t="s">
        <v>1455</v>
      </c>
      <c r="G898" s="193"/>
      <c r="H898" s="105" t="n">
        <f aca="false">'[2]$ зима'!j898-'[2]$ зима'!au898-'[2]$ зима'!at898-'[2]$ зима'!as898-'[2]$ зима'!ar898-'[2]$ зима'!aq898-'[2]$ зима'!ap898-'[2]$ зима'!an898-'[2]$ зима'!am898-'[2]$ зима'!al898-'[2]$ зима'!ak898-'[2]$ зима'!aj898-'[2]$ зима'!ah898-'[2]$ зима'!ag898-'[2]$ зима'!af898-'[2]$ зима'!ae898-'[2]$ зима'!ad898-'[2]$ зима'!ab898-'[2]$ зима'!aa898-'[2]$ зима'!z898-'[2]$ зима'!y898-'[2]$ зима'!x898-'[2]$ зима'!v898-'[2]$ зима'!u898-'[2]$ зима'!t898-'[2]$ зима'!s898-'[2]$ зима'!r898-'[2]$ зима'!p898-'[2]$ зима'!o898-'[2]$ зима'!n898-'[2]$ зима'!m898-'[2]$ зима'!l898+'[2]$ зима'!q898+'[2]$ зима'!w898+'[2]$ зима'!ac898+'[2]$ зима'!ai898+'[2]$ зима'!ao898+'[2]$ зима'!k898</f>
        <v>0</v>
      </c>
      <c r="I898" s="191" t="n">
        <f aca="false">'[2]$ зима'!ay898*1.1</f>
        <v>3542</v>
      </c>
    </row>
    <row r="899" customFormat="false" ht="15" hidden="true" customHeight="false" outlineLevel="0" collapsed="false">
      <c r="A899" s="188" t="s">
        <v>1511</v>
      </c>
      <c r="B899" s="149" t="s">
        <v>553</v>
      </c>
      <c r="C899" s="148" t="s">
        <v>3466</v>
      </c>
      <c r="D899" s="148"/>
      <c r="E899" s="148"/>
      <c r="F899" s="148"/>
      <c r="G899" s="193"/>
      <c r="H899" s="105" t="n">
        <f aca="false">'[2]$ зима'!j899-'[2]$ зима'!au899-'[2]$ зима'!at899-'[2]$ зима'!as899-'[2]$ зима'!ar899-'[2]$ зима'!aq899-'[2]$ зима'!ap899-'[2]$ зима'!an899-'[2]$ зима'!am899-'[2]$ зима'!al899-'[2]$ зима'!ak899-'[2]$ зима'!aj899-'[2]$ зима'!ah899-'[2]$ зима'!ag899-'[2]$ зима'!af899-'[2]$ зима'!ae899-'[2]$ зима'!ad899-'[2]$ зима'!ab899-'[2]$ зима'!aa899-'[2]$ зима'!z899-'[2]$ зима'!y899-'[2]$ зима'!x899-'[2]$ зима'!v899-'[2]$ зима'!u899-'[2]$ зима'!t899-'[2]$ зима'!s899-'[2]$ зима'!r899-'[2]$ зима'!p899-'[2]$ зима'!o899-'[2]$ зима'!n899-'[2]$ зима'!m899-'[2]$ зима'!l899+'[2]$ зима'!q899+'[2]$ зима'!w899+'[2]$ зима'!ac899+'[2]$ зима'!ai899+'[2]$ зима'!ao899+'[2]$ зима'!k899</f>
        <v>0</v>
      </c>
      <c r="I899" s="191" t="n">
        <f aca="false">'[2]$ зима'!ay899*1.1</f>
        <v>1540</v>
      </c>
    </row>
    <row r="900" customFormat="false" ht="15" hidden="true" customHeight="false" outlineLevel="0" collapsed="false">
      <c r="A900" s="188" t="s">
        <v>1511</v>
      </c>
      <c r="B900" s="149" t="s">
        <v>744</v>
      </c>
      <c r="C900" s="148" t="s">
        <v>3443</v>
      </c>
      <c r="D900" s="148" t="s">
        <v>3127</v>
      </c>
      <c r="E900" s="148"/>
      <c r="F900" s="148"/>
      <c r="G900" s="193"/>
      <c r="H900" s="105" t="n">
        <f aca="false">'[2]$ зима'!j900-'[2]$ зима'!au900-'[2]$ зима'!at900-'[2]$ зима'!as900-'[2]$ зима'!ar900-'[2]$ зима'!aq900-'[2]$ зима'!ap900-'[2]$ зима'!an900-'[2]$ зима'!am900-'[2]$ зима'!al900-'[2]$ зима'!ak900-'[2]$ зима'!aj900-'[2]$ зима'!ah900-'[2]$ зима'!ag900-'[2]$ зима'!af900-'[2]$ зима'!ae900-'[2]$ зима'!ad900-'[2]$ зима'!ab900-'[2]$ зима'!aa900-'[2]$ зима'!z900-'[2]$ зима'!y900-'[2]$ зима'!x900-'[2]$ зима'!v900-'[2]$ зима'!u900-'[2]$ зима'!t900-'[2]$ зима'!s900-'[2]$ зима'!r900-'[2]$ зима'!p900-'[2]$ зима'!o900-'[2]$ зима'!n900-'[2]$ зима'!m900-'[2]$ зима'!l900+'[2]$ зима'!q900+'[2]$ зима'!w900+'[2]$ зима'!ac900+'[2]$ зима'!ai900+'[2]$ зима'!ao900+'[2]$ зима'!k900</f>
        <v>0</v>
      </c>
      <c r="I900" s="191" t="n">
        <f aca="false">'[2]$ зима'!ay900*1.1</f>
        <v>2772</v>
      </c>
    </row>
    <row r="901" customFormat="false" ht="15" hidden="false" customHeight="false" outlineLevel="0" collapsed="false">
      <c r="A901" s="188" t="s">
        <v>1511</v>
      </c>
      <c r="B901" s="149" t="s">
        <v>606</v>
      </c>
      <c r="C901" s="148" t="s">
        <v>3155</v>
      </c>
      <c r="D901" s="148"/>
      <c r="E901" s="192" t="n">
        <v>95</v>
      </c>
      <c r="F901" s="192" t="s">
        <v>3216</v>
      </c>
      <c r="G901" s="193" t="s">
        <v>609</v>
      </c>
      <c r="H901" s="105" t="n">
        <f aca="false">'[2]$ зима'!j901-'[2]$ зима'!au901-'[2]$ зима'!at901-'[2]$ зима'!as901-'[2]$ зима'!ar901-'[2]$ зима'!aq901-'[2]$ зима'!ap901-'[2]$ зима'!an901-'[2]$ зима'!am901-'[2]$ зима'!al901-'[2]$ зима'!ak901-'[2]$ зима'!aj901-'[2]$ зима'!ah901-'[2]$ зима'!ag901-'[2]$ зима'!af901-'[2]$ зима'!ae901-'[2]$ зима'!ad901-'[2]$ зима'!ab901-'[2]$ зима'!aa901-'[2]$ зима'!z901-'[2]$ зима'!y901-'[2]$ зима'!x901-'[2]$ зима'!v901-'[2]$ зима'!u901-'[2]$ зима'!t901-'[2]$ зима'!s901-'[2]$ зима'!r901-'[2]$ зима'!p901-'[2]$ зима'!o901-'[2]$ зима'!n901-'[2]$ зима'!m901-'[2]$ зима'!l901+'[2]$ зима'!q901+'[2]$ зима'!w901+'[2]$ зима'!ac901+'[2]$ зима'!ai901+'[2]$ зима'!ao901+'[2]$ зима'!k901</f>
        <v>8</v>
      </c>
      <c r="I901" s="191" t="n">
        <f aca="false">'[2]$ зима'!ay901*1.1</f>
        <v>2741.2</v>
      </c>
      <c r="J901" s="171" t="n">
        <v>2018</v>
      </c>
    </row>
    <row r="902" customFormat="false" ht="15" hidden="false" customHeight="false" outlineLevel="0" collapsed="false">
      <c r="A902" s="188" t="s">
        <v>1511</v>
      </c>
      <c r="B902" s="149" t="s">
        <v>606</v>
      </c>
      <c r="C902" s="148" t="s">
        <v>3125</v>
      </c>
      <c r="D902" s="148"/>
      <c r="E902" s="192" t="n">
        <v>95</v>
      </c>
      <c r="F902" s="192" t="s">
        <v>562</v>
      </c>
      <c r="G902" s="193"/>
      <c r="H902" s="105" t="n">
        <f aca="false">'[2]$ зима'!j902-'[2]$ зима'!au902-'[2]$ зима'!at902-'[2]$ зима'!as902-'[2]$ зима'!ar902-'[2]$ зима'!aq902-'[2]$ зима'!ap902-'[2]$ зима'!an902-'[2]$ зима'!am902-'[2]$ зима'!al902-'[2]$ зима'!ak902-'[2]$ зима'!aj902-'[2]$ зима'!ah902-'[2]$ зима'!ag902-'[2]$ зима'!af902-'[2]$ зима'!ae902-'[2]$ зима'!ad902-'[2]$ зима'!ab902-'[2]$ зима'!aa902-'[2]$ зима'!z902-'[2]$ зима'!y902-'[2]$ зима'!x902-'[2]$ зима'!v902-'[2]$ зима'!u902-'[2]$ зима'!t902-'[2]$ зима'!s902-'[2]$ зима'!r902-'[2]$ зима'!p902-'[2]$ зима'!o902-'[2]$ зима'!n902-'[2]$ зима'!m902-'[2]$ зима'!l902+'[2]$ зима'!q902+'[2]$ зима'!w902+'[2]$ зима'!ac902+'[2]$ зима'!ai902+'[2]$ зима'!ao902+'[2]$ зима'!k902</f>
        <v>6</v>
      </c>
      <c r="I902" s="191" t="n">
        <f aca="false">'[2]$ зима'!ay902*1.1</f>
        <v>2618</v>
      </c>
    </row>
    <row r="903" customFormat="false" ht="15" hidden="true" customHeight="false" outlineLevel="0" collapsed="false">
      <c r="A903" s="188" t="s">
        <v>1511</v>
      </c>
      <c r="B903" s="149" t="s">
        <v>606</v>
      </c>
      <c r="C903" s="148" t="s">
        <v>3561</v>
      </c>
      <c r="D903" s="148"/>
      <c r="E903" s="148" t="n">
        <v>95</v>
      </c>
      <c r="F903" s="148" t="s">
        <v>3216</v>
      </c>
      <c r="G903" s="193"/>
      <c r="H903" s="105" t="n">
        <f aca="false">'[2]$ зима'!j903-'[2]$ зима'!au903-'[2]$ зима'!at903-'[2]$ зима'!as903-'[2]$ зима'!ar903-'[2]$ зима'!aq903-'[2]$ зима'!ap903-'[2]$ зима'!an903-'[2]$ зима'!am903-'[2]$ зима'!al903-'[2]$ зима'!ak903-'[2]$ зима'!aj903-'[2]$ зима'!ah903-'[2]$ зима'!ag903-'[2]$ зима'!af903-'[2]$ зима'!ae903-'[2]$ зима'!ad903-'[2]$ зима'!ab903-'[2]$ зима'!aa903-'[2]$ зима'!z903-'[2]$ зима'!y903-'[2]$ зима'!x903-'[2]$ зима'!v903-'[2]$ зима'!u903-'[2]$ зима'!t903-'[2]$ зима'!s903-'[2]$ зима'!r903-'[2]$ зима'!p903-'[2]$ зима'!o903-'[2]$ зима'!n903-'[2]$ зима'!m903-'[2]$ зима'!l903+'[2]$ зима'!q903+'[2]$ зима'!w903+'[2]$ зима'!ac903+'[2]$ зима'!ai903+'[2]$ зима'!ao903+'[2]$ зима'!k903</f>
        <v>0</v>
      </c>
      <c r="I903" s="191" t="n">
        <f aca="false">'[2]$ зима'!ay903*1.1</f>
        <v>2618</v>
      </c>
    </row>
    <row r="904" customFormat="false" ht="15" hidden="false" customHeight="false" outlineLevel="0" collapsed="false">
      <c r="A904" s="188" t="s">
        <v>1511</v>
      </c>
      <c r="B904" s="149" t="s">
        <v>668</v>
      </c>
      <c r="C904" s="148" t="s">
        <v>3367</v>
      </c>
      <c r="D904" s="148" t="s">
        <v>3127</v>
      </c>
      <c r="E904" s="192"/>
      <c r="F904" s="192"/>
      <c r="G904" s="193"/>
      <c r="H904" s="105" t="n">
        <f aca="false">'[2]$ зима'!j904-'[2]$ зима'!au904-'[2]$ зима'!at904-'[2]$ зима'!as904-'[2]$ зима'!ar904-'[2]$ зима'!aq904-'[2]$ зима'!ap904-'[2]$ зима'!an904-'[2]$ зима'!am904-'[2]$ зима'!al904-'[2]$ зима'!ak904-'[2]$ зима'!aj904-'[2]$ зима'!ah904-'[2]$ зима'!ag904-'[2]$ зима'!af904-'[2]$ зима'!ae904-'[2]$ зима'!ad904-'[2]$ зима'!ab904-'[2]$ зима'!aa904-'[2]$ зима'!z904-'[2]$ зима'!y904-'[2]$ зима'!x904-'[2]$ зима'!v904-'[2]$ зима'!u904-'[2]$ зима'!t904-'[2]$ зима'!s904-'[2]$ зима'!r904-'[2]$ зима'!p904-'[2]$ зима'!o904-'[2]$ зима'!n904-'[2]$ зима'!m904-'[2]$ зима'!l904+'[2]$ зима'!q904+'[2]$ зима'!w904+'[2]$ зима'!ac904+'[2]$ зима'!ai904+'[2]$ зима'!ao904+'[2]$ зима'!k904</f>
        <v>4</v>
      </c>
      <c r="I904" s="191" t="n">
        <f aca="false">'[2]$ зима'!ay904*1.1</f>
        <v>2371.6</v>
      </c>
    </row>
    <row r="905" customFormat="false" ht="15" hidden="false" customHeight="false" outlineLevel="0" collapsed="false">
      <c r="A905" s="188" t="s">
        <v>1511</v>
      </c>
      <c r="B905" s="149" t="s">
        <v>577</v>
      </c>
      <c r="C905" s="148" t="s">
        <v>3250</v>
      </c>
      <c r="D905" s="148"/>
      <c r="E905" s="192" t="n">
        <v>95</v>
      </c>
      <c r="F905" s="192" t="s">
        <v>3216</v>
      </c>
      <c r="G905" s="193" t="s">
        <v>563</v>
      </c>
      <c r="H905" s="105" t="n">
        <f aca="false">'[2]$ зима'!j905-'[2]$ зима'!au905-'[2]$ зима'!at905-'[2]$ зима'!as905-'[2]$ зима'!ar905-'[2]$ зима'!aq905-'[2]$ зима'!ap905-'[2]$ зима'!an905-'[2]$ зима'!am905-'[2]$ зима'!al905-'[2]$ зима'!ak905-'[2]$ зима'!aj905-'[2]$ зима'!ah905-'[2]$ зима'!ag905-'[2]$ зима'!af905-'[2]$ зима'!ae905-'[2]$ зима'!ad905-'[2]$ зима'!ab905-'[2]$ зима'!aa905-'[2]$ зима'!z905-'[2]$ зима'!y905-'[2]$ зима'!x905-'[2]$ зима'!v905-'[2]$ зима'!u905-'[2]$ зима'!t905-'[2]$ зима'!s905-'[2]$ зима'!r905-'[2]$ зима'!p905-'[2]$ зима'!o905-'[2]$ зима'!n905-'[2]$ зима'!m905-'[2]$ зима'!l905+'[2]$ зима'!q905+'[2]$ зима'!w905+'[2]$ зима'!ac905+'[2]$ зима'!ai905+'[2]$ зима'!ao905+'[2]$ зима'!k905</f>
        <v>2</v>
      </c>
      <c r="I905" s="191" t="n">
        <f aca="false">'[2]$ зима'!ay905*1.1</f>
        <v>2156</v>
      </c>
    </row>
    <row r="906" customFormat="false" ht="15" hidden="false" customHeight="false" outlineLevel="0" collapsed="false">
      <c r="A906" s="188" t="s">
        <v>1511</v>
      </c>
      <c r="B906" s="149" t="s">
        <v>621</v>
      </c>
      <c r="C906" s="148" t="s">
        <v>3307</v>
      </c>
      <c r="D906" s="148"/>
      <c r="E906" s="192" t="n">
        <v>95</v>
      </c>
      <c r="F906" s="192" t="s">
        <v>970</v>
      </c>
      <c r="G906" s="193" t="s">
        <v>520</v>
      </c>
      <c r="H906" s="105" t="n">
        <f aca="false">'[2]$ зима'!j906-'[2]$ зима'!au906-'[2]$ зима'!at906-'[2]$ зима'!as906-'[2]$ зима'!ar906-'[2]$ зима'!aq906-'[2]$ зима'!ap906-'[2]$ зима'!an906-'[2]$ зима'!am906-'[2]$ зима'!al906-'[2]$ зима'!ak906-'[2]$ зима'!aj906-'[2]$ зима'!ah906-'[2]$ зима'!ag906-'[2]$ зима'!af906-'[2]$ зима'!ae906-'[2]$ зима'!ad906-'[2]$ зима'!ab906-'[2]$ зима'!aa906-'[2]$ зима'!z906-'[2]$ зима'!y906-'[2]$ зима'!x906-'[2]$ зима'!v906-'[2]$ зима'!u906-'[2]$ зима'!t906-'[2]$ зима'!s906-'[2]$ зима'!r906-'[2]$ зима'!p906-'[2]$ зима'!o906-'[2]$ зима'!n906-'[2]$ зима'!m906-'[2]$ зима'!l906+'[2]$ зима'!q906+'[2]$ зима'!w906+'[2]$ зима'!ac906+'[2]$ зима'!ai906+'[2]$ зима'!ao906+'[2]$ зима'!k906</f>
        <v>4</v>
      </c>
      <c r="I906" s="191" t="n">
        <f aca="false">'[2]$ зима'!ay906*1.1</f>
        <v>1650</v>
      </c>
      <c r="J906" s="171" t="n">
        <v>2018</v>
      </c>
    </row>
    <row r="907" customFormat="false" ht="15" hidden="false" customHeight="false" outlineLevel="0" collapsed="false">
      <c r="A907" s="188" t="s">
        <v>1511</v>
      </c>
      <c r="B907" s="149" t="s">
        <v>589</v>
      </c>
      <c r="C907" s="148" t="s">
        <v>3259</v>
      </c>
      <c r="D907" s="148"/>
      <c r="E907" s="192" t="n">
        <v>91</v>
      </c>
      <c r="F907" s="192" t="s">
        <v>3207</v>
      </c>
      <c r="G907" s="193" t="s">
        <v>626</v>
      </c>
      <c r="H907" s="105" t="n">
        <f aca="false">'[2]$ зима'!j907-'[2]$ зима'!au907-'[2]$ зима'!at907-'[2]$ зима'!as907-'[2]$ зима'!ar907-'[2]$ зима'!aq907-'[2]$ зима'!ap907-'[2]$ зима'!an907-'[2]$ зима'!am907-'[2]$ зима'!al907-'[2]$ зима'!ak907-'[2]$ зима'!aj907-'[2]$ зима'!ah907-'[2]$ зима'!ag907-'[2]$ зима'!af907-'[2]$ зима'!ae907-'[2]$ зима'!ad907-'[2]$ зима'!ab907-'[2]$ зима'!aa907-'[2]$ зима'!z907-'[2]$ зима'!y907-'[2]$ зима'!x907-'[2]$ зима'!v907-'[2]$ зима'!u907-'[2]$ зима'!t907-'[2]$ зима'!s907-'[2]$ зима'!r907-'[2]$ зима'!p907-'[2]$ зима'!o907-'[2]$ зима'!n907-'[2]$ зима'!m907-'[2]$ зима'!l907+'[2]$ зима'!q907+'[2]$ зима'!w907+'[2]$ зима'!ac907+'[2]$ зима'!ai907+'[2]$ зима'!ao907+'[2]$ зима'!k907</f>
        <v>4</v>
      </c>
      <c r="I907" s="191" t="n">
        <f aca="false">'[2]$ зима'!ay907*1.1</f>
        <v>3061.52</v>
      </c>
      <c r="J907" s="171" t="n">
        <v>2018</v>
      </c>
    </row>
    <row r="908" customFormat="false" ht="15" hidden="true" customHeight="false" outlineLevel="0" collapsed="false">
      <c r="A908" s="188" t="s">
        <v>1511</v>
      </c>
      <c r="B908" s="149" t="s">
        <v>564</v>
      </c>
      <c r="C908" s="148" t="s">
        <v>3562</v>
      </c>
      <c r="D908" s="148"/>
      <c r="E908" s="148"/>
      <c r="F908" s="148"/>
      <c r="G908" s="193"/>
      <c r="H908" s="105" t="n">
        <f aca="false">'[2]$ зима'!j908-'[2]$ зима'!au908-'[2]$ зима'!at908-'[2]$ зима'!as908-'[2]$ зима'!ar908-'[2]$ зима'!aq908-'[2]$ зима'!ap908-'[2]$ зима'!an908-'[2]$ зима'!am908-'[2]$ зима'!al908-'[2]$ зима'!ak908-'[2]$ зима'!aj908-'[2]$ зима'!ah908-'[2]$ зима'!ag908-'[2]$ зима'!af908-'[2]$ зима'!ae908-'[2]$ зима'!ad908-'[2]$ зима'!ab908-'[2]$ зима'!aa908-'[2]$ зима'!z908-'[2]$ зима'!y908-'[2]$ зима'!x908-'[2]$ зима'!v908-'[2]$ зима'!u908-'[2]$ зима'!t908-'[2]$ зима'!s908-'[2]$ зима'!r908-'[2]$ зима'!p908-'[2]$ зима'!o908-'[2]$ зима'!n908-'[2]$ зима'!m908-'[2]$ зима'!l908+'[2]$ зима'!q908+'[2]$ зима'!w908+'[2]$ зима'!ac908+'[2]$ зима'!ai908+'[2]$ зима'!ao908+'[2]$ зима'!k908</f>
        <v>0</v>
      </c>
      <c r="I908" s="191" t="n">
        <f aca="false">'[2]$ зима'!ay908*1.1</f>
        <v>1447.6</v>
      </c>
      <c r="J908" s="171" t="n">
        <v>2017</v>
      </c>
    </row>
    <row r="909" customFormat="false" ht="15" hidden="true" customHeight="false" outlineLevel="0" collapsed="false">
      <c r="A909" s="188" t="s">
        <v>1511</v>
      </c>
      <c r="B909" s="149" t="s">
        <v>1524</v>
      </c>
      <c r="C909" s="148" t="s">
        <v>3563</v>
      </c>
      <c r="D909" s="148"/>
      <c r="E909" s="148"/>
      <c r="F909" s="148"/>
      <c r="G909" s="193"/>
      <c r="H909" s="105" t="n">
        <f aca="false">'[2]$ зима'!j909-'[2]$ зима'!au909-'[2]$ зима'!at909-'[2]$ зима'!as909-'[2]$ зима'!ar909-'[2]$ зима'!aq909-'[2]$ зима'!ap909-'[2]$ зима'!an909-'[2]$ зима'!am909-'[2]$ зима'!al909-'[2]$ зима'!ak909-'[2]$ зима'!aj909-'[2]$ зима'!ah909-'[2]$ зима'!ag909-'[2]$ зима'!af909-'[2]$ зима'!ae909-'[2]$ зима'!ad909-'[2]$ зима'!ab909-'[2]$ зима'!aa909-'[2]$ зима'!z909-'[2]$ зима'!y909-'[2]$ зима'!x909-'[2]$ зима'!v909-'[2]$ зима'!u909-'[2]$ зима'!t909-'[2]$ зима'!s909-'[2]$ зима'!r909-'[2]$ зима'!p909-'[2]$ зима'!o909-'[2]$ зима'!n909-'[2]$ зима'!m909-'[2]$ зима'!l909+'[2]$ зима'!q909+'[2]$ зима'!w909+'[2]$ зима'!ac909+'[2]$ зима'!ai909+'[2]$ зима'!ao909+'[2]$ зима'!k909</f>
        <v>0</v>
      </c>
      <c r="I909" s="191" t="n">
        <f aca="false">'[2]$ зима'!ay909*1.1</f>
        <v>1694</v>
      </c>
    </row>
    <row r="910" customFormat="false" ht="15" hidden="false" customHeight="false" outlineLevel="0" collapsed="false">
      <c r="A910" s="188" t="s">
        <v>1526</v>
      </c>
      <c r="B910" s="149" t="s">
        <v>2705</v>
      </c>
      <c r="C910" s="148" t="s">
        <v>3330</v>
      </c>
      <c r="D910" s="148"/>
      <c r="E910" s="192"/>
      <c r="F910" s="192"/>
      <c r="G910" s="193"/>
      <c r="H910" s="105" t="n">
        <f aca="false">'[2]$ зима'!j910-'[2]$ зима'!au910-'[2]$ зима'!at910-'[2]$ зима'!as910-'[2]$ зима'!ar910-'[2]$ зима'!aq910-'[2]$ зима'!ap910-'[2]$ зима'!an910-'[2]$ зима'!am910-'[2]$ зима'!al910-'[2]$ зима'!ak910-'[2]$ зима'!aj910-'[2]$ зима'!ah910-'[2]$ зима'!ag910-'[2]$ зима'!af910-'[2]$ зима'!ae910-'[2]$ зима'!ad910-'[2]$ зима'!ab910-'[2]$ зима'!aa910-'[2]$ зима'!z910-'[2]$ зима'!y910-'[2]$ зима'!x910-'[2]$ зима'!v910-'[2]$ зима'!u910-'[2]$ зима'!t910-'[2]$ зима'!s910-'[2]$ зима'!r910-'[2]$ зима'!p910-'[2]$ зима'!o910-'[2]$ зима'!n910-'[2]$ зима'!m910-'[2]$ зима'!l910+'[2]$ зима'!q910+'[2]$ зима'!w910+'[2]$ зима'!ac910+'[2]$ зима'!ai910+'[2]$ зима'!ao910+'[2]$ зима'!k910</f>
        <v>2</v>
      </c>
      <c r="I910" s="191" t="n">
        <f aca="false">'[2]$ зима'!ay910*1.1</f>
        <v>1694</v>
      </c>
      <c r="J910" s="171" t="n">
        <v>2017</v>
      </c>
    </row>
    <row r="911" customFormat="false" ht="15" hidden="true" customHeight="false" outlineLevel="0" collapsed="false">
      <c r="A911" s="188" t="s">
        <v>1526</v>
      </c>
      <c r="B911" s="149" t="s">
        <v>601</v>
      </c>
      <c r="C911" s="148" t="s">
        <v>3151</v>
      </c>
      <c r="D911" s="148"/>
      <c r="E911" s="148"/>
      <c r="F911" s="148"/>
      <c r="G911" s="193"/>
      <c r="H911" s="105" t="n">
        <f aca="false">'[2]$ зима'!j911-'[2]$ зима'!au911-'[2]$ зима'!at911-'[2]$ зима'!as911-'[2]$ зима'!ar911-'[2]$ зима'!aq911-'[2]$ зима'!ap911-'[2]$ зима'!an911-'[2]$ зима'!am911-'[2]$ зима'!al911-'[2]$ зима'!ak911-'[2]$ зима'!aj911-'[2]$ зима'!ah911-'[2]$ зима'!ag911-'[2]$ зима'!af911-'[2]$ зима'!ae911-'[2]$ зима'!ad911-'[2]$ зима'!ab911-'[2]$ зима'!aa911-'[2]$ зима'!z911-'[2]$ зима'!y911-'[2]$ зима'!x911-'[2]$ зима'!v911-'[2]$ зима'!u911-'[2]$ зима'!t911-'[2]$ зима'!s911-'[2]$ зима'!r911-'[2]$ зима'!p911-'[2]$ зима'!o911-'[2]$ зима'!n911-'[2]$ зима'!m911-'[2]$ зима'!l911+'[2]$ зима'!q911+'[2]$ зима'!w911+'[2]$ зима'!ac911+'[2]$ зима'!ai911+'[2]$ зима'!ao911+'[2]$ зима'!k911</f>
        <v>0</v>
      </c>
      <c r="I911" s="191" t="n">
        <f aca="false">'[2]$ зима'!ay911*1.1</f>
        <v>3542</v>
      </c>
    </row>
    <row r="912" customFormat="false" ht="15" hidden="true" customHeight="false" outlineLevel="0" collapsed="false">
      <c r="A912" s="188" t="s">
        <v>1526</v>
      </c>
      <c r="B912" s="149" t="s">
        <v>601</v>
      </c>
      <c r="C912" s="148" t="s">
        <v>3564</v>
      </c>
      <c r="D912" s="148"/>
      <c r="E912" s="148" t="n">
        <v>94</v>
      </c>
      <c r="F912" s="148" t="s">
        <v>1455</v>
      </c>
      <c r="G912" s="193"/>
      <c r="H912" s="105" t="n">
        <f aca="false">'[2]$ зима'!j912-'[2]$ зима'!au912-'[2]$ зима'!at912-'[2]$ зима'!as912-'[2]$ зима'!ar912-'[2]$ зима'!aq912-'[2]$ зима'!ap912-'[2]$ зима'!an912-'[2]$ зима'!am912-'[2]$ зима'!al912-'[2]$ зима'!ak912-'[2]$ зима'!aj912-'[2]$ зима'!ah912-'[2]$ зима'!ag912-'[2]$ зима'!af912-'[2]$ зима'!ae912-'[2]$ зима'!ad912-'[2]$ зима'!ab912-'[2]$ зима'!aa912-'[2]$ зима'!z912-'[2]$ зима'!y912-'[2]$ зима'!x912-'[2]$ зима'!v912-'[2]$ зима'!u912-'[2]$ зима'!t912-'[2]$ зима'!s912-'[2]$ зима'!r912-'[2]$ зима'!p912-'[2]$ зима'!o912-'[2]$ зима'!n912-'[2]$ зима'!m912-'[2]$ зима'!l912+'[2]$ зима'!q912+'[2]$ зима'!w912+'[2]$ зима'!ac912+'[2]$ зима'!ai912+'[2]$ зима'!ao912+'[2]$ зима'!k912</f>
        <v>0</v>
      </c>
      <c r="I912" s="191" t="n">
        <f aca="false">'[2]$ зима'!ay912*1.1</f>
        <v>4158</v>
      </c>
      <c r="J912" s="171" t="n">
        <v>2017</v>
      </c>
    </row>
    <row r="913" customFormat="false" ht="15" hidden="true" customHeight="false" outlineLevel="0" collapsed="false">
      <c r="A913" s="188" t="s">
        <v>1526</v>
      </c>
      <c r="B913" s="149" t="s">
        <v>557</v>
      </c>
      <c r="C913" s="148" t="s">
        <v>3196</v>
      </c>
      <c r="D913" s="148"/>
      <c r="E913" s="148"/>
      <c r="F913" s="148"/>
      <c r="G913" s="193"/>
      <c r="H913" s="105" t="n">
        <f aca="false">'[2]$ зима'!j913-'[2]$ зима'!au913-'[2]$ зима'!at913-'[2]$ зима'!as913-'[2]$ зима'!ar913-'[2]$ зима'!aq913-'[2]$ зима'!ap913-'[2]$ зима'!an913-'[2]$ зима'!am913-'[2]$ зима'!al913-'[2]$ зима'!ak913-'[2]$ зима'!aj913-'[2]$ зима'!ah913-'[2]$ зима'!ag913-'[2]$ зима'!af913-'[2]$ зима'!ae913-'[2]$ зима'!ad913-'[2]$ зима'!ab913-'[2]$ зима'!aa913-'[2]$ зима'!z913-'[2]$ зима'!y913-'[2]$ зима'!x913-'[2]$ зима'!v913-'[2]$ зима'!u913-'[2]$ зима'!t913-'[2]$ зима'!s913-'[2]$ зима'!r913-'[2]$ зима'!p913-'[2]$ зима'!o913-'[2]$ зима'!n913-'[2]$ зима'!m913-'[2]$ зима'!l913+'[2]$ зима'!q913+'[2]$ зима'!w913+'[2]$ зима'!ac913+'[2]$ зима'!ai913+'[2]$ зима'!ao913+'[2]$ зима'!k913</f>
        <v>0</v>
      </c>
      <c r="I913" s="191" t="n">
        <f aca="false">'[2]$ зима'!ay913*1.1</f>
        <v>2156</v>
      </c>
    </row>
    <row r="914" customFormat="false" ht="15" hidden="false" customHeight="false" outlineLevel="0" collapsed="false">
      <c r="A914" s="188" t="s">
        <v>1526</v>
      </c>
      <c r="B914" s="149" t="s">
        <v>3484</v>
      </c>
      <c r="C914" s="148" t="s">
        <v>3565</v>
      </c>
      <c r="D914" s="148"/>
      <c r="E914" s="192" t="n">
        <v>98</v>
      </c>
      <c r="F914" s="192" t="s">
        <v>970</v>
      </c>
      <c r="G914" s="193" t="s">
        <v>520</v>
      </c>
      <c r="H914" s="105" t="n">
        <f aca="false">'[2]$ зима'!j914-'[2]$ зима'!au914-'[2]$ зима'!at914-'[2]$ зима'!as914-'[2]$ зима'!ar914-'[2]$ зима'!aq914-'[2]$ зима'!ap914-'[2]$ зима'!an914-'[2]$ зима'!am914-'[2]$ зима'!al914-'[2]$ зима'!ak914-'[2]$ зима'!aj914-'[2]$ зима'!ah914-'[2]$ зима'!ag914-'[2]$ зима'!af914-'[2]$ зима'!ae914-'[2]$ зима'!ad914-'[2]$ зима'!ab914-'[2]$ зима'!aa914-'[2]$ зима'!z914-'[2]$ зима'!y914-'[2]$ зима'!x914-'[2]$ зима'!v914-'[2]$ зима'!u914-'[2]$ зима'!t914-'[2]$ зима'!s914-'[2]$ зима'!r914-'[2]$ зима'!p914-'[2]$ зима'!o914-'[2]$ зима'!n914-'[2]$ зима'!m914-'[2]$ зима'!l914+'[2]$ зима'!q914+'[2]$ зима'!w914+'[2]$ зима'!ac914+'[2]$ зима'!ai914+'[2]$ зима'!ao914+'[2]$ зима'!k914</f>
        <v>4</v>
      </c>
      <c r="I914" s="191" t="n">
        <f aca="false">'[2]$ зима'!ay914*1.1</f>
        <v>1694</v>
      </c>
      <c r="J914" s="171" t="n">
        <v>2018</v>
      </c>
    </row>
    <row r="915" customFormat="false" ht="15" hidden="false" customHeight="false" outlineLevel="0" collapsed="false">
      <c r="A915" s="188" t="s">
        <v>1526</v>
      </c>
      <c r="B915" s="149" t="s">
        <v>744</v>
      </c>
      <c r="C915" s="148" t="s">
        <v>3566</v>
      </c>
      <c r="D915" s="148"/>
      <c r="E915" s="192" t="n">
        <v>98</v>
      </c>
      <c r="F915" s="192" t="s">
        <v>814</v>
      </c>
      <c r="G915" s="193"/>
      <c r="H915" s="105" t="n">
        <f aca="false">'[2]$ зима'!j915-'[2]$ зима'!au915-'[2]$ зима'!at915-'[2]$ зима'!as915-'[2]$ зима'!ar915-'[2]$ зима'!aq915-'[2]$ зима'!ap915-'[2]$ зима'!an915-'[2]$ зима'!am915-'[2]$ зима'!al915-'[2]$ зима'!ak915-'[2]$ зима'!aj915-'[2]$ зима'!ah915-'[2]$ зима'!ag915-'[2]$ зима'!af915-'[2]$ зима'!ae915-'[2]$ зима'!ad915-'[2]$ зима'!ab915-'[2]$ зима'!aa915-'[2]$ зима'!z915-'[2]$ зима'!y915-'[2]$ зима'!x915-'[2]$ зима'!v915-'[2]$ зима'!u915-'[2]$ зима'!t915-'[2]$ зима'!s915-'[2]$ зима'!r915-'[2]$ зима'!p915-'[2]$ зима'!o915-'[2]$ зима'!n915-'[2]$ зима'!m915-'[2]$ зима'!l915+'[2]$ зима'!q915+'[2]$ зима'!w915+'[2]$ зима'!ac915+'[2]$ зима'!ai915+'[2]$ зима'!ao915+'[2]$ зима'!k915</f>
        <v>4</v>
      </c>
      <c r="I915" s="191" t="n">
        <f aca="false">'[2]$ зима'!ay915*1.1</f>
        <v>2525.6</v>
      </c>
      <c r="J915" s="171" t="n">
        <v>2017</v>
      </c>
    </row>
    <row r="916" customFormat="false" ht="15" hidden="true" customHeight="false" outlineLevel="0" collapsed="false">
      <c r="A916" s="188" t="s">
        <v>1526</v>
      </c>
      <c r="B916" s="149" t="s">
        <v>948</v>
      </c>
      <c r="C916" s="148" t="s">
        <v>3567</v>
      </c>
      <c r="D916" s="148"/>
      <c r="E916" s="148"/>
      <c r="F916" s="148"/>
      <c r="G916" s="193"/>
      <c r="H916" s="105" t="n">
        <f aca="false">'[2]$ зима'!j916-'[2]$ зима'!au916-'[2]$ зима'!at916-'[2]$ зима'!as916-'[2]$ зима'!ar916-'[2]$ зима'!aq916-'[2]$ зима'!ap916-'[2]$ зима'!an916-'[2]$ зима'!am916-'[2]$ зима'!al916-'[2]$ зима'!ak916-'[2]$ зима'!aj916-'[2]$ зима'!ah916-'[2]$ зима'!ag916-'[2]$ зима'!af916-'[2]$ зима'!ae916-'[2]$ зима'!ad916-'[2]$ зима'!ab916-'[2]$ зима'!aa916-'[2]$ зима'!z916-'[2]$ зима'!y916-'[2]$ зима'!x916-'[2]$ зима'!v916-'[2]$ зима'!u916-'[2]$ зима'!t916-'[2]$ зима'!s916-'[2]$ зима'!r916-'[2]$ зима'!p916-'[2]$ зима'!o916-'[2]$ зима'!n916-'[2]$ зима'!m916-'[2]$ зима'!l916+'[2]$ зима'!q916+'[2]$ зима'!w916+'[2]$ зима'!ac916+'[2]$ зима'!ai916+'[2]$ зима'!ao916+'[2]$ зима'!k916</f>
        <v>0</v>
      </c>
      <c r="I916" s="191" t="n">
        <f aca="false">'[2]$ зима'!ay916*1.1</f>
        <v>3080</v>
      </c>
    </row>
    <row r="917" customFormat="false" ht="15" hidden="true" customHeight="false" outlineLevel="0" collapsed="false">
      <c r="A917" s="188" t="s">
        <v>1526</v>
      </c>
      <c r="B917" s="149" t="s">
        <v>606</v>
      </c>
      <c r="C917" s="148" t="s">
        <v>3568</v>
      </c>
      <c r="D917" s="148"/>
      <c r="E917" s="148" t="n">
        <v>98</v>
      </c>
      <c r="F917" s="148" t="s">
        <v>814</v>
      </c>
      <c r="G917" s="193"/>
      <c r="H917" s="105" t="n">
        <f aca="false">'[2]$ зима'!j917-'[2]$ зима'!au917-'[2]$ зима'!at917-'[2]$ зима'!as917-'[2]$ зима'!ar917-'[2]$ зима'!aq917-'[2]$ зима'!ap917-'[2]$ зима'!an917-'[2]$ зима'!am917-'[2]$ зима'!al917-'[2]$ зима'!ak917-'[2]$ зима'!aj917-'[2]$ зима'!ah917-'[2]$ зима'!ag917-'[2]$ зима'!af917-'[2]$ зима'!ae917-'[2]$ зима'!ad917-'[2]$ зима'!ab917-'[2]$ зима'!aa917-'[2]$ зима'!z917-'[2]$ зима'!y917-'[2]$ зима'!x917-'[2]$ зима'!v917-'[2]$ зима'!u917-'[2]$ зима'!t917-'[2]$ зима'!s917-'[2]$ зима'!r917-'[2]$ зима'!p917-'[2]$ зима'!o917-'[2]$ зима'!n917-'[2]$ зима'!m917-'[2]$ зима'!l917+'[2]$ зима'!q917+'[2]$ зима'!w917+'[2]$ зима'!ac917+'[2]$ зима'!ai917+'[2]$ зима'!ao917+'[2]$ зима'!k917</f>
        <v>0</v>
      </c>
      <c r="I917" s="191" t="n">
        <f aca="false">'[2]$ зима'!ay917*1.1</f>
        <v>2464</v>
      </c>
    </row>
    <row r="918" customFormat="false" ht="15" hidden="false" customHeight="false" outlineLevel="0" collapsed="false">
      <c r="A918" s="188" t="s">
        <v>1526</v>
      </c>
      <c r="B918" s="149" t="s">
        <v>606</v>
      </c>
      <c r="C918" s="148" t="s">
        <v>3245</v>
      </c>
      <c r="D918" s="148"/>
      <c r="E918" s="192" t="n">
        <v>98</v>
      </c>
      <c r="F918" s="192" t="s">
        <v>3216</v>
      </c>
      <c r="G918" s="193" t="s">
        <v>609</v>
      </c>
      <c r="H918" s="105" t="n">
        <f aca="false">'[2]$ зима'!j918-'[2]$ зима'!au918-'[2]$ зима'!at918-'[2]$ зима'!as918-'[2]$ зима'!ar918-'[2]$ зима'!aq918-'[2]$ зима'!ap918-'[2]$ зима'!an918-'[2]$ зима'!am918-'[2]$ зима'!al918-'[2]$ зима'!ak918-'[2]$ зима'!aj918-'[2]$ зима'!ah918-'[2]$ зима'!ag918-'[2]$ зима'!af918-'[2]$ зима'!ae918-'[2]$ зима'!ad918-'[2]$ зима'!ab918-'[2]$ зима'!aa918-'[2]$ зима'!z918-'[2]$ зима'!y918-'[2]$ зима'!x918-'[2]$ зима'!v918-'[2]$ зима'!u918-'[2]$ зима'!t918-'[2]$ зима'!s918-'[2]$ зима'!r918-'[2]$ зима'!p918-'[2]$ зима'!o918-'[2]$ зима'!n918-'[2]$ зима'!m918-'[2]$ зима'!l918+'[2]$ зима'!q918+'[2]$ зима'!w918+'[2]$ зима'!ac918+'[2]$ зима'!ai918+'[2]$ зима'!ao918+'[2]$ зима'!k918</f>
        <v>8</v>
      </c>
      <c r="I918" s="191" t="n">
        <f aca="false">'[2]$ зима'!ay918*1.1</f>
        <v>2648.8</v>
      </c>
      <c r="J918" s="171" t="n">
        <v>2018</v>
      </c>
    </row>
    <row r="919" customFormat="false" ht="15" hidden="false" customHeight="false" outlineLevel="0" collapsed="false">
      <c r="A919" s="188" t="s">
        <v>1526</v>
      </c>
      <c r="B919" s="149" t="s">
        <v>606</v>
      </c>
      <c r="C919" s="148" t="s">
        <v>3231</v>
      </c>
      <c r="D919" s="148"/>
      <c r="E919" s="192" t="n">
        <v>98</v>
      </c>
      <c r="F919" s="192" t="s">
        <v>562</v>
      </c>
      <c r="G919" s="193" t="s">
        <v>609</v>
      </c>
      <c r="H919" s="105" t="n">
        <f aca="false">'[2]$ зима'!j919-'[2]$ зима'!au919-'[2]$ зима'!at919-'[2]$ зима'!as919-'[2]$ зима'!ar919-'[2]$ зима'!aq919-'[2]$ зима'!ap919-'[2]$ зима'!an919-'[2]$ зима'!am919-'[2]$ зима'!al919-'[2]$ зима'!ak919-'[2]$ зима'!aj919-'[2]$ зима'!ah919-'[2]$ зима'!ag919-'[2]$ зима'!af919-'[2]$ зима'!ae919-'[2]$ зима'!ad919-'[2]$ зима'!ab919-'[2]$ зима'!aa919-'[2]$ зима'!z919-'[2]$ зима'!y919-'[2]$ зима'!x919-'[2]$ зима'!v919-'[2]$ зима'!u919-'[2]$ зима'!t919-'[2]$ зима'!s919-'[2]$ зима'!r919-'[2]$ зима'!p919-'[2]$ зима'!o919-'[2]$ зима'!n919-'[2]$ зима'!m919-'[2]$ зима'!l919+'[2]$ зима'!q919+'[2]$ зима'!w919+'[2]$ зима'!ac919+'[2]$ зима'!ai919+'[2]$ зима'!ao919+'[2]$ зима'!k919</f>
        <v>8</v>
      </c>
      <c r="I919" s="191" t="n">
        <f aca="false">'[2]$ зима'!ay919*1.1</f>
        <v>2587.2</v>
      </c>
      <c r="J919" s="171" t="n">
        <v>2018</v>
      </c>
    </row>
    <row r="920" customFormat="false" ht="15" hidden="true" customHeight="false" outlineLevel="0" collapsed="false">
      <c r="A920" s="188" t="s">
        <v>1526</v>
      </c>
      <c r="B920" s="149" t="s">
        <v>572</v>
      </c>
      <c r="C920" s="148" t="s">
        <v>3198</v>
      </c>
      <c r="D920" s="148"/>
      <c r="E920" s="148"/>
      <c r="F920" s="148"/>
      <c r="G920" s="193"/>
      <c r="H920" s="105" t="n">
        <f aca="false">'[2]$ зима'!j920-'[2]$ зима'!au920-'[2]$ зима'!at920-'[2]$ зима'!as920-'[2]$ зима'!ar920-'[2]$ зима'!aq920-'[2]$ зима'!ap920-'[2]$ зима'!an920-'[2]$ зима'!am920-'[2]$ зима'!al920-'[2]$ зима'!ak920-'[2]$ зима'!aj920-'[2]$ зима'!ah920-'[2]$ зима'!ag920-'[2]$ зима'!af920-'[2]$ зима'!ae920-'[2]$ зима'!ad920-'[2]$ зима'!ab920-'[2]$ зима'!aa920-'[2]$ зима'!z920-'[2]$ зима'!y920-'[2]$ зима'!x920-'[2]$ зима'!v920-'[2]$ зима'!u920-'[2]$ зима'!t920-'[2]$ зима'!s920-'[2]$ зима'!r920-'[2]$ зима'!p920-'[2]$ зима'!o920-'[2]$ зима'!n920-'[2]$ зима'!m920-'[2]$ зима'!l920+'[2]$ зима'!q920+'[2]$ зима'!w920+'[2]$ зима'!ac920+'[2]$ зима'!ai920+'[2]$ зима'!ao920+'[2]$ зима'!k920</f>
        <v>0</v>
      </c>
      <c r="I920" s="191" t="n">
        <f aca="false">'[2]$ зима'!ay920*1.1</f>
        <v>1848</v>
      </c>
    </row>
    <row r="921" customFormat="false" ht="15" hidden="false" customHeight="false" outlineLevel="0" collapsed="false">
      <c r="A921" s="188" t="s">
        <v>1526</v>
      </c>
      <c r="B921" s="149" t="s">
        <v>668</v>
      </c>
      <c r="C921" s="194" t="s">
        <v>3182</v>
      </c>
      <c r="D921" s="148"/>
      <c r="E921" s="148"/>
      <c r="F921" s="192"/>
      <c r="G921" s="193" t="s">
        <v>609</v>
      </c>
      <c r="H921" s="105" t="n">
        <f aca="false">'[2]$ зима'!j921-'[2]$ зима'!au921-'[2]$ зима'!at921-'[2]$ зима'!as921-'[2]$ зима'!ar921-'[2]$ зима'!aq921-'[2]$ зима'!ap921-'[2]$ зима'!an921-'[2]$ зима'!am921-'[2]$ зима'!al921-'[2]$ зима'!ak921-'[2]$ зима'!aj921-'[2]$ зима'!ah921-'[2]$ зима'!ag921-'[2]$ зима'!af921-'[2]$ зима'!ae921-'[2]$ зима'!ad921-'[2]$ зима'!ab921-'[2]$ зима'!aa921-'[2]$ зима'!z921-'[2]$ зима'!y921-'[2]$ зима'!x921-'[2]$ зима'!v921-'[2]$ зима'!u921-'[2]$ зима'!t921-'[2]$ зима'!s921-'[2]$ зима'!r921-'[2]$ зима'!p921-'[2]$ зима'!o921-'[2]$ зима'!n921-'[2]$ зима'!m921-'[2]$ зима'!l921+'[2]$ зима'!q921+'[2]$ зима'!w921+'[2]$ зима'!ac921+'[2]$ зима'!ai921+'[2]$ зима'!ao921+'[2]$ зима'!k921</f>
        <v>8</v>
      </c>
      <c r="I921" s="191" t="n">
        <f aca="false">'[2]$ зима'!ay921*1.1</f>
        <v>2464</v>
      </c>
      <c r="J921" s="171" t="n">
        <v>2018</v>
      </c>
    </row>
    <row r="922" customFormat="false" ht="15" hidden="true" customHeight="false" outlineLevel="0" collapsed="false">
      <c r="A922" s="188" t="s">
        <v>1526</v>
      </c>
      <c r="B922" s="149" t="s">
        <v>668</v>
      </c>
      <c r="C922" s="148" t="s">
        <v>3569</v>
      </c>
      <c r="D922" s="148"/>
      <c r="E922" s="148"/>
      <c r="F922" s="148"/>
      <c r="G922" s="193"/>
      <c r="H922" s="105" t="n">
        <f aca="false">'[2]$ зима'!j922-'[2]$ зима'!au922-'[2]$ зима'!at922-'[2]$ зима'!as922-'[2]$ зима'!ar922-'[2]$ зима'!aq922-'[2]$ зима'!ap922-'[2]$ зима'!an922-'[2]$ зима'!am922-'[2]$ зима'!al922-'[2]$ зима'!ak922-'[2]$ зима'!aj922-'[2]$ зима'!ah922-'[2]$ зима'!ag922-'[2]$ зима'!af922-'[2]$ зима'!ae922-'[2]$ зима'!ad922-'[2]$ зима'!ab922-'[2]$ зима'!aa922-'[2]$ зима'!z922-'[2]$ зима'!y922-'[2]$ зима'!x922-'[2]$ зима'!v922-'[2]$ зима'!u922-'[2]$ зима'!t922-'[2]$ зима'!s922-'[2]$ зима'!r922-'[2]$ зима'!p922-'[2]$ зима'!o922-'[2]$ зима'!n922-'[2]$ зима'!m922-'[2]$ зима'!l922+'[2]$ зима'!q922+'[2]$ зима'!w922+'[2]$ зима'!ac922+'[2]$ зима'!ai922+'[2]$ зима'!ao922+'[2]$ зима'!k922</f>
        <v>0</v>
      </c>
      <c r="I922" s="191" t="n">
        <f aca="false">'[2]$ зима'!ay922*1.1</f>
        <v>2556.4</v>
      </c>
    </row>
    <row r="923" customFormat="false" ht="15" hidden="true" customHeight="false" outlineLevel="0" collapsed="false">
      <c r="A923" s="188" t="s">
        <v>1526</v>
      </c>
      <c r="B923" s="149" t="s">
        <v>577</v>
      </c>
      <c r="C923" s="148" t="s">
        <v>3570</v>
      </c>
      <c r="D923" s="148"/>
      <c r="E923" s="148" t="n">
        <v>98</v>
      </c>
      <c r="F923" s="148" t="s">
        <v>3216</v>
      </c>
      <c r="G923" s="193" t="s">
        <v>563</v>
      </c>
      <c r="H923" s="105" t="n">
        <f aca="false">'[2]$ зима'!j923-'[2]$ зима'!au923-'[2]$ зима'!at923-'[2]$ зима'!as923-'[2]$ зима'!ar923-'[2]$ зима'!aq923-'[2]$ зима'!ap923-'[2]$ зима'!an923-'[2]$ зима'!am923-'[2]$ зима'!al923-'[2]$ зима'!ak923-'[2]$ зима'!aj923-'[2]$ зима'!ah923-'[2]$ зима'!ag923-'[2]$ зима'!af923-'[2]$ зима'!ae923-'[2]$ зима'!ad923-'[2]$ зима'!ab923-'[2]$ зима'!aa923-'[2]$ зима'!z923-'[2]$ зима'!y923-'[2]$ зима'!x923-'[2]$ зима'!v923-'[2]$ зима'!u923-'[2]$ зима'!t923-'[2]$ зима'!s923-'[2]$ зима'!r923-'[2]$ зима'!p923-'[2]$ зима'!o923-'[2]$ зима'!n923-'[2]$ зима'!m923-'[2]$ зима'!l923+'[2]$ зима'!q923+'[2]$ зима'!w923+'[2]$ зима'!ac923+'[2]$ зима'!ai923+'[2]$ зима'!ao923+'[2]$ зима'!k923</f>
        <v>0</v>
      </c>
      <c r="I923" s="191" t="n">
        <f aca="false">'[2]$ зима'!ay923*1.1</f>
        <v>2094.4</v>
      </c>
      <c r="J923" s="171" t="n">
        <v>2017</v>
      </c>
    </row>
    <row r="924" customFormat="false" ht="15" hidden="false" customHeight="false" outlineLevel="0" collapsed="false">
      <c r="A924" s="188" t="s">
        <v>1526</v>
      </c>
      <c r="B924" s="149" t="s">
        <v>593</v>
      </c>
      <c r="C924" s="148" t="s">
        <v>3236</v>
      </c>
      <c r="D924" s="148"/>
      <c r="E924" s="192" t="n">
        <v>98</v>
      </c>
      <c r="F924" s="192" t="s">
        <v>814</v>
      </c>
      <c r="G924" s="193" t="s">
        <v>911</v>
      </c>
      <c r="H924" s="105" t="n">
        <f aca="false">'[2]$ зима'!j924-'[2]$ зима'!au924-'[2]$ зима'!at924-'[2]$ зима'!as924-'[2]$ зима'!ar924-'[2]$ зима'!aq924-'[2]$ зима'!ap924-'[2]$ зима'!an924-'[2]$ зима'!am924-'[2]$ зима'!al924-'[2]$ зима'!ak924-'[2]$ зима'!aj924-'[2]$ зима'!ah924-'[2]$ зима'!ag924-'[2]$ зима'!af924-'[2]$ зима'!ae924-'[2]$ зима'!ad924-'[2]$ зима'!ab924-'[2]$ зима'!aa924-'[2]$ зима'!z924-'[2]$ зима'!y924-'[2]$ зима'!x924-'[2]$ зима'!v924-'[2]$ зима'!u924-'[2]$ зима'!t924-'[2]$ зима'!s924-'[2]$ зима'!r924-'[2]$ зима'!p924-'[2]$ зима'!o924-'[2]$ зима'!n924-'[2]$ зима'!m924-'[2]$ зима'!l924+'[2]$ зима'!q924+'[2]$ зима'!w924+'[2]$ зима'!ac924+'[2]$ зима'!ai924+'[2]$ зима'!ao924+'[2]$ зима'!k924</f>
        <v>2</v>
      </c>
      <c r="I924" s="191" t="n">
        <f aca="false">'[2]$ зима'!ay924*1.1</f>
        <v>3080</v>
      </c>
      <c r="J924" s="171" t="n">
        <v>2012</v>
      </c>
    </row>
    <row r="925" customFormat="false" ht="15" hidden="true" customHeight="false" outlineLevel="0" collapsed="false">
      <c r="A925" s="188" t="s">
        <v>1526</v>
      </c>
      <c r="B925" s="149" t="s">
        <v>593</v>
      </c>
      <c r="C925" s="148" t="s">
        <v>3571</v>
      </c>
      <c r="D925" s="148"/>
      <c r="E925" s="148" t="n">
        <v>98</v>
      </c>
      <c r="F925" s="148" t="s">
        <v>814</v>
      </c>
      <c r="G925" s="193" t="s">
        <v>868</v>
      </c>
      <c r="H925" s="105" t="n">
        <f aca="false">'[2]$ зима'!j925-'[2]$ зима'!au925-'[2]$ зима'!at925-'[2]$ зима'!as925-'[2]$ зима'!ar925-'[2]$ зима'!aq925-'[2]$ зима'!ap925-'[2]$ зима'!an925-'[2]$ зима'!am925-'[2]$ зима'!al925-'[2]$ зима'!ak925-'[2]$ зима'!aj925-'[2]$ зима'!ah925-'[2]$ зима'!ag925-'[2]$ зима'!af925-'[2]$ зима'!ae925-'[2]$ зима'!ad925-'[2]$ зима'!ab925-'[2]$ зима'!aa925-'[2]$ зима'!z925-'[2]$ зима'!y925-'[2]$ зима'!x925-'[2]$ зима'!v925-'[2]$ зима'!u925-'[2]$ зима'!t925-'[2]$ зима'!s925-'[2]$ зима'!r925-'[2]$ зима'!p925-'[2]$ зима'!o925-'[2]$ зима'!n925-'[2]$ зима'!m925-'[2]$ зима'!l925+'[2]$ зима'!q925+'[2]$ зима'!w925+'[2]$ зима'!ac925+'[2]$ зима'!ai925+'[2]$ зима'!ao925+'[2]$ зима'!k925</f>
        <v>0</v>
      </c>
      <c r="I925" s="191" t="n">
        <f aca="false">'[2]$ зима'!ay925*1.1</f>
        <v>4004</v>
      </c>
    </row>
    <row r="926" customFormat="false" ht="15" hidden="false" customHeight="false" outlineLevel="0" collapsed="false">
      <c r="A926" s="188" t="s">
        <v>1526</v>
      </c>
      <c r="B926" s="149" t="s">
        <v>593</v>
      </c>
      <c r="C926" s="148" t="s">
        <v>3324</v>
      </c>
      <c r="D926" s="148"/>
      <c r="E926" s="192" t="n">
        <v>98</v>
      </c>
      <c r="F926" s="192" t="s">
        <v>832</v>
      </c>
      <c r="G926" s="193" t="s">
        <v>847</v>
      </c>
      <c r="H926" s="105" t="n">
        <f aca="false">'[2]$ зима'!j926-'[2]$ зима'!au926-'[2]$ зима'!at926-'[2]$ зима'!as926-'[2]$ зима'!ar926-'[2]$ зима'!aq926-'[2]$ зима'!ap926-'[2]$ зима'!an926-'[2]$ зима'!am926-'[2]$ зима'!al926-'[2]$ зима'!ak926-'[2]$ зима'!aj926-'[2]$ зима'!ah926-'[2]$ зима'!ag926-'[2]$ зима'!af926-'[2]$ зима'!ae926-'[2]$ зима'!ad926-'[2]$ зима'!ab926-'[2]$ зима'!aa926-'[2]$ зима'!z926-'[2]$ зима'!y926-'[2]$ зима'!x926-'[2]$ зима'!v926-'[2]$ зима'!u926-'[2]$ зима'!t926-'[2]$ зима'!s926-'[2]$ зима'!r926-'[2]$ зима'!p926-'[2]$ зима'!o926-'[2]$ зима'!n926-'[2]$ зима'!m926-'[2]$ зима'!l926+'[2]$ зима'!q926+'[2]$ зима'!w926+'[2]$ зима'!ac926+'[2]$ зима'!ai926+'[2]$ зима'!ao926+'[2]$ зима'!k926</f>
        <v>8</v>
      </c>
      <c r="I926" s="191" t="n">
        <f aca="false">'[2]$ зима'!ay926*1.1</f>
        <v>3850</v>
      </c>
      <c r="J926" s="171" t="n">
        <v>2017</v>
      </c>
    </row>
    <row r="927" customFormat="false" ht="15" hidden="false" customHeight="false" outlineLevel="0" collapsed="false">
      <c r="A927" s="217" t="s">
        <v>1526</v>
      </c>
      <c r="B927" s="157" t="s">
        <v>593</v>
      </c>
      <c r="C927" s="158" t="s">
        <v>3324</v>
      </c>
      <c r="D927" s="158"/>
      <c r="E927" s="192" t="n">
        <v>98</v>
      </c>
      <c r="F927" s="192" t="s">
        <v>832</v>
      </c>
      <c r="G927" s="218"/>
      <c r="H927" s="105" t="n">
        <f aca="false">'[2]$ зима'!j927-'[2]$ зима'!au927-'[2]$ зима'!at927-'[2]$ зима'!as927-'[2]$ зима'!ar927-'[2]$ зима'!aq927-'[2]$ зима'!ap927-'[2]$ зима'!an927-'[2]$ зима'!am927-'[2]$ зима'!al927-'[2]$ зима'!ak927-'[2]$ зима'!aj927-'[2]$ зима'!ah927-'[2]$ зима'!ag927-'[2]$ зима'!af927-'[2]$ зима'!ae927-'[2]$ зима'!ad927-'[2]$ зима'!ab927-'[2]$ зима'!aa927-'[2]$ зима'!z927-'[2]$ зима'!y927-'[2]$ зима'!x927-'[2]$ зима'!v927-'[2]$ зима'!u927-'[2]$ зима'!t927-'[2]$ зима'!s927-'[2]$ зима'!r927-'[2]$ зима'!p927-'[2]$ зима'!o927-'[2]$ зима'!n927-'[2]$ зима'!m927-'[2]$ зима'!l927+'[2]$ зима'!q927+'[2]$ зима'!w927+'[2]$ зима'!ac927+'[2]$ зима'!ai927+'[2]$ зима'!ao927+'[2]$ зима'!k927</f>
        <v>2</v>
      </c>
      <c r="I927" s="219"/>
    </row>
    <row r="928" customFormat="false" ht="15" hidden="true" customHeight="false" outlineLevel="0" collapsed="false">
      <c r="A928" s="188" t="s">
        <v>1526</v>
      </c>
      <c r="B928" s="149" t="s">
        <v>3142</v>
      </c>
      <c r="C928" s="148" t="s">
        <v>3274</v>
      </c>
      <c r="D928" s="148" t="s">
        <v>3127</v>
      </c>
      <c r="E928" s="148"/>
      <c r="F928" s="148"/>
      <c r="G928" s="193"/>
      <c r="H928" s="105" t="n">
        <f aca="false">'[2]$ зима'!j928-'[2]$ зима'!au928-'[2]$ зима'!at928-'[2]$ зима'!as928-'[2]$ зима'!ar928-'[2]$ зима'!aq928-'[2]$ зима'!ap928-'[2]$ зима'!an928-'[2]$ зима'!am928-'[2]$ зима'!al928-'[2]$ зима'!ak928-'[2]$ зима'!aj928-'[2]$ зима'!ah928-'[2]$ зима'!ag928-'[2]$ зима'!af928-'[2]$ зима'!ae928-'[2]$ зима'!ad928-'[2]$ зима'!ab928-'[2]$ зима'!aa928-'[2]$ зима'!z928-'[2]$ зима'!y928-'[2]$ зима'!x928-'[2]$ зима'!v928-'[2]$ зима'!u928-'[2]$ зима'!t928-'[2]$ зима'!s928-'[2]$ зима'!r928-'[2]$ зима'!p928-'[2]$ зима'!o928-'[2]$ зима'!n928-'[2]$ зима'!m928-'[2]$ зима'!l928+'[2]$ зима'!q928+'[2]$ зима'!w928+'[2]$ зима'!ac928+'[2]$ зима'!ai928+'[2]$ зима'!ao928+'[2]$ зима'!k928</f>
        <v>0</v>
      </c>
      <c r="I928" s="191" t="n">
        <f aca="false">'[2]$ зима'!ay928*1.1</f>
        <v>2217.6</v>
      </c>
    </row>
    <row r="929" customFormat="false" ht="15" hidden="false" customHeight="false" outlineLevel="0" collapsed="false">
      <c r="A929" s="188" t="s">
        <v>1526</v>
      </c>
      <c r="B929" s="149" t="s">
        <v>762</v>
      </c>
      <c r="C929" s="148" t="s">
        <v>3261</v>
      </c>
      <c r="D929" s="148"/>
      <c r="E929" s="192" t="n">
        <v>98</v>
      </c>
      <c r="F929" s="192" t="s">
        <v>970</v>
      </c>
      <c r="G929" s="193" t="s">
        <v>933</v>
      </c>
      <c r="H929" s="105" t="n">
        <f aca="false">'[2]$ зима'!j929-'[2]$ зима'!au929-'[2]$ зима'!at929-'[2]$ зима'!as929-'[2]$ зима'!ar929-'[2]$ зима'!aq929-'[2]$ зима'!ap929-'[2]$ зима'!an929-'[2]$ зима'!am929-'[2]$ зима'!al929-'[2]$ зима'!ak929-'[2]$ зима'!aj929-'[2]$ зима'!ah929-'[2]$ зима'!ag929-'[2]$ зима'!af929-'[2]$ зима'!ae929-'[2]$ зима'!ad929-'[2]$ зима'!ab929-'[2]$ зима'!aa929-'[2]$ зима'!z929-'[2]$ зима'!y929-'[2]$ зима'!x929-'[2]$ зима'!v929-'[2]$ зима'!u929-'[2]$ зима'!t929-'[2]$ зима'!s929-'[2]$ зима'!r929-'[2]$ зима'!p929-'[2]$ зима'!o929-'[2]$ зима'!n929-'[2]$ зима'!m929-'[2]$ зима'!l929+'[2]$ зима'!q929+'[2]$ зима'!w929+'[2]$ зима'!ac929+'[2]$ зима'!ai929+'[2]$ зима'!ao929+'[2]$ зима'!k929</f>
        <v>2</v>
      </c>
      <c r="I929" s="191" t="n">
        <f aca="false">'[2]$ зима'!ay929*1.1</f>
        <v>1940.4</v>
      </c>
    </row>
    <row r="930" customFormat="false" ht="15" hidden="false" customHeight="false" outlineLevel="0" collapsed="false">
      <c r="A930" s="188" t="s">
        <v>1526</v>
      </c>
      <c r="B930" s="149" t="s">
        <v>617</v>
      </c>
      <c r="C930" s="148" t="s">
        <v>3171</v>
      </c>
      <c r="D930" s="148"/>
      <c r="E930" s="192"/>
      <c r="F930" s="192"/>
      <c r="G930" s="193"/>
      <c r="H930" s="105" t="n">
        <f aca="false">'[2]$ зима'!j930-'[2]$ зима'!au930-'[2]$ зима'!at930-'[2]$ зима'!as930-'[2]$ зима'!ar930-'[2]$ зима'!aq930-'[2]$ зима'!ap930-'[2]$ зима'!an930-'[2]$ зима'!am930-'[2]$ зима'!al930-'[2]$ зима'!ak930-'[2]$ зима'!aj930-'[2]$ зима'!ah930-'[2]$ зима'!ag930-'[2]$ зима'!af930-'[2]$ зима'!ae930-'[2]$ зима'!ad930-'[2]$ зима'!ab930-'[2]$ зима'!aa930-'[2]$ зима'!z930-'[2]$ зима'!y930-'[2]$ зима'!x930-'[2]$ зима'!v930-'[2]$ зима'!u930-'[2]$ зима'!t930-'[2]$ зима'!s930-'[2]$ зима'!r930-'[2]$ зима'!p930-'[2]$ зима'!o930-'[2]$ зима'!n930-'[2]$ зима'!m930-'[2]$ зима'!l930+'[2]$ зима'!q930+'[2]$ зима'!w930+'[2]$ зима'!ac930+'[2]$ зима'!ai930+'[2]$ зима'!ao930+'[2]$ зима'!k930</f>
        <v>3</v>
      </c>
      <c r="I930" s="191" t="n">
        <f aca="false">'[2]$ зима'!ay930*1.1</f>
        <v>1848</v>
      </c>
    </row>
    <row r="931" customFormat="false" ht="15" hidden="false" customHeight="false" outlineLevel="0" collapsed="false">
      <c r="A931" s="188" t="s">
        <v>1526</v>
      </c>
      <c r="B931" s="149" t="s">
        <v>677</v>
      </c>
      <c r="C931" s="148" t="s">
        <v>3347</v>
      </c>
      <c r="D931" s="148"/>
      <c r="E931" s="192"/>
      <c r="F931" s="192" t="s">
        <v>3286</v>
      </c>
      <c r="G931" s="193"/>
      <c r="H931" s="105" t="n">
        <f aca="false">'[2]$ зима'!j931-'[2]$ зима'!au931-'[2]$ зима'!at931-'[2]$ зима'!as931-'[2]$ зима'!ar931-'[2]$ зима'!aq931-'[2]$ зима'!ap931-'[2]$ зима'!an931-'[2]$ зима'!am931-'[2]$ зима'!al931-'[2]$ зима'!ak931-'[2]$ зима'!aj931-'[2]$ зима'!ah931-'[2]$ зима'!ag931-'[2]$ зима'!af931-'[2]$ зима'!ae931-'[2]$ зима'!ad931-'[2]$ зима'!ab931-'[2]$ зима'!aa931-'[2]$ зима'!z931-'[2]$ зима'!y931-'[2]$ зима'!x931-'[2]$ зима'!v931-'[2]$ зима'!u931-'[2]$ зима'!t931-'[2]$ зима'!s931-'[2]$ зима'!r931-'[2]$ зима'!p931-'[2]$ зима'!o931-'[2]$ зима'!n931-'[2]$ зима'!m931-'[2]$ зима'!l931+'[2]$ зима'!q931+'[2]$ зима'!w931+'[2]$ зима'!ac931+'[2]$ зима'!ai931+'[2]$ зима'!ao931+'[2]$ зима'!k931</f>
        <v>1</v>
      </c>
      <c r="I931" s="191" t="n">
        <f aca="false">'[2]$ зима'!ay931*1.1</f>
        <v>1724.8</v>
      </c>
      <c r="J931" s="171" t="n">
        <v>2017</v>
      </c>
    </row>
    <row r="932" customFormat="false" ht="15" hidden="false" customHeight="false" outlineLevel="0" collapsed="false">
      <c r="A932" s="188" t="s">
        <v>1526</v>
      </c>
      <c r="B932" s="149" t="s">
        <v>621</v>
      </c>
      <c r="C932" s="148" t="s">
        <v>3293</v>
      </c>
      <c r="D932" s="148"/>
      <c r="E932" s="192" t="n">
        <v>98</v>
      </c>
      <c r="F932" s="192" t="s">
        <v>970</v>
      </c>
      <c r="G932" s="193" t="s">
        <v>520</v>
      </c>
      <c r="H932" s="105" t="n">
        <f aca="false">'[2]$ зима'!j932-'[2]$ зима'!au932-'[2]$ зима'!at932-'[2]$ зима'!as932-'[2]$ зима'!ar932-'[2]$ зима'!aq932-'[2]$ зима'!ap932-'[2]$ зима'!an932-'[2]$ зима'!am932-'[2]$ зима'!al932-'[2]$ зима'!ak932-'[2]$ зима'!aj932-'[2]$ зима'!ah932-'[2]$ зима'!ag932-'[2]$ зима'!af932-'[2]$ зима'!ae932-'[2]$ зима'!ad932-'[2]$ зима'!ab932-'[2]$ зима'!aa932-'[2]$ зима'!z932-'[2]$ зима'!y932-'[2]$ зима'!x932-'[2]$ зима'!v932-'[2]$ зима'!u932-'[2]$ зима'!t932-'[2]$ зима'!s932-'[2]$ зима'!r932-'[2]$ зима'!p932-'[2]$ зима'!o932-'[2]$ зима'!n932-'[2]$ зима'!m932-'[2]$ зима'!l932+'[2]$ зима'!q932+'[2]$ зима'!w932+'[2]$ зима'!ac932+'[2]$ зима'!ai932+'[2]$ зима'!ao932+'[2]$ зима'!k932</f>
        <v>4</v>
      </c>
      <c r="I932" s="191" t="n">
        <f aca="false">'[2]$ зима'!ay932*1.1</f>
        <v>1683</v>
      </c>
      <c r="J932" s="171" t="n">
        <v>2018</v>
      </c>
    </row>
    <row r="933" customFormat="false" ht="15" hidden="false" customHeight="false" outlineLevel="0" collapsed="false">
      <c r="A933" s="188" t="s">
        <v>1526</v>
      </c>
      <c r="B933" s="149" t="s">
        <v>589</v>
      </c>
      <c r="C933" s="148" t="s">
        <v>3225</v>
      </c>
      <c r="D933" s="148"/>
      <c r="E933" s="192" t="n">
        <v>94</v>
      </c>
      <c r="F933" s="192" t="s">
        <v>3207</v>
      </c>
      <c r="G933" s="193" t="s">
        <v>626</v>
      </c>
      <c r="H933" s="105" t="n">
        <f aca="false">'[2]$ зима'!j933-'[2]$ зима'!au933-'[2]$ зима'!at933-'[2]$ зима'!as933-'[2]$ зима'!ar933-'[2]$ зима'!aq933-'[2]$ зима'!ap933-'[2]$ зима'!an933-'[2]$ зима'!am933-'[2]$ зима'!al933-'[2]$ зима'!ak933-'[2]$ зима'!aj933-'[2]$ зима'!ah933-'[2]$ зима'!ag933-'[2]$ зима'!af933-'[2]$ зима'!ae933-'[2]$ зима'!ad933-'[2]$ зима'!ab933-'[2]$ зима'!aa933-'[2]$ зима'!z933-'[2]$ зима'!y933-'[2]$ зима'!x933-'[2]$ зима'!v933-'[2]$ зима'!u933-'[2]$ зима'!t933-'[2]$ зима'!s933-'[2]$ зима'!r933-'[2]$ зима'!p933-'[2]$ зима'!o933-'[2]$ зима'!n933-'[2]$ зима'!m933-'[2]$ зима'!l933+'[2]$ зима'!q933+'[2]$ зима'!w933+'[2]$ зима'!ac933+'[2]$ зима'!ai933+'[2]$ зима'!ao933+'[2]$ зима'!k933</f>
        <v>20</v>
      </c>
      <c r="I933" s="191" t="n">
        <f aca="false">'[2]$ зима'!ay933*1.1</f>
        <v>3686.32</v>
      </c>
      <c r="J933" s="171" t="n">
        <v>2018</v>
      </c>
    </row>
    <row r="934" customFormat="false" ht="15" hidden="true" customHeight="false" outlineLevel="0" collapsed="false">
      <c r="A934" s="188" t="s">
        <v>1526</v>
      </c>
      <c r="B934" s="149" t="s">
        <v>589</v>
      </c>
      <c r="C934" s="148" t="s">
        <v>3572</v>
      </c>
      <c r="D934" s="148"/>
      <c r="E934" s="148"/>
      <c r="F934" s="148"/>
      <c r="G934" s="193" t="s">
        <v>626</v>
      </c>
      <c r="H934" s="105" t="n">
        <f aca="false">'[2]$ зима'!j934-'[2]$ зима'!au934-'[2]$ зима'!at934-'[2]$ зима'!as934-'[2]$ зима'!ar934-'[2]$ зима'!aq934-'[2]$ зима'!ap934-'[2]$ зима'!an934-'[2]$ зима'!am934-'[2]$ зима'!al934-'[2]$ зима'!ak934-'[2]$ зима'!aj934-'[2]$ зима'!ah934-'[2]$ зима'!ag934-'[2]$ зима'!af934-'[2]$ зима'!ae934-'[2]$ зима'!ad934-'[2]$ зима'!ab934-'[2]$ зима'!aa934-'[2]$ зима'!z934-'[2]$ зима'!y934-'[2]$ зима'!x934-'[2]$ зима'!v934-'[2]$ зима'!u934-'[2]$ зима'!t934-'[2]$ зима'!s934-'[2]$ зима'!r934-'[2]$ зима'!p934-'[2]$ зима'!o934-'[2]$ зима'!n934-'[2]$ зима'!m934-'[2]$ зима'!l934+'[2]$ зима'!q934+'[2]$ зима'!w934+'[2]$ зима'!ac934+'[2]$ зима'!ai934+'[2]$ зима'!ao934+'[2]$ зима'!k934</f>
        <v>0</v>
      </c>
      <c r="I934" s="191" t="n">
        <f aca="false">'[2]$ зима'!ay934*1.1</f>
        <v>3113</v>
      </c>
    </row>
    <row r="935" customFormat="false" ht="15" hidden="true" customHeight="false" outlineLevel="0" collapsed="false">
      <c r="A935" s="188" t="s">
        <v>1526</v>
      </c>
      <c r="B935" s="149" t="s">
        <v>589</v>
      </c>
      <c r="C935" s="148" t="s">
        <v>3573</v>
      </c>
      <c r="D935" s="148"/>
      <c r="E935" s="148"/>
      <c r="F935" s="148"/>
      <c r="G935" s="193" t="s">
        <v>626</v>
      </c>
      <c r="H935" s="105" t="n">
        <f aca="false">'[2]$ зима'!j935-'[2]$ зима'!au935-'[2]$ зима'!at935-'[2]$ зима'!as935-'[2]$ зима'!ar935-'[2]$ зима'!aq935-'[2]$ зима'!ap935-'[2]$ зима'!an935-'[2]$ зима'!am935-'[2]$ зима'!al935-'[2]$ зима'!ak935-'[2]$ зима'!aj935-'[2]$ зима'!ah935-'[2]$ зима'!ag935-'[2]$ зима'!af935-'[2]$ зима'!ae935-'[2]$ зима'!ad935-'[2]$ зима'!ab935-'[2]$ зима'!aa935-'[2]$ зима'!z935-'[2]$ зима'!y935-'[2]$ зима'!x935-'[2]$ зима'!v935-'[2]$ зима'!u935-'[2]$ зима'!t935-'[2]$ зима'!s935-'[2]$ зима'!r935-'[2]$ зима'!p935-'[2]$ зима'!o935-'[2]$ зима'!n935-'[2]$ зима'!m935-'[2]$ зима'!l935+'[2]$ зима'!q935+'[2]$ зима'!w935+'[2]$ зима'!ac935+'[2]$ зима'!ai935+'[2]$ зима'!ao935+'[2]$ зима'!k935</f>
        <v>0</v>
      </c>
      <c r="I935" s="191" t="n">
        <f aca="false">'[2]$ зима'!ay935*1.1</f>
        <v>3486.56</v>
      </c>
    </row>
    <row r="936" customFormat="false" ht="15" hidden="true" customHeight="false" outlineLevel="0" collapsed="false">
      <c r="A936" s="188" t="s">
        <v>1526</v>
      </c>
      <c r="B936" s="149" t="s">
        <v>564</v>
      </c>
      <c r="C936" s="148" t="s">
        <v>3574</v>
      </c>
      <c r="D936" s="148"/>
      <c r="E936" s="148"/>
      <c r="F936" s="148"/>
      <c r="G936" s="193"/>
      <c r="H936" s="105" t="n">
        <f aca="false">'[2]$ зима'!j936-'[2]$ зима'!au936-'[2]$ зима'!at936-'[2]$ зима'!as936-'[2]$ зима'!ar936-'[2]$ зима'!aq936-'[2]$ зима'!ap936-'[2]$ зима'!an936-'[2]$ зима'!am936-'[2]$ зима'!al936-'[2]$ зима'!ak936-'[2]$ зима'!aj936-'[2]$ зима'!ah936-'[2]$ зима'!ag936-'[2]$ зима'!af936-'[2]$ зима'!ae936-'[2]$ зима'!ad936-'[2]$ зима'!ab936-'[2]$ зима'!aa936-'[2]$ зима'!z936-'[2]$ зима'!y936-'[2]$ зима'!x936-'[2]$ зима'!v936-'[2]$ зима'!u936-'[2]$ зима'!t936-'[2]$ зима'!s936-'[2]$ зима'!r936-'[2]$ зима'!p936-'[2]$ зима'!o936-'[2]$ зима'!n936-'[2]$ зима'!m936-'[2]$ зима'!l936+'[2]$ зима'!q936+'[2]$ зима'!w936+'[2]$ зима'!ac936+'[2]$ зима'!ai936+'[2]$ зима'!ao936+'[2]$ зима'!k936</f>
        <v>0</v>
      </c>
      <c r="I936" s="191" t="n">
        <f aca="false">'[2]$ зима'!ay936*1.1</f>
        <v>1786.4</v>
      </c>
    </row>
    <row r="937" customFormat="false" ht="15" hidden="false" customHeight="false" outlineLevel="0" collapsed="false">
      <c r="A937" s="188" t="s">
        <v>1526</v>
      </c>
      <c r="B937" s="148" t="s">
        <v>1028</v>
      </c>
      <c r="C937" s="148" t="s">
        <v>3329</v>
      </c>
      <c r="D937" s="148" t="s">
        <v>3147</v>
      </c>
      <c r="E937" s="192"/>
      <c r="F937" s="192"/>
      <c r="G937" s="193"/>
      <c r="H937" s="105" t="n">
        <f aca="false">'[2]$ зима'!j937-'[2]$ зима'!au937-'[2]$ зима'!at937-'[2]$ зима'!as937-'[2]$ зима'!ar937-'[2]$ зима'!aq937-'[2]$ зима'!ap937-'[2]$ зима'!an937-'[2]$ зима'!am937-'[2]$ зима'!al937-'[2]$ зима'!ak937-'[2]$ зима'!aj937-'[2]$ зима'!ah937-'[2]$ зима'!ag937-'[2]$ зима'!af937-'[2]$ зима'!ae937-'[2]$ зима'!ad937-'[2]$ зима'!ab937-'[2]$ зима'!aa937-'[2]$ зима'!z937-'[2]$ зима'!y937-'[2]$ зима'!x937-'[2]$ зима'!v937-'[2]$ зима'!u937-'[2]$ зима'!t937-'[2]$ зима'!s937-'[2]$ зима'!r937-'[2]$ зима'!p937-'[2]$ зима'!o937-'[2]$ зима'!n937-'[2]$ зима'!m937-'[2]$ зима'!l937+'[2]$ зима'!q937+'[2]$ зима'!w937+'[2]$ зима'!ac937+'[2]$ зима'!ai937+'[2]$ зима'!ao937+'[2]$ зима'!k937</f>
        <v>4</v>
      </c>
      <c r="I937" s="191" t="n">
        <f aca="false">'[2]$ зима'!ay937*1.1</f>
        <v>2926</v>
      </c>
    </row>
    <row r="938" customFormat="false" ht="15" hidden="false" customHeight="false" outlineLevel="0" collapsed="false">
      <c r="A938" s="188" t="s">
        <v>1526</v>
      </c>
      <c r="B938" s="148" t="s">
        <v>1028</v>
      </c>
      <c r="C938" s="148" t="s">
        <v>3575</v>
      </c>
      <c r="D938" s="148" t="s">
        <v>3147</v>
      </c>
      <c r="E938" s="192"/>
      <c r="F938" s="192"/>
      <c r="G938" s="193" t="s">
        <v>3576</v>
      </c>
      <c r="H938" s="105" t="n">
        <f aca="false">'[2]$ зима'!j938-'[2]$ зима'!au938-'[2]$ зима'!at938-'[2]$ зима'!as938-'[2]$ зима'!ar938-'[2]$ зима'!aq938-'[2]$ зима'!ap938-'[2]$ зима'!an938-'[2]$ зима'!am938-'[2]$ зима'!al938-'[2]$ зима'!ak938-'[2]$ зима'!aj938-'[2]$ зима'!ah938-'[2]$ зима'!ag938-'[2]$ зима'!af938-'[2]$ зима'!ae938-'[2]$ зима'!ad938-'[2]$ зима'!ab938-'[2]$ зима'!aa938-'[2]$ зима'!z938-'[2]$ зима'!y938-'[2]$ зима'!x938-'[2]$ зима'!v938-'[2]$ зима'!u938-'[2]$ зима'!t938-'[2]$ зима'!s938-'[2]$ зима'!r938-'[2]$ зима'!p938-'[2]$ зима'!o938-'[2]$ зима'!n938-'[2]$ зима'!m938-'[2]$ зима'!l938+'[2]$ зима'!q938+'[2]$ зима'!w938+'[2]$ зима'!ac938+'[2]$ зима'!ai938+'[2]$ зима'!ao938+'[2]$ зима'!k938</f>
        <v>4</v>
      </c>
      <c r="I938" s="191" t="n">
        <f aca="false">'[2]$ зима'!ay938*1.1</f>
        <v>3080</v>
      </c>
      <c r="J938" s="171" t="n">
        <v>2014</v>
      </c>
    </row>
    <row r="939" customFormat="false" ht="15" hidden="false" customHeight="false" outlineLevel="0" collapsed="false">
      <c r="A939" s="196" t="s">
        <v>1526</v>
      </c>
      <c r="B939" s="149" t="s">
        <v>770</v>
      </c>
      <c r="C939" s="148" t="s">
        <v>3577</v>
      </c>
      <c r="D939" s="148"/>
      <c r="E939" s="192"/>
      <c r="F939" s="192"/>
      <c r="G939" s="193"/>
      <c r="H939" s="105" t="n">
        <f aca="false">'[2]$ зима'!j939-'[2]$ зима'!au939-'[2]$ зима'!at939-'[2]$ зима'!as939-'[2]$ зима'!ar939-'[2]$ зима'!aq939-'[2]$ зима'!ap939-'[2]$ зима'!an939-'[2]$ зима'!am939-'[2]$ зима'!al939-'[2]$ зима'!ak939-'[2]$ зима'!aj939-'[2]$ зима'!ah939-'[2]$ зима'!ag939-'[2]$ зима'!af939-'[2]$ зима'!ae939-'[2]$ зима'!ad939-'[2]$ зима'!ab939-'[2]$ зима'!aa939-'[2]$ зима'!z939-'[2]$ зима'!y939-'[2]$ зима'!x939-'[2]$ зима'!v939-'[2]$ зима'!u939-'[2]$ зима'!t939-'[2]$ зима'!s939-'[2]$ зима'!r939-'[2]$ зима'!p939-'[2]$ зима'!o939-'[2]$ зима'!n939-'[2]$ зима'!m939-'[2]$ зима'!l939+'[2]$ зима'!q939+'[2]$ зима'!w939+'[2]$ зима'!ac939+'[2]$ зима'!ai939+'[2]$ зима'!ao939+'[2]$ зима'!k939</f>
        <v>4</v>
      </c>
      <c r="I939" s="191" t="n">
        <f aca="false">'[2]$ зима'!ay939*1.1</f>
        <v>2464</v>
      </c>
    </row>
    <row r="940" customFormat="false" ht="15" hidden="false" customHeight="false" outlineLevel="0" collapsed="false">
      <c r="A940" s="196" t="s">
        <v>1526</v>
      </c>
      <c r="B940" s="149" t="s">
        <v>1176</v>
      </c>
      <c r="C940" s="148" t="s">
        <v>3578</v>
      </c>
      <c r="D940" s="148"/>
      <c r="E940" s="192"/>
      <c r="F940" s="192" t="s">
        <v>3286</v>
      </c>
      <c r="G940" s="193"/>
      <c r="H940" s="105" t="n">
        <f aca="false">'[2]$ зима'!j940-'[2]$ зима'!au940-'[2]$ зима'!at940-'[2]$ зима'!as940-'[2]$ зима'!ar940-'[2]$ зима'!aq940-'[2]$ зима'!ap940-'[2]$ зима'!an940-'[2]$ зима'!am940-'[2]$ зима'!al940-'[2]$ зима'!ak940-'[2]$ зима'!aj940-'[2]$ зима'!ah940-'[2]$ зима'!ag940-'[2]$ зима'!af940-'[2]$ зима'!ae940-'[2]$ зима'!ad940-'[2]$ зима'!ab940-'[2]$ зима'!aa940-'[2]$ зима'!z940-'[2]$ зима'!y940-'[2]$ зима'!x940-'[2]$ зима'!v940-'[2]$ зима'!u940-'[2]$ зима'!t940-'[2]$ зима'!s940-'[2]$ зима'!r940-'[2]$ зима'!p940-'[2]$ зима'!o940-'[2]$ зима'!n940-'[2]$ зима'!m940-'[2]$ зима'!l940+'[2]$ зима'!q940+'[2]$ зима'!w940+'[2]$ зима'!ac940+'[2]$ зима'!ai940+'[2]$ зима'!ao940+'[2]$ зима'!k940</f>
        <v>4</v>
      </c>
      <c r="I940" s="191" t="n">
        <f aca="false">'[2]$ зима'!ay940*1.1</f>
        <v>1724.8</v>
      </c>
    </row>
    <row r="941" customFormat="false" ht="15" hidden="true" customHeight="false" outlineLevel="0" collapsed="false">
      <c r="A941" s="210" t="s">
        <v>267</v>
      </c>
      <c r="B941" s="149" t="s">
        <v>568</v>
      </c>
      <c r="C941" s="148" t="s">
        <v>3403</v>
      </c>
      <c r="D941" s="148"/>
      <c r="E941" s="148"/>
      <c r="F941" s="148"/>
      <c r="G941" s="193"/>
      <c r="H941" s="105" t="n">
        <f aca="false">'[2]$ зима'!j941-'[2]$ зима'!au941-'[2]$ зима'!at941-'[2]$ зима'!as941-'[2]$ зима'!ar941-'[2]$ зима'!aq941-'[2]$ зима'!ap941-'[2]$ зима'!an941-'[2]$ зима'!am941-'[2]$ зима'!al941-'[2]$ зима'!ak941-'[2]$ зима'!aj941-'[2]$ зима'!ah941-'[2]$ зима'!ag941-'[2]$ зима'!af941-'[2]$ зима'!ae941-'[2]$ зима'!ad941-'[2]$ зима'!ab941-'[2]$ зима'!aa941-'[2]$ зима'!z941-'[2]$ зима'!y941-'[2]$ зима'!x941-'[2]$ зима'!v941-'[2]$ зима'!u941-'[2]$ зима'!t941-'[2]$ зима'!s941-'[2]$ зима'!r941-'[2]$ зима'!p941-'[2]$ зима'!o941-'[2]$ зима'!n941-'[2]$ зима'!m941-'[2]$ зима'!l941+'[2]$ зима'!q941+'[2]$ зима'!w941+'[2]$ зима'!ac941+'[2]$ зима'!ai941+'[2]$ зима'!ao941+'[2]$ зима'!k941</f>
        <v>0</v>
      </c>
      <c r="I941" s="191" t="n">
        <f aca="false">'[2]$ зима'!ay941*1.1</f>
        <v>2618</v>
      </c>
    </row>
    <row r="942" customFormat="false" ht="15" hidden="true" customHeight="false" outlineLevel="0" collapsed="false">
      <c r="A942" s="210" t="s">
        <v>267</v>
      </c>
      <c r="B942" s="149" t="s">
        <v>601</v>
      </c>
      <c r="C942" s="148" t="s">
        <v>3482</v>
      </c>
      <c r="D942" s="148"/>
      <c r="E942" s="148"/>
      <c r="F942" s="148"/>
      <c r="G942" s="193"/>
      <c r="H942" s="105" t="n">
        <f aca="false">'[2]$ зима'!j942-'[2]$ зима'!au942-'[2]$ зима'!at942-'[2]$ зима'!as942-'[2]$ зима'!ar942-'[2]$ зима'!aq942-'[2]$ зима'!ap942-'[2]$ зима'!an942-'[2]$ зима'!am942-'[2]$ зима'!al942-'[2]$ зима'!ak942-'[2]$ зима'!aj942-'[2]$ зима'!ah942-'[2]$ зима'!ag942-'[2]$ зима'!af942-'[2]$ зима'!ae942-'[2]$ зима'!ad942-'[2]$ зима'!ab942-'[2]$ зима'!aa942-'[2]$ зима'!z942-'[2]$ зима'!y942-'[2]$ зима'!x942-'[2]$ зима'!v942-'[2]$ зима'!u942-'[2]$ зима'!t942-'[2]$ зима'!s942-'[2]$ зима'!r942-'[2]$ зима'!p942-'[2]$ зима'!o942-'[2]$ зима'!n942-'[2]$ зима'!m942-'[2]$ зима'!l942+'[2]$ зима'!q942+'[2]$ зима'!w942+'[2]$ зима'!ac942+'[2]$ зима'!ai942+'[2]$ зима'!ao942+'[2]$ зима'!k942</f>
        <v>0</v>
      </c>
      <c r="I942" s="191" t="n">
        <f aca="false">'[2]$ зима'!ay942*1.1</f>
        <v>3942.4</v>
      </c>
      <c r="J942" s="171" t="n">
        <v>2017</v>
      </c>
    </row>
    <row r="943" customFormat="false" ht="15" hidden="true" customHeight="false" outlineLevel="0" collapsed="false">
      <c r="A943" s="210" t="s">
        <v>267</v>
      </c>
      <c r="B943" s="149" t="s">
        <v>601</v>
      </c>
      <c r="C943" s="148" t="s">
        <v>3150</v>
      </c>
      <c r="D943" s="148"/>
      <c r="E943" s="148"/>
      <c r="F943" s="148"/>
      <c r="G943" s="193"/>
      <c r="H943" s="105" t="n">
        <f aca="false">'[2]$ зима'!j943-'[2]$ зима'!au943-'[2]$ зима'!at943-'[2]$ зима'!as943-'[2]$ зима'!ar943-'[2]$ зима'!aq943-'[2]$ зима'!ap943-'[2]$ зима'!an943-'[2]$ зима'!am943-'[2]$ зима'!al943-'[2]$ зима'!ak943-'[2]$ зима'!aj943-'[2]$ зима'!ah943-'[2]$ зима'!ag943-'[2]$ зима'!af943-'[2]$ зима'!ae943-'[2]$ зима'!ad943-'[2]$ зима'!ab943-'[2]$ зима'!aa943-'[2]$ зима'!z943-'[2]$ зима'!y943-'[2]$ зима'!x943-'[2]$ зима'!v943-'[2]$ зима'!u943-'[2]$ зима'!t943-'[2]$ зима'!s943-'[2]$ зима'!r943-'[2]$ зима'!p943-'[2]$ зима'!o943-'[2]$ зима'!n943-'[2]$ зима'!m943-'[2]$ зима'!l943+'[2]$ зима'!q943+'[2]$ зима'!w943+'[2]$ зима'!ac943+'[2]$ зима'!ai943+'[2]$ зима'!ao943+'[2]$ зима'!k943</f>
        <v>0</v>
      </c>
      <c r="I943" s="191" t="n">
        <f aca="false">'[2]$ зима'!ay943*1.1</f>
        <v>2802.8</v>
      </c>
    </row>
    <row r="944" customFormat="false" ht="15" hidden="true" customHeight="false" outlineLevel="0" collapsed="false">
      <c r="A944" s="210" t="s">
        <v>267</v>
      </c>
      <c r="B944" s="149" t="s">
        <v>744</v>
      </c>
      <c r="C944" s="148" t="s">
        <v>3443</v>
      </c>
      <c r="D944" s="148" t="s">
        <v>3127</v>
      </c>
      <c r="E944" s="148"/>
      <c r="F944" s="148"/>
      <c r="G944" s="193"/>
      <c r="H944" s="105" t="n">
        <f aca="false">'[2]$ зима'!j944-'[2]$ зима'!au944-'[2]$ зима'!at944-'[2]$ зима'!as944-'[2]$ зима'!ar944-'[2]$ зима'!aq944-'[2]$ зима'!ap944-'[2]$ зима'!an944-'[2]$ зима'!am944-'[2]$ зима'!al944-'[2]$ зима'!ak944-'[2]$ зима'!aj944-'[2]$ зима'!ah944-'[2]$ зима'!ag944-'[2]$ зима'!af944-'[2]$ зима'!ae944-'[2]$ зима'!ad944-'[2]$ зима'!ab944-'[2]$ зима'!aa944-'[2]$ зима'!z944-'[2]$ зима'!y944-'[2]$ зима'!x944-'[2]$ зима'!v944-'[2]$ зима'!u944-'[2]$ зима'!t944-'[2]$ зима'!s944-'[2]$ зима'!r944-'[2]$ зима'!p944-'[2]$ зима'!o944-'[2]$ зима'!n944-'[2]$ зима'!m944-'[2]$ зима'!l944+'[2]$ зима'!q944+'[2]$ зима'!w944+'[2]$ зима'!ac944+'[2]$ зима'!ai944+'[2]$ зима'!ao944+'[2]$ зима'!k944</f>
        <v>0</v>
      </c>
      <c r="I944" s="191" t="n">
        <f aca="false">'[2]$ зима'!ay944*1.1</f>
        <v>3234</v>
      </c>
    </row>
    <row r="945" customFormat="false" ht="15" hidden="true" customHeight="false" outlineLevel="0" collapsed="false">
      <c r="A945" s="210" t="s">
        <v>267</v>
      </c>
      <c r="B945" s="149" t="s">
        <v>606</v>
      </c>
      <c r="C945" s="148" t="s">
        <v>3579</v>
      </c>
      <c r="D945" s="148"/>
      <c r="E945" s="148"/>
      <c r="F945" s="148"/>
      <c r="G945" s="193"/>
      <c r="H945" s="105" t="n">
        <f aca="false">'[2]$ зима'!j945-'[2]$ зима'!au945-'[2]$ зима'!at945-'[2]$ зима'!as945-'[2]$ зима'!ar945-'[2]$ зима'!aq945-'[2]$ зима'!ap945-'[2]$ зима'!an945-'[2]$ зима'!am945-'[2]$ зима'!al945-'[2]$ зима'!ak945-'[2]$ зима'!aj945-'[2]$ зима'!ah945-'[2]$ зима'!ag945-'[2]$ зима'!af945-'[2]$ зима'!ae945-'[2]$ зима'!ad945-'[2]$ зима'!ab945-'[2]$ зима'!aa945-'[2]$ зима'!z945-'[2]$ зима'!y945-'[2]$ зима'!x945-'[2]$ зима'!v945-'[2]$ зима'!u945-'[2]$ зима'!t945-'[2]$ зима'!s945-'[2]$ зима'!r945-'[2]$ зима'!p945-'[2]$ зима'!o945-'[2]$ зима'!n945-'[2]$ зима'!m945-'[2]$ зима'!l945+'[2]$ зима'!q945+'[2]$ зима'!w945+'[2]$ зима'!ac945+'[2]$ зима'!ai945+'[2]$ зима'!ao945+'[2]$ зима'!k945</f>
        <v>0</v>
      </c>
      <c r="I945" s="191" t="n">
        <f aca="false">'[2]$ зима'!ay945*1.1</f>
        <v>2464</v>
      </c>
      <c r="J945" s="171" t="n">
        <v>2017</v>
      </c>
    </row>
    <row r="946" customFormat="false" ht="15" hidden="true" customHeight="false" outlineLevel="0" collapsed="false">
      <c r="A946" s="210" t="s">
        <v>267</v>
      </c>
      <c r="B946" s="149" t="s">
        <v>606</v>
      </c>
      <c r="C946" s="148" t="s">
        <v>3459</v>
      </c>
      <c r="D946" s="148"/>
      <c r="E946" s="148"/>
      <c r="F946" s="148"/>
      <c r="G946" s="193"/>
      <c r="H946" s="105" t="n">
        <f aca="false">'[2]$ зима'!j946-'[2]$ зима'!au946-'[2]$ зима'!at946-'[2]$ зима'!as946-'[2]$ зима'!ar946-'[2]$ зима'!aq946-'[2]$ зима'!ap946-'[2]$ зима'!an946-'[2]$ зима'!am946-'[2]$ зима'!al946-'[2]$ зима'!ak946-'[2]$ зима'!aj946-'[2]$ зима'!ah946-'[2]$ зима'!ag946-'[2]$ зима'!af946-'[2]$ зима'!ae946-'[2]$ зима'!ad946-'[2]$ зима'!ab946-'[2]$ зима'!aa946-'[2]$ зима'!z946-'[2]$ зима'!y946-'[2]$ зима'!x946-'[2]$ зима'!v946-'[2]$ зима'!u946-'[2]$ зима'!t946-'[2]$ зима'!s946-'[2]$ зима'!r946-'[2]$ зима'!p946-'[2]$ зима'!o946-'[2]$ зима'!n946-'[2]$ зима'!m946-'[2]$ зима'!l946+'[2]$ зима'!q946+'[2]$ зима'!w946+'[2]$ зима'!ac946+'[2]$ зима'!ai946+'[2]$ зима'!ao946+'[2]$ зима'!k946</f>
        <v>0</v>
      </c>
      <c r="I946" s="191" t="n">
        <f aca="false">'[2]$ зима'!ay946*1.1</f>
        <v>2494.8</v>
      </c>
    </row>
    <row r="947" customFormat="false" ht="15" hidden="true" customHeight="false" outlineLevel="0" collapsed="false">
      <c r="A947" s="210" t="s">
        <v>267</v>
      </c>
      <c r="B947" s="149" t="s">
        <v>668</v>
      </c>
      <c r="C947" s="148" t="s">
        <v>3580</v>
      </c>
      <c r="D947" s="148"/>
      <c r="E947" s="148"/>
      <c r="F947" s="148"/>
      <c r="G947" s="193"/>
      <c r="H947" s="105" t="n">
        <f aca="false">'[2]$ зима'!j947-'[2]$ зима'!au947-'[2]$ зима'!at947-'[2]$ зима'!as947-'[2]$ зима'!ar947-'[2]$ зима'!aq947-'[2]$ зима'!ap947-'[2]$ зима'!an947-'[2]$ зима'!am947-'[2]$ зима'!al947-'[2]$ зима'!ak947-'[2]$ зима'!aj947-'[2]$ зима'!ah947-'[2]$ зима'!ag947-'[2]$ зима'!af947-'[2]$ зима'!ae947-'[2]$ зима'!ad947-'[2]$ зима'!ab947-'[2]$ зима'!aa947-'[2]$ зима'!z947-'[2]$ зима'!y947-'[2]$ зима'!x947-'[2]$ зима'!v947-'[2]$ зима'!u947-'[2]$ зима'!t947-'[2]$ зима'!s947-'[2]$ зима'!r947-'[2]$ зима'!p947-'[2]$ зима'!o947-'[2]$ зима'!n947-'[2]$ зима'!m947-'[2]$ зима'!l947+'[2]$ зима'!q947+'[2]$ зима'!w947+'[2]$ зима'!ac947+'[2]$ зима'!ai947+'[2]$ зима'!ao947+'[2]$ зима'!k947</f>
        <v>0</v>
      </c>
      <c r="I947" s="191" t="n">
        <f aca="false">'[2]$ зима'!ay947*1.1</f>
        <v>2433.2</v>
      </c>
      <c r="J947" s="171" t="n">
        <v>2017</v>
      </c>
    </row>
    <row r="948" customFormat="false" ht="15" hidden="true" customHeight="false" outlineLevel="0" collapsed="false">
      <c r="A948" s="210" t="s">
        <v>267</v>
      </c>
      <c r="B948" s="149" t="s">
        <v>668</v>
      </c>
      <c r="C948" s="194" t="s">
        <v>3182</v>
      </c>
      <c r="D948" s="148"/>
      <c r="E948" s="148"/>
      <c r="F948" s="148"/>
      <c r="G948" s="193"/>
      <c r="H948" s="105" t="n">
        <f aca="false">'[2]$ зима'!j948-'[2]$ зима'!au948-'[2]$ зима'!at948-'[2]$ зима'!as948-'[2]$ зима'!ar948-'[2]$ зима'!aq948-'[2]$ зима'!ap948-'[2]$ зима'!an948-'[2]$ зима'!am948-'[2]$ зима'!al948-'[2]$ зима'!ak948-'[2]$ зима'!aj948-'[2]$ зима'!ah948-'[2]$ зима'!ag948-'[2]$ зима'!af948-'[2]$ зима'!ae948-'[2]$ зима'!ad948-'[2]$ зима'!ab948-'[2]$ зима'!aa948-'[2]$ зима'!z948-'[2]$ зима'!y948-'[2]$ зима'!x948-'[2]$ зима'!v948-'[2]$ зима'!u948-'[2]$ зима'!t948-'[2]$ зима'!s948-'[2]$ зима'!r948-'[2]$ зима'!p948-'[2]$ зима'!o948-'[2]$ зима'!n948-'[2]$ зима'!m948-'[2]$ зима'!l948+'[2]$ зима'!q948+'[2]$ зима'!w948+'[2]$ зима'!ac948+'[2]$ зима'!ai948+'[2]$ зима'!ao948+'[2]$ зима'!k948</f>
        <v>0</v>
      </c>
      <c r="I948" s="191" t="n">
        <f aca="false">'[2]$ зима'!ay948*1.1</f>
        <v>2433.2</v>
      </c>
    </row>
    <row r="949" customFormat="false" ht="15" hidden="true" customHeight="false" outlineLevel="0" collapsed="false">
      <c r="A949" s="210" t="s">
        <v>267</v>
      </c>
      <c r="B949" s="149" t="s">
        <v>574</v>
      </c>
      <c r="C949" s="148" t="s">
        <v>3581</v>
      </c>
      <c r="D949" s="148"/>
      <c r="E949" s="148"/>
      <c r="F949" s="148"/>
      <c r="G949" s="193" t="s">
        <v>576</v>
      </c>
      <c r="H949" s="105" t="n">
        <f aca="false">'[2]$ зима'!j949-'[2]$ зима'!au949-'[2]$ зима'!at949-'[2]$ зима'!as949-'[2]$ зима'!ar949-'[2]$ зима'!aq949-'[2]$ зима'!ap949-'[2]$ зима'!an949-'[2]$ зима'!am949-'[2]$ зима'!al949-'[2]$ зима'!ak949-'[2]$ зима'!aj949-'[2]$ зима'!ah949-'[2]$ зима'!ag949-'[2]$ зима'!af949-'[2]$ зима'!ae949-'[2]$ зима'!ad949-'[2]$ зима'!ab949-'[2]$ зима'!aa949-'[2]$ зима'!z949-'[2]$ зима'!y949-'[2]$ зима'!x949-'[2]$ зима'!v949-'[2]$ зима'!u949-'[2]$ зима'!t949-'[2]$ зима'!s949-'[2]$ зима'!r949-'[2]$ зима'!p949-'[2]$ зима'!o949-'[2]$ зима'!n949-'[2]$ зима'!m949-'[2]$ зима'!l949+'[2]$ зима'!q949+'[2]$ зима'!w949+'[2]$ зима'!ac949+'[2]$ зима'!ai949+'[2]$ зима'!ao949+'[2]$ зима'!k949</f>
        <v>0</v>
      </c>
      <c r="I949" s="191" t="n">
        <f aca="false">'[2]$ зима'!ay949*1.1</f>
        <v>2614.92</v>
      </c>
    </row>
    <row r="950" customFormat="false" ht="15" hidden="false" customHeight="false" outlineLevel="0" collapsed="false">
      <c r="A950" s="210" t="s">
        <v>267</v>
      </c>
      <c r="B950" s="149" t="s">
        <v>577</v>
      </c>
      <c r="C950" s="148" t="s">
        <v>3250</v>
      </c>
      <c r="D950" s="148"/>
      <c r="E950" s="192" t="n">
        <v>96</v>
      </c>
      <c r="F950" s="192" t="s">
        <v>562</v>
      </c>
      <c r="G950" s="193" t="s">
        <v>563</v>
      </c>
      <c r="H950" s="105" t="n">
        <f aca="false">'[2]$ зима'!j950-'[2]$ зима'!au950-'[2]$ зима'!at950-'[2]$ зима'!as950-'[2]$ зима'!ar950-'[2]$ зима'!aq950-'[2]$ зима'!ap950-'[2]$ зима'!an950-'[2]$ зима'!am950-'[2]$ зима'!al950-'[2]$ зима'!ak950-'[2]$ зима'!aj950-'[2]$ зима'!ah950-'[2]$ зима'!ag950-'[2]$ зима'!af950-'[2]$ зима'!ae950-'[2]$ зима'!ad950-'[2]$ зима'!ab950-'[2]$ зима'!aa950-'[2]$ зима'!z950-'[2]$ зима'!y950-'[2]$ зима'!x950-'[2]$ зима'!v950-'[2]$ зима'!u950-'[2]$ зима'!t950-'[2]$ зима'!s950-'[2]$ зима'!r950-'[2]$ зима'!p950-'[2]$ зима'!o950-'[2]$ зима'!n950-'[2]$ зима'!m950-'[2]$ зима'!l950+'[2]$ зима'!q950+'[2]$ зима'!w950+'[2]$ зима'!ac950+'[2]$ зима'!ai950+'[2]$ зима'!ao950+'[2]$ зима'!k950</f>
        <v>2</v>
      </c>
      <c r="I950" s="191" t="n">
        <f aca="false">'[2]$ зима'!ay950*1.1</f>
        <v>2125.2</v>
      </c>
      <c r="J950" s="171" t="n">
        <v>2017</v>
      </c>
    </row>
    <row r="951" customFormat="false" ht="15" hidden="true" customHeight="false" outlineLevel="0" collapsed="false">
      <c r="A951" s="210" t="s">
        <v>267</v>
      </c>
      <c r="B951" s="149" t="s">
        <v>583</v>
      </c>
      <c r="C951" s="148" t="s">
        <v>3303</v>
      </c>
      <c r="D951" s="148"/>
      <c r="E951" s="148"/>
      <c r="F951" s="148"/>
      <c r="G951" s="193"/>
      <c r="H951" s="105" t="n">
        <f aca="false">'[2]$ зима'!j951-'[2]$ зима'!au951-'[2]$ зима'!at951-'[2]$ зима'!as951-'[2]$ зима'!ar951-'[2]$ зима'!aq951-'[2]$ зима'!ap951-'[2]$ зима'!an951-'[2]$ зима'!am951-'[2]$ зима'!al951-'[2]$ зима'!ak951-'[2]$ зима'!aj951-'[2]$ зима'!ah951-'[2]$ зима'!ag951-'[2]$ зима'!af951-'[2]$ зима'!ae951-'[2]$ зима'!ad951-'[2]$ зима'!ab951-'[2]$ зима'!aa951-'[2]$ зима'!z951-'[2]$ зима'!y951-'[2]$ зима'!x951-'[2]$ зима'!v951-'[2]$ зима'!u951-'[2]$ зима'!t951-'[2]$ зима'!s951-'[2]$ зима'!r951-'[2]$ зима'!p951-'[2]$ зима'!o951-'[2]$ зима'!n951-'[2]$ зима'!m951-'[2]$ зима'!l951+'[2]$ зима'!q951+'[2]$ зима'!w951+'[2]$ зима'!ac951+'[2]$ зима'!ai951+'[2]$ зима'!ao951+'[2]$ зима'!k951</f>
        <v>0</v>
      </c>
      <c r="I951" s="191" t="n">
        <f aca="false">'[2]$ зима'!ay951*1.1</f>
        <v>2371.6</v>
      </c>
    </row>
    <row r="952" customFormat="false" ht="15" hidden="false" customHeight="false" outlineLevel="0" collapsed="false">
      <c r="A952" s="210" t="s">
        <v>267</v>
      </c>
      <c r="B952" s="149" t="s">
        <v>1471</v>
      </c>
      <c r="C952" s="148" t="s">
        <v>3219</v>
      </c>
      <c r="D952" s="148"/>
      <c r="E952" s="192" t="n">
        <v>96</v>
      </c>
      <c r="F952" s="192" t="s">
        <v>3220</v>
      </c>
      <c r="G952" s="193" t="s">
        <v>609</v>
      </c>
      <c r="H952" s="105" t="n">
        <f aca="false">'[2]$ зима'!j952-'[2]$ зима'!au952-'[2]$ зима'!at952-'[2]$ зима'!as952-'[2]$ зима'!ar952-'[2]$ зима'!aq952-'[2]$ зима'!ap952-'[2]$ зима'!an952-'[2]$ зима'!am952-'[2]$ зима'!al952-'[2]$ зима'!ak952-'[2]$ зима'!aj952-'[2]$ зима'!ah952-'[2]$ зима'!ag952-'[2]$ зима'!af952-'[2]$ зима'!ae952-'[2]$ зима'!ad952-'[2]$ зима'!ab952-'[2]$ зима'!aa952-'[2]$ зима'!z952-'[2]$ зима'!y952-'[2]$ зима'!x952-'[2]$ зима'!v952-'[2]$ зима'!u952-'[2]$ зима'!t952-'[2]$ зима'!s952-'[2]$ зима'!r952-'[2]$ зима'!p952-'[2]$ зима'!o952-'[2]$ зима'!n952-'[2]$ зима'!m952-'[2]$ зима'!l952+'[2]$ зима'!q952+'[2]$ зима'!w952+'[2]$ зима'!ac952+'[2]$ зима'!ai952+'[2]$ зима'!ao952+'[2]$ зима'!k952</f>
        <v>4</v>
      </c>
      <c r="I952" s="191" t="n">
        <f aca="false">'[2]$ зима'!ay952*1.1</f>
        <v>2340.8</v>
      </c>
      <c r="J952" s="171" t="n">
        <v>2018</v>
      </c>
    </row>
    <row r="953" customFormat="false" ht="15" hidden="false" customHeight="false" outlineLevel="0" collapsed="false">
      <c r="A953" s="210" t="s">
        <v>267</v>
      </c>
      <c r="B953" s="149" t="s">
        <v>3582</v>
      </c>
      <c r="C953" s="148" t="s">
        <v>3583</v>
      </c>
      <c r="D953" s="148"/>
      <c r="E953" s="192" t="n">
        <v>96</v>
      </c>
      <c r="F953" s="192" t="s">
        <v>634</v>
      </c>
      <c r="G953" s="193"/>
      <c r="H953" s="105" t="n">
        <f aca="false">'[2]$ зима'!j953-'[2]$ зима'!au953-'[2]$ зима'!at953-'[2]$ зима'!as953-'[2]$ зима'!ar953-'[2]$ зима'!aq953-'[2]$ зима'!ap953-'[2]$ зима'!an953-'[2]$ зима'!am953-'[2]$ зима'!al953-'[2]$ зима'!ak953-'[2]$ зима'!aj953-'[2]$ зима'!ah953-'[2]$ зима'!ag953-'[2]$ зима'!af953-'[2]$ зима'!ae953-'[2]$ зима'!ad953-'[2]$ зима'!ab953-'[2]$ зима'!aa953-'[2]$ зима'!z953-'[2]$ зима'!y953-'[2]$ зима'!x953-'[2]$ зима'!v953-'[2]$ зима'!u953-'[2]$ зима'!t953-'[2]$ зима'!s953-'[2]$ зима'!r953-'[2]$ зима'!p953-'[2]$ зима'!o953-'[2]$ зима'!n953-'[2]$ зима'!m953-'[2]$ зима'!l953+'[2]$ зима'!q953+'[2]$ зима'!w953+'[2]$ зима'!ac953+'[2]$ зима'!ai953+'[2]$ зима'!ao953+'[2]$ зима'!k953</f>
        <v>4</v>
      </c>
      <c r="I953" s="191" t="n">
        <f aca="false">'[2]$ зима'!ay953*1.1</f>
        <v>1320</v>
      </c>
    </row>
    <row r="954" customFormat="false" ht="15" hidden="false" customHeight="false" outlineLevel="0" collapsed="false">
      <c r="A954" s="210" t="s">
        <v>267</v>
      </c>
      <c r="B954" s="149" t="s">
        <v>621</v>
      </c>
      <c r="C954" s="194" t="s">
        <v>3307</v>
      </c>
      <c r="D954" s="148"/>
      <c r="E954" s="192" t="n">
        <v>96</v>
      </c>
      <c r="F954" s="192" t="s">
        <v>562</v>
      </c>
      <c r="G954" s="200" t="s">
        <v>520</v>
      </c>
      <c r="H954" s="105" t="n">
        <f aca="false">'[2]$ зима'!j954-'[2]$ зима'!au954-'[2]$ зима'!at954-'[2]$ зима'!as954-'[2]$ зима'!ar954-'[2]$ зима'!aq954-'[2]$ зима'!ap954-'[2]$ зима'!an954-'[2]$ зима'!am954-'[2]$ зима'!al954-'[2]$ зима'!ak954-'[2]$ зима'!aj954-'[2]$ зима'!ah954-'[2]$ зима'!ag954-'[2]$ зима'!af954-'[2]$ зима'!ae954-'[2]$ зима'!ad954-'[2]$ зима'!ab954-'[2]$ зима'!aa954-'[2]$ зима'!z954-'[2]$ зима'!y954-'[2]$ зима'!x954-'[2]$ зима'!v954-'[2]$ зима'!u954-'[2]$ зима'!t954-'[2]$ зима'!s954-'[2]$ зима'!r954-'[2]$ зима'!p954-'[2]$ зима'!o954-'[2]$ зима'!n954-'[2]$ зима'!m954-'[2]$ зима'!l954+'[2]$ зима'!q954+'[2]$ зима'!w954+'[2]$ зима'!ac954+'[2]$ зима'!ai954+'[2]$ зима'!ao954+'[2]$ зима'!k954</f>
        <v>8</v>
      </c>
      <c r="I954" s="191" t="n">
        <f aca="false">'[2]$ зима'!ay954*1.1</f>
        <v>1782</v>
      </c>
      <c r="J954" s="201" t="n">
        <v>2018</v>
      </c>
    </row>
    <row r="955" customFormat="false" ht="15" hidden="false" customHeight="false" outlineLevel="0" collapsed="false">
      <c r="A955" s="188" t="s">
        <v>267</v>
      </c>
      <c r="B955" s="149" t="s">
        <v>589</v>
      </c>
      <c r="C955" s="148" t="s">
        <v>3259</v>
      </c>
      <c r="D955" s="148"/>
      <c r="E955" s="192" t="n">
        <v>96</v>
      </c>
      <c r="F955" s="192" t="s">
        <v>3437</v>
      </c>
      <c r="G955" s="193" t="s">
        <v>626</v>
      </c>
      <c r="H955" s="105" t="n">
        <f aca="false">'[2]$ зима'!j955-'[2]$ зима'!au955-'[2]$ зима'!at955-'[2]$ зима'!as955-'[2]$ зима'!ar955-'[2]$ зима'!aq955-'[2]$ зима'!ap955-'[2]$ зима'!an955-'[2]$ зима'!am955-'[2]$ зима'!al955-'[2]$ зима'!ak955-'[2]$ зима'!aj955-'[2]$ зима'!ah955-'[2]$ зима'!ag955-'[2]$ зима'!af955-'[2]$ зима'!ae955-'[2]$ зима'!ad955-'[2]$ зима'!ab955-'[2]$ зима'!aa955-'[2]$ зима'!z955-'[2]$ зима'!y955-'[2]$ зима'!x955-'[2]$ зима'!v955-'[2]$ зима'!u955-'[2]$ зима'!t955-'[2]$ зима'!s955-'[2]$ зима'!r955-'[2]$ зима'!p955-'[2]$ зима'!o955-'[2]$ зима'!n955-'[2]$ зима'!m955-'[2]$ зима'!l955+'[2]$ зима'!q955+'[2]$ зима'!w955+'[2]$ зима'!ac955+'[2]$ зима'!ai955+'[2]$ зима'!ao955+'[2]$ зима'!k955</f>
        <v>8</v>
      </c>
      <c r="I955" s="191" t="n">
        <f aca="false">'[2]$ зима'!ay955*1.1</f>
        <v>3311.44</v>
      </c>
      <c r="J955" s="201" t="n">
        <v>2018</v>
      </c>
    </row>
    <row r="956" customFormat="false" ht="15" hidden="true" customHeight="false" outlineLevel="0" collapsed="false">
      <c r="A956" s="188" t="s">
        <v>267</v>
      </c>
      <c r="B956" s="149" t="s">
        <v>564</v>
      </c>
      <c r="C956" s="194" t="s">
        <v>3584</v>
      </c>
      <c r="D956" s="194"/>
      <c r="E956" s="194"/>
      <c r="F956" s="194"/>
      <c r="G956" s="200"/>
      <c r="H956" s="105" t="n">
        <f aca="false">'[2]$ зима'!j956-'[2]$ зима'!au956-'[2]$ зима'!at956-'[2]$ зима'!as956-'[2]$ зима'!ar956-'[2]$ зима'!aq956-'[2]$ зима'!ap956-'[2]$ зима'!an956-'[2]$ зима'!am956-'[2]$ зима'!al956-'[2]$ зима'!ak956-'[2]$ зима'!aj956-'[2]$ зима'!ah956-'[2]$ зима'!ag956-'[2]$ зима'!af956-'[2]$ зима'!ae956-'[2]$ зима'!ad956-'[2]$ зима'!ab956-'[2]$ зима'!aa956-'[2]$ зима'!z956-'[2]$ зима'!y956-'[2]$ зима'!x956-'[2]$ зима'!v956-'[2]$ зима'!u956-'[2]$ зима'!t956-'[2]$ зима'!s956-'[2]$ зима'!r956-'[2]$ зима'!p956-'[2]$ зима'!o956-'[2]$ зима'!n956-'[2]$ зима'!m956-'[2]$ зима'!l956+'[2]$ зима'!q956+'[2]$ зима'!w956+'[2]$ зима'!ac956+'[2]$ зима'!ai956+'[2]$ зима'!ao956+'[2]$ зима'!k956</f>
        <v>0</v>
      </c>
      <c r="I956" s="191" t="n">
        <f aca="false">'[2]$ зима'!ay956*1.1</f>
        <v>1601.6</v>
      </c>
      <c r="J956" s="201" t="n">
        <v>2017</v>
      </c>
    </row>
    <row r="957" customFormat="false" ht="15" hidden="true" customHeight="false" outlineLevel="0" collapsed="false">
      <c r="A957" s="188" t="s">
        <v>267</v>
      </c>
      <c r="B957" s="149" t="s">
        <v>1028</v>
      </c>
      <c r="C957" s="194" t="s">
        <v>3585</v>
      </c>
      <c r="D957" s="194"/>
      <c r="E957" s="194"/>
      <c r="F957" s="194"/>
      <c r="G957" s="200"/>
      <c r="H957" s="105" t="n">
        <f aca="false">'[2]$ зима'!j957-'[2]$ зима'!au957-'[2]$ зима'!at957-'[2]$ зима'!as957-'[2]$ зима'!ar957-'[2]$ зима'!aq957-'[2]$ зима'!ap957-'[2]$ зима'!an957-'[2]$ зима'!am957-'[2]$ зима'!al957-'[2]$ зима'!ak957-'[2]$ зима'!aj957-'[2]$ зима'!ah957-'[2]$ зима'!ag957-'[2]$ зима'!af957-'[2]$ зима'!ae957-'[2]$ зима'!ad957-'[2]$ зима'!ab957-'[2]$ зима'!aa957-'[2]$ зима'!z957-'[2]$ зима'!y957-'[2]$ зима'!x957-'[2]$ зима'!v957-'[2]$ зима'!u957-'[2]$ зима'!t957-'[2]$ зима'!s957-'[2]$ зима'!r957-'[2]$ зима'!p957-'[2]$ зима'!o957-'[2]$ зима'!n957-'[2]$ зима'!m957-'[2]$ зима'!l957+'[2]$ зима'!q957+'[2]$ зима'!w957+'[2]$ зима'!ac957+'[2]$ зима'!ai957+'[2]$ зима'!ao957+'[2]$ зима'!k957</f>
        <v>0</v>
      </c>
      <c r="I957" s="191" t="n">
        <f aca="false">'[2]$ зима'!ay957*1.1</f>
        <v>3542</v>
      </c>
      <c r="J957" s="201"/>
    </row>
    <row r="958" customFormat="false" ht="15" hidden="false" customHeight="false" outlineLevel="0" collapsed="false">
      <c r="A958" s="188" t="s">
        <v>267</v>
      </c>
      <c r="B958" s="149" t="s">
        <v>1176</v>
      </c>
      <c r="C958" s="194" t="s">
        <v>3578</v>
      </c>
      <c r="D958" s="194"/>
      <c r="E958" s="195"/>
      <c r="F958" s="195" t="s">
        <v>3286</v>
      </c>
      <c r="G958" s="200"/>
      <c r="H958" s="105" t="n">
        <f aca="false">'[2]$ зима'!j958-'[2]$ зима'!au958-'[2]$ зима'!at958-'[2]$ зима'!as958-'[2]$ зима'!ar958-'[2]$ зима'!aq958-'[2]$ зима'!ap958-'[2]$ зима'!an958-'[2]$ зима'!am958-'[2]$ зима'!al958-'[2]$ зима'!ak958-'[2]$ зима'!aj958-'[2]$ зима'!ah958-'[2]$ зима'!ag958-'[2]$ зима'!af958-'[2]$ зима'!ae958-'[2]$ зима'!ad958-'[2]$ зима'!ab958-'[2]$ зима'!aa958-'[2]$ зима'!z958-'[2]$ зима'!y958-'[2]$ зима'!x958-'[2]$ зима'!v958-'[2]$ зима'!u958-'[2]$ зима'!t958-'[2]$ зима'!s958-'[2]$ зима'!r958-'[2]$ зима'!p958-'[2]$ зима'!o958-'[2]$ зима'!n958-'[2]$ зима'!m958-'[2]$ зима'!l958+'[2]$ зима'!q958+'[2]$ зима'!w958+'[2]$ зима'!ac958+'[2]$ зима'!ai958+'[2]$ зима'!ao958+'[2]$ зима'!k958</f>
        <v>4</v>
      </c>
      <c r="I958" s="191" t="n">
        <f aca="false">'[2]$ зима'!ay958*1.1</f>
        <v>1848</v>
      </c>
      <c r="J958" s="201"/>
    </row>
    <row r="959" customFormat="false" ht="15" hidden="true" customHeight="false" outlineLevel="0" collapsed="false">
      <c r="A959" s="188" t="s">
        <v>1575</v>
      </c>
      <c r="B959" s="149" t="s">
        <v>658</v>
      </c>
      <c r="C959" s="148" t="s">
        <v>3537</v>
      </c>
      <c r="D959" s="194"/>
      <c r="E959" s="194"/>
      <c r="F959" s="194"/>
      <c r="G959" s="200"/>
      <c r="H959" s="105" t="n">
        <f aca="false">'[2]$ зима'!j959-'[2]$ зима'!au959-'[2]$ зима'!at959-'[2]$ зима'!as959-'[2]$ зима'!ar959-'[2]$ зима'!aq959-'[2]$ зима'!ap959-'[2]$ зима'!an959-'[2]$ зима'!am959-'[2]$ зима'!al959-'[2]$ зима'!ak959-'[2]$ зима'!aj959-'[2]$ зима'!ah959-'[2]$ зима'!ag959-'[2]$ зима'!af959-'[2]$ зима'!ae959-'[2]$ зима'!ad959-'[2]$ зима'!ab959-'[2]$ зима'!aa959-'[2]$ зима'!z959-'[2]$ зима'!y959-'[2]$ зима'!x959-'[2]$ зима'!v959-'[2]$ зима'!u959-'[2]$ зима'!t959-'[2]$ зима'!s959-'[2]$ зима'!r959-'[2]$ зима'!p959-'[2]$ зима'!o959-'[2]$ зима'!n959-'[2]$ зима'!m959-'[2]$ зима'!l959+'[2]$ зима'!q959+'[2]$ зима'!w959+'[2]$ зима'!ac959+'[2]$ зима'!ai959+'[2]$ зима'!ao959+'[2]$ зима'!k959</f>
        <v>0</v>
      </c>
      <c r="I959" s="191" t="n">
        <f aca="false">'[2]$ зима'!ay959*1.1</f>
        <v>2156</v>
      </c>
      <c r="J959" s="201"/>
    </row>
    <row r="960" customFormat="false" ht="15" hidden="true" customHeight="false" outlineLevel="0" collapsed="false">
      <c r="A960" s="188" t="s">
        <v>1575</v>
      </c>
      <c r="B960" s="149" t="s">
        <v>593</v>
      </c>
      <c r="C960" s="148" t="s">
        <v>3586</v>
      </c>
      <c r="D960" s="194"/>
      <c r="E960" s="194"/>
      <c r="F960" s="194"/>
      <c r="G960" s="200" t="s">
        <v>1062</v>
      </c>
      <c r="H960" s="105" t="n">
        <f aca="false">'[2]$ зима'!j960-'[2]$ зима'!au960-'[2]$ зима'!at960-'[2]$ зима'!as960-'[2]$ зима'!ar960-'[2]$ зима'!aq960-'[2]$ зима'!ap960-'[2]$ зима'!an960-'[2]$ зима'!am960-'[2]$ зима'!al960-'[2]$ зима'!ak960-'[2]$ зима'!aj960-'[2]$ зима'!ah960-'[2]$ зима'!ag960-'[2]$ зима'!af960-'[2]$ зима'!ae960-'[2]$ зима'!ad960-'[2]$ зима'!ab960-'[2]$ зима'!aa960-'[2]$ зима'!z960-'[2]$ зима'!y960-'[2]$ зима'!x960-'[2]$ зима'!v960-'[2]$ зима'!u960-'[2]$ зима'!t960-'[2]$ зима'!s960-'[2]$ зима'!r960-'[2]$ зима'!p960-'[2]$ зима'!o960-'[2]$ зима'!n960-'[2]$ зима'!m960-'[2]$ зима'!l960+'[2]$ зима'!q960+'[2]$ зима'!w960+'[2]$ зима'!ac960+'[2]$ зима'!ai960+'[2]$ зима'!ao960+'[2]$ зима'!k960</f>
        <v>0</v>
      </c>
      <c r="I960" s="191" t="n">
        <f aca="false">'[2]$ зима'!ay960*1.1</f>
        <v>3388</v>
      </c>
      <c r="J960" s="201" t="n">
        <v>2017</v>
      </c>
    </row>
    <row r="961" customFormat="false" ht="15" hidden="true" customHeight="false" outlineLevel="0" collapsed="false">
      <c r="A961" s="188" t="s">
        <v>1575</v>
      </c>
      <c r="B961" s="149" t="s">
        <v>1028</v>
      </c>
      <c r="C961" s="148" t="s">
        <v>3532</v>
      </c>
      <c r="D961" s="148"/>
      <c r="E961" s="148"/>
      <c r="F961" s="148"/>
      <c r="G961" s="193"/>
      <c r="H961" s="105" t="n">
        <f aca="false">'[2]$ зима'!j961-'[2]$ зима'!au961-'[2]$ зима'!at961-'[2]$ зима'!as961-'[2]$ зима'!ar961-'[2]$ зима'!aq961-'[2]$ зима'!ap961-'[2]$ зима'!an961-'[2]$ зима'!am961-'[2]$ зима'!al961-'[2]$ зима'!ak961-'[2]$ зима'!aj961-'[2]$ зима'!ah961-'[2]$ зима'!ag961-'[2]$ зима'!af961-'[2]$ зима'!ae961-'[2]$ зима'!ad961-'[2]$ зима'!ab961-'[2]$ зима'!aa961-'[2]$ зима'!z961-'[2]$ зима'!y961-'[2]$ зима'!x961-'[2]$ зима'!v961-'[2]$ зима'!u961-'[2]$ зима'!t961-'[2]$ зима'!s961-'[2]$ зима'!r961-'[2]$ зима'!p961-'[2]$ зима'!o961-'[2]$ зима'!n961-'[2]$ зима'!m961-'[2]$ зима'!l961+'[2]$ зима'!q961+'[2]$ зима'!w961+'[2]$ зима'!ac961+'[2]$ зима'!ai961+'[2]$ зима'!ao961+'[2]$ зима'!k961</f>
        <v>0</v>
      </c>
      <c r="I961" s="191" t="n">
        <f aca="false">'[2]$ зима'!ay961*1.1</f>
        <v>3080</v>
      </c>
    </row>
    <row r="962" customFormat="false" ht="15" hidden="true" customHeight="false" outlineLevel="0" collapsed="false">
      <c r="A962" s="188" t="s">
        <v>1578</v>
      </c>
      <c r="B962" s="149" t="s">
        <v>601</v>
      </c>
      <c r="C962" s="148" t="s">
        <v>3332</v>
      </c>
      <c r="D962" s="148"/>
      <c r="E962" s="148" t="n">
        <v>91</v>
      </c>
      <c r="F962" s="148" t="s">
        <v>1455</v>
      </c>
      <c r="G962" s="193"/>
      <c r="H962" s="105" t="n">
        <f aca="false">'[2]$ зима'!j962-'[2]$ зима'!au962-'[2]$ зима'!at962-'[2]$ зима'!as962-'[2]$ зима'!ar962-'[2]$ зима'!aq962-'[2]$ зима'!ap962-'[2]$ зима'!an962-'[2]$ зима'!am962-'[2]$ зима'!al962-'[2]$ зима'!ak962-'[2]$ зима'!aj962-'[2]$ зима'!ah962-'[2]$ зима'!ag962-'[2]$ зима'!af962-'[2]$ зима'!ae962-'[2]$ зима'!ad962-'[2]$ зима'!ab962-'[2]$ зима'!aa962-'[2]$ зима'!z962-'[2]$ зима'!y962-'[2]$ зима'!x962-'[2]$ зима'!v962-'[2]$ зима'!u962-'[2]$ зима'!t962-'[2]$ зима'!s962-'[2]$ зима'!r962-'[2]$ зима'!p962-'[2]$ зима'!o962-'[2]$ зима'!n962-'[2]$ зима'!m962-'[2]$ зима'!l962+'[2]$ зима'!q962+'[2]$ зима'!w962+'[2]$ зима'!ac962+'[2]$ зима'!ai962+'[2]$ зима'!ao962+'[2]$ зима'!k962</f>
        <v>0</v>
      </c>
      <c r="I962" s="191" t="n">
        <f aca="false">'[2]$ зима'!ay962*1.1</f>
        <v>3234</v>
      </c>
    </row>
    <row r="963" customFormat="false" ht="15" hidden="true" customHeight="false" outlineLevel="0" collapsed="false">
      <c r="A963" s="188" t="s">
        <v>1578</v>
      </c>
      <c r="B963" s="149" t="s">
        <v>707</v>
      </c>
      <c r="C963" s="148" t="s">
        <v>3320</v>
      </c>
      <c r="D963" s="148"/>
      <c r="E963" s="148"/>
      <c r="F963" s="148"/>
      <c r="G963" s="193"/>
      <c r="H963" s="105" t="n">
        <f aca="false">'[2]$ зима'!j963-'[2]$ зима'!au963-'[2]$ зима'!at963-'[2]$ зима'!as963-'[2]$ зима'!ar963-'[2]$ зима'!aq963-'[2]$ зима'!ap963-'[2]$ зима'!an963-'[2]$ зима'!am963-'[2]$ зима'!al963-'[2]$ зима'!ak963-'[2]$ зима'!aj963-'[2]$ зима'!ah963-'[2]$ зима'!ag963-'[2]$ зима'!af963-'[2]$ зима'!ae963-'[2]$ зима'!ad963-'[2]$ зима'!ab963-'[2]$ зима'!aa963-'[2]$ зима'!z963-'[2]$ зима'!y963-'[2]$ зима'!x963-'[2]$ зима'!v963-'[2]$ зима'!u963-'[2]$ зима'!t963-'[2]$ зима'!s963-'[2]$ зима'!r963-'[2]$ зима'!p963-'[2]$ зима'!o963-'[2]$ зима'!n963-'[2]$ зима'!m963-'[2]$ зима'!l963+'[2]$ зима'!q963+'[2]$ зима'!w963+'[2]$ зима'!ac963+'[2]$ зима'!ai963+'[2]$ зима'!ao963+'[2]$ зима'!k963</f>
        <v>0</v>
      </c>
      <c r="I963" s="191" t="n">
        <f aca="false">'[2]$ зима'!ay963*1.1</f>
        <v>1694</v>
      </c>
    </row>
    <row r="964" customFormat="false" ht="15" hidden="true" customHeight="false" outlineLevel="0" collapsed="false">
      <c r="A964" s="188" t="s">
        <v>1578</v>
      </c>
      <c r="B964" s="149" t="s">
        <v>2480</v>
      </c>
      <c r="C964" s="148" t="s">
        <v>3587</v>
      </c>
      <c r="D964" s="148"/>
      <c r="E964" s="148"/>
      <c r="F964" s="148"/>
      <c r="G964" s="193"/>
      <c r="H964" s="105" t="n">
        <f aca="false">'[2]$ зима'!j964-'[2]$ зима'!au964-'[2]$ зима'!at964-'[2]$ зима'!as964-'[2]$ зима'!ar964-'[2]$ зима'!aq964-'[2]$ зима'!ap964-'[2]$ зима'!an964-'[2]$ зима'!am964-'[2]$ зима'!al964-'[2]$ зима'!ak964-'[2]$ зима'!aj964-'[2]$ зима'!ah964-'[2]$ зима'!ag964-'[2]$ зима'!af964-'[2]$ зима'!ae964-'[2]$ зима'!ad964-'[2]$ зима'!ab964-'[2]$ зима'!aa964-'[2]$ зима'!z964-'[2]$ зима'!y964-'[2]$ зима'!x964-'[2]$ зима'!v964-'[2]$ зима'!u964-'[2]$ зима'!t964-'[2]$ зима'!s964-'[2]$ зима'!r964-'[2]$ зима'!p964-'[2]$ зима'!o964-'[2]$ зима'!n964-'[2]$ зима'!m964-'[2]$ зима'!l964+'[2]$ зима'!q964+'[2]$ зима'!w964+'[2]$ зима'!ac964+'[2]$ зима'!ai964+'[2]$ зима'!ao964+'[2]$ зима'!k964</f>
        <v>0</v>
      </c>
      <c r="I964" s="191" t="n">
        <f aca="false">'[2]$ зима'!ay964*1.1</f>
        <v>3850</v>
      </c>
    </row>
    <row r="965" customFormat="false" ht="15" hidden="false" customHeight="false" outlineLevel="0" collapsed="false">
      <c r="A965" s="188" t="s">
        <v>1578</v>
      </c>
      <c r="B965" s="149" t="s">
        <v>606</v>
      </c>
      <c r="C965" s="148" t="s">
        <v>3245</v>
      </c>
      <c r="D965" s="148"/>
      <c r="E965" s="192" t="n">
        <v>94</v>
      </c>
      <c r="F965" s="192" t="s">
        <v>3216</v>
      </c>
      <c r="G965" s="193" t="s">
        <v>609</v>
      </c>
      <c r="H965" s="105" t="n">
        <f aca="false">'[2]$ зима'!j965-'[2]$ зима'!au965-'[2]$ зима'!at965-'[2]$ зима'!as965-'[2]$ зима'!ar965-'[2]$ зима'!aq965-'[2]$ зима'!ap965-'[2]$ зима'!an965-'[2]$ зима'!am965-'[2]$ зима'!al965-'[2]$ зима'!ak965-'[2]$ зима'!aj965-'[2]$ зима'!ah965-'[2]$ зима'!ag965-'[2]$ зима'!af965-'[2]$ зима'!ae965-'[2]$ зима'!ad965-'[2]$ зима'!ab965-'[2]$ зима'!aa965-'[2]$ зима'!z965-'[2]$ зима'!y965-'[2]$ зима'!x965-'[2]$ зима'!v965-'[2]$ зима'!u965-'[2]$ зима'!t965-'[2]$ зима'!s965-'[2]$ зима'!r965-'[2]$ зима'!p965-'[2]$ зима'!o965-'[2]$ зима'!n965-'[2]$ зима'!m965-'[2]$ зима'!l965+'[2]$ зима'!q965+'[2]$ зима'!w965+'[2]$ зима'!ac965+'[2]$ зима'!ai965+'[2]$ зима'!ao965+'[2]$ зима'!k965</f>
        <v>4</v>
      </c>
      <c r="I965" s="191" t="n">
        <f aca="false">'[2]$ зима'!ay965*1.1</f>
        <v>2618</v>
      </c>
      <c r="J965" s="171" t="n">
        <v>2018</v>
      </c>
    </row>
    <row r="966" customFormat="false" ht="15" hidden="true" customHeight="false" outlineLevel="0" collapsed="false">
      <c r="A966" s="188" t="s">
        <v>1578</v>
      </c>
      <c r="B966" s="149" t="s">
        <v>606</v>
      </c>
      <c r="C966" s="148" t="s">
        <v>3588</v>
      </c>
      <c r="D966" s="148"/>
      <c r="E966" s="148"/>
      <c r="F966" s="148"/>
      <c r="G966" s="193"/>
      <c r="H966" s="105" t="n">
        <f aca="false">'[2]$ зима'!j966-'[2]$ зима'!au966-'[2]$ зима'!at966-'[2]$ зима'!as966-'[2]$ зима'!ar966-'[2]$ зима'!aq966-'[2]$ зима'!ap966-'[2]$ зима'!an966-'[2]$ зима'!am966-'[2]$ зима'!al966-'[2]$ зима'!ak966-'[2]$ зима'!aj966-'[2]$ зима'!ah966-'[2]$ зима'!ag966-'[2]$ зима'!af966-'[2]$ зима'!ae966-'[2]$ зима'!ad966-'[2]$ зима'!ab966-'[2]$ зима'!aa966-'[2]$ зима'!z966-'[2]$ зима'!y966-'[2]$ зима'!x966-'[2]$ зима'!v966-'[2]$ зима'!u966-'[2]$ зима'!t966-'[2]$ зима'!s966-'[2]$ зима'!r966-'[2]$ зима'!p966-'[2]$ зима'!o966-'[2]$ зима'!n966-'[2]$ зима'!m966-'[2]$ зима'!l966+'[2]$ зима'!q966+'[2]$ зима'!w966+'[2]$ зима'!ac966+'[2]$ зима'!ai966+'[2]$ зима'!ao966+'[2]$ зима'!k966</f>
        <v>0</v>
      </c>
      <c r="I966" s="191" t="n">
        <f aca="false">'[2]$ зима'!ay966*1.1</f>
        <v>2618</v>
      </c>
    </row>
    <row r="967" customFormat="false" ht="15" hidden="true" customHeight="false" outlineLevel="0" collapsed="false">
      <c r="A967" s="188" t="s">
        <v>1578</v>
      </c>
      <c r="B967" s="149" t="s">
        <v>668</v>
      </c>
      <c r="C967" s="148" t="s">
        <v>3232</v>
      </c>
      <c r="D967" s="148"/>
      <c r="E967" s="148"/>
      <c r="F967" s="148"/>
      <c r="G967" s="193"/>
      <c r="H967" s="105" t="n">
        <f aca="false">'[2]$ зима'!j967-'[2]$ зима'!au967-'[2]$ зима'!at967-'[2]$ зима'!as967-'[2]$ зима'!ar967-'[2]$ зима'!aq967-'[2]$ зима'!ap967-'[2]$ зима'!an967-'[2]$ зима'!am967-'[2]$ зима'!al967-'[2]$ зима'!ak967-'[2]$ зима'!aj967-'[2]$ зима'!ah967-'[2]$ зима'!ag967-'[2]$ зима'!af967-'[2]$ зима'!ae967-'[2]$ зима'!ad967-'[2]$ зима'!ab967-'[2]$ зима'!aa967-'[2]$ зима'!z967-'[2]$ зима'!y967-'[2]$ зима'!x967-'[2]$ зима'!v967-'[2]$ зима'!u967-'[2]$ зима'!t967-'[2]$ зима'!s967-'[2]$ зима'!r967-'[2]$ зима'!p967-'[2]$ зима'!o967-'[2]$ зима'!n967-'[2]$ зима'!m967-'[2]$ зима'!l967+'[2]$ зима'!q967+'[2]$ зима'!w967+'[2]$ зима'!ac967+'[2]$ зима'!ai967+'[2]$ зима'!ao967+'[2]$ зима'!k967</f>
        <v>0</v>
      </c>
      <c r="I967" s="191" t="n">
        <f aca="false">'[2]$ зима'!ay967*1.1</f>
        <v>1509.2</v>
      </c>
    </row>
    <row r="968" customFormat="false" ht="15" hidden="true" customHeight="false" outlineLevel="0" collapsed="false">
      <c r="A968" s="188" t="s">
        <v>1578</v>
      </c>
      <c r="B968" s="149" t="s">
        <v>668</v>
      </c>
      <c r="C968" s="148" t="s">
        <v>3233</v>
      </c>
      <c r="D968" s="148"/>
      <c r="E968" s="148"/>
      <c r="F968" s="148"/>
      <c r="G968" s="193"/>
      <c r="H968" s="105" t="n">
        <f aca="false">'[2]$ зима'!j968-'[2]$ зима'!au968-'[2]$ зима'!at968-'[2]$ зима'!as968-'[2]$ зима'!ar968-'[2]$ зима'!aq968-'[2]$ зима'!ap968-'[2]$ зима'!an968-'[2]$ зима'!am968-'[2]$ зима'!al968-'[2]$ зима'!ak968-'[2]$ зима'!aj968-'[2]$ зима'!ah968-'[2]$ зима'!ag968-'[2]$ зима'!af968-'[2]$ зима'!ae968-'[2]$ зима'!ad968-'[2]$ зима'!ab968-'[2]$ зима'!aa968-'[2]$ зима'!z968-'[2]$ зима'!y968-'[2]$ зима'!x968-'[2]$ зима'!v968-'[2]$ зима'!u968-'[2]$ зима'!t968-'[2]$ зима'!s968-'[2]$ зима'!r968-'[2]$ зима'!p968-'[2]$ зима'!o968-'[2]$ зима'!n968-'[2]$ зима'!m968-'[2]$ зима'!l968+'[2]$ зима'!q968+'[2]$ зима'!w968+'[2]$ зима'!ac968+'[2]$ зима'!ai968+'[2]$ зима'!ao968+'[2]$ зима'!k968</f>
        <v>0</v>
      </c>
      <c r="I968" s="191" t="n">
        <f aca="false">'[2]$ зима'!ay968*1.1</f>
        <v>1540</v>
      </c>
    </row>
    <row r="969" customFormat="false" ht="15" hidden="true" customHeight="false" outlineLevel="0" collapsed="false">
      <c r="A969" s="188" t="s">
        <v>1578</v>
      </c>
      <c r="B969" s="149" t="s">
        <v>574</v>
      </c>
      <c r="C969" s="148" t="s">
        <v>3199</v>
      </c>
      <c r="D969" s="148"/>
      <c r="E969" s="148"/>
      <c r="F969" s="148"/>
      <c r="G969" s="193" t="s">
        <v>576</v>
      </c>
      <c r="H969" s="105" t="n">
        <f aca="false">'[2]$ зима'!j969-'[2]$ зима'!au969-'[2]$ зима'!at969-'[2]$ зима'!as969-'[2]$ зима'!ar969-'[2]$ зима'!aq969-'[2]$ зима'!ap969-'[2]$ зима'!an969-'[2]$ зима'!am969-'[2]$ зима'!al969-'[2]$ зима'!ak969-'[2]$ зима'!aj969-'[2]$ зима'!ah969-'[2]$ зима'!ag969-'[2]$ зима'!af969-'[2]$ зима'!ae969-'[2]$ зима'!ad969-'[2]$ зима'!ab969-'[2]$ зима'!aa969-'[2]$ зима'!z969-'[2]$ зима'!y969-'[2]$ зима'!x969-'[2]$ зима'!v969-'[2]$ зима'!u969-'[2]$ зима'!t969-'[2]$ зима'!s969-'[2]$ зима'!r969-'[2]$ зима'!p969-'[2]$ зима'!o969-'[2]$ зима'!n969-'[2]$ зима'!m969-'[2]$ зима'!l969+'[2]$ зима'!q969+'[2]$ зима'!w969+'[2]$ зима'!ac969+'[2]$ зима'!ai969+'[2]$ зима'!ao969+'[2]$ зима'!k969</f>
        <v>0</v>
      </c>
      <c r="I969" s="191" t="n">
        <f aca="false">'[2]$ зима'!ay969*1.1</f>
        <v>1245.2</v>
      </c>
    </row>
    <row r="970" customFormat="false" ht="15" hidden="true" customHeight="false" outlineLevel="0" collapsed="false">
      <c r="A970" s="188" t="s">
        <v>1578</v>
      </c>
      <c r="B970" s="149" t="s">
        <v>593</v>
      </c>
      <c r="C970" s="148" t="s">
        <v>3589</v>
      </c>
      <c r="D970" s="148"/>
      <c r="E970" s="148"/>
      <c r="F970" s="148"/>
      <c r="G970" s="193"/>
      <c r="H970" s="105" t="n">
        <f aca="false">'[2]$ зима'!j970-'[2]$ зима'!au970-'[2]$ зима'!at970-'[2]$ зима'!as970-'[2]$ зима'!ar970-'[2]$ зима'!aq970-'[2]$ зима'!ap970-'[2]$ зима'!an970-'[2]$ зима'!am970-'[2]$ зима'!al970-'[2]$ зима'!ak970-'[2]$ зима'!aj970-'[2]$ зима'!ah970-'[2]$ зима'!ag970-'[2]$ зима'!af970-'[2]$ зима'!ae970-'[2]$ зима'!ad970-'[2]$ зима'!ab970-'[2]$ зима'!aa970-'[2]$ зима'!z970-'[2]$ зима'!y970-'[2]$ зима'!x970-'[2]$ зима'!v970-'[2]$ зима'!u970-'[2]$ зима'!t970-'[2]$ зима'!s970-'[2]$ зима'!r970-'[2]$ зима'!p970-'[2]$ зима'!o970-'[2]$ зима'!n970-'[2]$ зима'!m970-'[2]$ зима'!l970+'[2]$ зима'!q970+'[2]$ зима'!w970+'[2]$ зима'!ac970+'[2]$ зима'!ai970+'[2]$ зима'!ao970+'[2]$ зима'!k970</f>
        <v>0</v>
      </c>
      <c r="I970" s="191" t="n">
        <f aca="false">'[2]$ зима'!ay970*1.1</f>
        <v>1540</v>
      </c>
    </row>
    <row r="971" customFormat="false" ht="15" hidden="true" customHeight="false" outlineLevel="0" collapsed="false">
      <c r="A971" s="188" t="s">
        <v>1578</v>
      </c>
      <c r="B971" s="149" t="s">
        <v>3142</v>
      </c>
      <c r="C971" s="148" t="s">
        <v>3274</v>
      </c>
      <c r="D971" s="148" t="s">
        <v>3127</v>
      </c>
      <c r="E971" s="148"/>
      <c r="F971" s="148"/>
      <c r="G971" s="193"/>
      <c r="H971" s="105" t="n">
        <f aca="false">'[2]$ зима'!j971-'[2]$ зима'!au971-'[2]$ зима'!at971-'[2]$ зима'!as971-'[2]$ зима'!ar971-'[2]$ зима'!aq971-'[2]$ зима'!ap971-'[2]$ зима'!an971-'[2]$ зима'!am971-'[2]$ зима'!al971-'[2]$ зима'!ak971-'[2]$ зима'!aj971-'[2]$ зима'!ah971-'[2]$ зима'!ag971-'[2]$ зима'!af971-'[2]$ зима'!ae971-'[2]$ зима'!ad971-'[2]$ зима'!ab971-'[2]$ зима'!aa971-'[2]$ зима'!z971-'[2]$ зима'!y971-'[2]$ зима'!x971-'[2]$ зима'!v971-'[2]$ зима'!u971-'[2]$ зима'!t971-'[2]$ зима'!s971-'[2]$ зима'!r971-'[2]$ зима'!p971-'[2]$ зима'!o971-'[2]$ зима'!n971-'[2]$ зима'!m971-'[2]$ зима'!l971+'[2]$ зима'!q971+'[2]$ зима'!w971+'[2]$ зима'!ac971+'[2]$ зима'!ai971+'[2]$ зима'!ao971+'[2]$ зима'!k971</f>
        <v>0</v>
      </c>
      <c r="I971" s="191" t="n">
        <f aca="false">'[2]$ зима'!ay971*1.1</f>
        <v>2094.4</v>
      </c>
      <c r="J971" s="171" t="n">
        <v>2016</v>
      </c>
    </row>
    <row r="972" customFormat="false" ht="15" hidden="true" customHeight="false" outlineLevel="0" collapsed="false">
      <c r="A972" s="188" t="s">
        <v>1578</v>
      </c>
      <c r="B972" s="149" t="s">
        <v>677</v>
      </c>
      <c r="C972" s="194" t="s">
        <v>3135</v>
      </c>
      <c r="D972" s="148"/>
      <c r="E972" s="148"/>
      <c r="F972" s="148"/>
      <c r="G972" s="193"/>
      <c r="H972" s="105" t="n">
        <f aca="false">'[2]$ зима'!j972-'[2]$ зима'!au972-'[2]$ зима'!at972-'[2]$ зима'!as972-'[2]$ зима'!ar972-'[2]$ зима'!aq972-'[2]$ зима'!ap972-'[2]$ зима'!an972-'[2]$ зима'!am972-'[2]$ зима'!al972-'[2]$ зима'!ak972-'[2]$ зима'!aj972-'[2]$ зима'!ah972-'[2]$ зима'!ag972-'[2]$ зима'!af972-'[2]$ зима'!ae972-'[2]$ зима'!ad972-'[2]$ зима'!ab972-'[2]$ зима'!aa972-'[2]$ зима'!z972-'[2]$ зима'!y972-'[2]$ зима'!x972-'[2]$ зима'!v972-'[2]$ зима'!u972-'[2]$ зима'!t972-'[2]$ зима'!s972-'[2]$ зима'!r972-'[2]$ зима'!p972-'[2]$ зима'!o972-'[2]$ зима'!n972-'[2]$ зима'!m972-'[2]$ зима'!l972+'[2]$ зима'!q972+'[2]$ зима'!w972+'[2]$ зима'!ac972+'[2]$ зима'!ai972+'[2]$ зима'!ao972+'[2]$ зима'!k972</f>
        <v>0</v>
      </c>
      <c r="I972" s="191" t="n">
        <f aca="false">'[2]$ зима'!ay972*1.1</f>
        <v>1540</v>
      </c>
    </row>
    <row r="973" customFormat="false" ht="15" hidden="true" customHeight="false" outlineLevel="0" collapsed="false">
      <c r="A973" s="188" t="s">
        <v>1578</v>
      </c>
      <c r="B973" s="149" t="s">
        <v>564</v>
      </c>
      <c r="C973" s="148" t="s">
        <v>3590</v>
      </c>
      <c r="D973" s="148"/>
      <c r="E973" s="148"/>
      <c r="F973" s="148"/>
      <c r="G973" s="193"/>
      <c r="H973" s="105" t="n">
        <f aca="false">'[2]$ зима'!j973-'[2]$ зима'!au973-'[2]$ зима'!at973-'[2]$ зима'!as973-'[2]$ зима'!ar973-'[2]$ зима'!aq973-'[2]$ зима'!ap973-'[2]$ зима'!an973-'[2]$ зима'!am973-'[2]$ зима'!al973-'[2]$ зима'!ak973-'[2]$ зима'!aj973-'[2]$ зима'!ah973-'[2]$ зима'!ag973-'[2]$ зима'!af973-'[2]$ зима'!ae973-'[2]$ зима'!ad973-'[2]$ зима'!ab973-'[2]$ зима'!aa973-'[2]$ зима'!z973-'[2]$ зима'!y973-'[2]$ зима'!x973-'[2]$ зима'!v973-'[2]$ зима'!u973-'[2]$ зима'!t973-'[2]$ зима'!s973-'[2]$ зима'!r973-'[2]$ зима'!p973-'[2]$ зима'!o973-'[2]$ зима'!n973-'[2]$ зима'!m973-'[2]$ зима'!l973+'[2]$ зима'!q973+'[2]$ зима'!w973+'[2]$ зима'!ac973+'[2]$ зима'!ai973+'[2]$ зима'!ao973+'[2]$ зима'!k973</f>
        <v>0</v>
      </c>
      <c r="I973" s="191" t="n">
        <f aca="false">'[2]$ зима'!ay973*1.1</f>
        <v>1540</v>
      </c>
    </row>
    <row r="974" customFormat="false" ht="15" hidden="true" customHeight="false" outlineLevel="0" collapsed="false">
      <c r="A974" s="188" t="s">
        <v>1578</v>
      </c>
      <c r="B974" s="149" t="s">
        <v>589</v>
      </c>
      <c r="C974" s="148" t="s">
        <v>3591</v>
      </c>
      <c r="D974" s="148"/>
      <c r="E974" s="148"/>
      <c r="F974" s="148"/>
      <c r="G974" s="193" t="s">
        <v>626</v>
      </c>
      <c r="H974" s="105" t="n">
        <f aca="false">'[2]$ зима'!j974-'[2]$ зима'!au974-'[2]$ зима'!at974-'[2]$ зима'!as974-'[2]$ зима'!ar974-'[2]$ зима'!aq974-'[2]$ зима'!ap974-'[2]$ зима'!an974-'[2]$ зима'!am974-'[2]$ зима'!al974-'[2]$ зима'!ak974-'[2]$ зима'!aj974-'[2]$ зима'!ah974-'[2]$ зима'!ag974-'[2]$ зима'!af974-'[2]$ зима'!ae974-'[2]$ зима'!ad974-'[2]$ зима'!ab974-'[2]$ зима'!aa974-'[2]$ зима'!z974-'[2]$ зима'!y974-'[2]$ зима'!x974-'[2]$ зима'!v974-'[2]$ зима'!u974-'[2]$ зима'!t974-'[2]$ зима'!s974-'[2]$ зима'!r974-'[2]$ зима'!p974-'[2]$ зима'!o974-'[2]$ зима'!n974-'[2]$ зима'!m974-'[2]$ зима'!l974+'[2]$ зима'!q974+'[2]$ зима'!w974+'[2]$ зима'!ac974+'[2]$ зима'!ai974+'[2]$ зима'!ao974+'[2]$ зима'!k974</f>
        <v>0</v>
      </c>
      <c r="I974" s="191" t="n">
        <f aca="false">'[2]$ зима'!ay974*1.1</f>
        <v>1556.5</v>
      </c>
    </row>
    <row r="975" customFormat="false" ht="15" hidden="true" customHeight="false" outlineLevel="0" collapsed="false">
      <c r="A975" s="188" t="s">
        <v>1578</v>
      </c>
      <c r="B975" s="149" t="s">
        <v>589</v>
      </c>
      <c r="C975" s="148" t="s">
        <v>3592</v>
      </c>
      <c r="D975" s="148"/>
      <c r="E975" s="148"/>
      <c r="F975" s="148"/>
      <c r="G975" s="193" t="s">
        <v>626</v>
      </c>
      <c r="H975" s="105" t="n">
        <f aca="false">'[2]$ зима'!j975-'[2]$ зима'!au975-'[2]$ зима'!at975-'[2]$ зима'!as975-'[2]$ зима'!ar975-'[2]$ зима'!aq975-'[2]$ зима'!ap975-'[2]$ зима'!an975-'[2]$ зима'!am975-'[2]$ зима'!al975-'[2]$ зима'!ak975-'[2]$ зима'!aj975-'[2]$ зима'!ah975-'[2]$ зима'!ag975-'[2]$ зима'!af975-'[2]$ зима'!ae975-'[2]$ зима'!ad975-'[2]$ зима'!ab975-'[2]$ зима'!aa975-'[2]$ зима'!z975-'[2]$ зима'!y975-'[2]$ зима'!x975-'[2]$ зима'!v975-'[2]$ зима'!u975-'[2]$ зима'!t975-'[2]$ зима'!s975-'[2]$ зима'!r975-'[2]$ зима'!p975-'[2]$ зима'!o975-'[2]$ зима'!n975-'[2]$ зима'!m975-'[2]$ зима'!l975+'[2]$ зима'!q975+'[2]$ зима'!w975+'[2]$ зима'!ac975+'[2]$ зима'!ai975+'[2]$ зима'!ao975+'[2]$ зима'!k975</f>
        <v>0</v>
      </c>
      <c r="I975" s="191" t="n">
        <f aca="false">'[2]$ зима'!ay975*1.1</f>
        <v>1556.5</v>
      </c>
    </row>
    <row r="976" customFormat="false" ht="15" hidden="false" customHeight="false" outlineLevel="0" collapsed="false">
      <c r="A976" s="188" t="s">
        <v>1578</v>
      </c>
      <c r="B976" s="149" t="s">
        <v>564</v>
      </c>
      <c r="C976" s="148" t="s">
        <v>3308</v>
      </c>
      <c r="D976" s="148"/>
      <c r="E976" s="192" t="n">
        <v>91</v>
      </c>
      <c r="F976" s="192" t="s">
        <v>634</v>
      </c>
      <c r="G976" s="193" t="s">
        <v>520</v>
      </c>
      <c r="H976" s="105" t="n">
        <f aca="false">'[2]$ зима'!j976-'[2]$ зима'!au976-'[2]$ зима'!at976-'[2]$ зима'!as976-'[2]$ зима'!ar976-'[2]$ зима'!aq976-'[2]$ зима'!ap976-'[2]$ зима'!an976-'[2]$ зима'!am976-'[2]$ зима'!al976-'[2]$ зима'!ak976-'[2]$ зима'!aj976-'[2]$ зима'!ah976-'[2]$ зима'!ag976-'[2]$ зима'!af976-'[2]$ зима'!ae976-'[2]$ зима'!ad976-'[2]$ зима'!ab976-'[2]$ зима'!aa976-'[2]$ зима'!z976-'[2]$ зима'!y976-'[2]$ зима'!x976-'[2]$ зима'!v976-'[2]$ зима'!u976-'[2]$ зима'!t976-'[2]$ зима'!s976-'[2]$ зима'!r976-'[2]$ зима'!p976-'[2]$ зима'!o976-'[2]$ зима'!n976-'[2]$ зима'!m976-'[2]$ зима'!l976+'[2]$ зима'!q976+'[2]$ зима'!w976+'[2]$ зима'!ac976+'[2]$ зима'!ai976+'[2]$ зима'!ao976+'[2]$ зима'!k976</f>
        <v>4</v>
      </c>
      <c r="I976" s="191" t="n">
        <f aca="false">'[2]$ зима'!ay976*1.1</f>
        <v>1601.6</v>
      </c>
      <c r="J976" s="171" t="n">
        <v>2017</v>
      </c>
    </row>
    <row r="977" customFormat="false" ht="15" hidden="true" customHeight="false" outlineLevel="0" collapsed="false">
      <c r="A977" s="196" t="s">
        <v>1594</v>
      </c>
      <c r="B977" s="149" t="s">
        <v>601</v>
      </c>
      <c r="C977" s="148" t="s">
        <v>3150</v>
      </c>
      <c r="D977" s="148"/>
      <c r="E977" s="148"/>
      <c r="F977" s="148"/>
      <c r="G977" s="193"/>
      <c r="H977" s="105" t="n">
        <f aca="false">'[2]$ зима'!j977-'[2]$ зима'!au977-'[2]$ зима'!at977-'[2]$ зима'!as977-'[2]$ зима'!ar977-'[2]$ зима'!aq977-'[2]$ зима'!ap977-'[2]$ зима'!an977-'[2]$ зима'!am977-'[2]$ зима'!al977-'[2]$ зима'!ak977-'[2]$ зима'!aj977-'[2]$ зима'!ah977-'[2]$ зима'!ag977-'[2]$ зима'!af977-'[2]$ зима'!ae977-'[2]$ зима'!ad977-'[2]$ зима'!ab977-'[2]$ зима'!aa977-'[2]$ зима'!z977-'[2]$ зима'!y977-'[2]$ зима'!x977-'[2]$ зима'!v977-'[2]$ зима'!u977-'[2]$ зима'!t977-'[2]$ зима'!s977-'[2]$ зима'!r977-'[2]$ зима'!p977-'[2]$ зима'!o977-'[2]$ зима'!n977-'[2]$ зима'!m977-'[2]$ зима'!l977+'[2]$ зима'!q977+'[2]$ зима'!w977+'[2]$ зима'!ac977+'[2]$ зима'!ai977+'[2]$ зима'!ao977+'[2]$ зима'!k977</f>
        <v>0</v>
      </c>
      <c r="I977" s="191" t="n">
        <f aca="false">'[2]$ зима'!ay977*1.1</f>
        <v>3696</v>
      </c>
    </row>
    <row r="978" customFormat="false" ht="15" hidden="false" customHeight="false" outlineLevel="0" collapsed="false">
      <c r="A978" s="196" t="s">
        <v>1594</v>
      </c>
      <c r="B978" s="149" t="s">
        <v>601</v>
      </c>
      <c r="C978" s="148" t="s">
        <v>3319</v>
      </c>
      <c r="D978" s="148"/>
      <c r="E978" s="192"/>
      <c r="F978" s="192"/>
      <c r="G978" s="193"/>
      <c r="H978" s="105" t="n">
        <f aca="false">'[2]$ зима'!j978-'[2]$ зима'!au978-'[2]$ зима'!at978-'[2]$ зима'!as978-'[2]$ зима'!ar978-'[2]$ зима'!aq978-'[2]$ зима'!ap978-'[2]$ зима'!an978-'[2]$ зима'!am978-'[2]$ зима'!al978-'[2]$ зима'!ak978-'[2]$ зима'!aj978-'[2]$ зима'!ah978-'[2]$ зима'!ag978-'[2]$ зима'!af978-'[2]$ зима'!ae978-'[2]$ зима'!ad978-'[2]$ зима'!ab978-'[2]$ зима'!aa978-'[2]$ зима'!z978-'[2]$ зима'!y978-'[2]$ зима'!x978-'[2]$ зима'!v978-'[2]$ зима'!u978-'[2]$ зима'!t978-'[2]$ зима'!s978-'[2]$ зима'!r978-'[2]$ зима'!p978-'[2]$ зима'!o978-'[2]$ зима'!n978-'[2]$ зима'!m978-'[2]$ зима'!l978+'[2]$ зима'!q978+'[2]$ зима'!w978+'[2]$ зима'!ac978+'[2]$ зима'!ai978+'[2]$ зима'!ao978+'[2]$ зима'!k978</f>
        <v>2</v>
      </c>
      <c r="I978" s="191" t="n">
        <f aca="false">'[2]$ зима'!ay978*1.1</f>
        <v>3080</v>
      </c>
      <c r="J978" s="171" t="n">
        <v>2012</v>
      </c>
    </row>
    <row r="979" customFormat="false" ht="15" hidden="false" customHeight="false" outlineLevel="0" collapsed="false">
      <c r="A979" s="197" t="s">
        <v>1594</v>
      </c>
      <c r="B979" s="149" t="s">
        <v>606</v>
      </c>
      <c r="C979" s="148" t="s">
        <v>3309</v>
      </c>
      <c r="D979" s="148"/>
      <c r="E979" s="192" t="n">
        <v>98</v>
      </c>
      <c r="F979" s="192" t="s">
        <v>3216</v>
      </c>
      <c r="G979" s="193"/>
      <c r="H979" s="105" t="n">
        <f aca="false">'[2]$ зима'!j979-'[2]$ зима'!au979-'[2]$ зима'!at979-'[2]$ зима'!as979-'[2]$ зима'!ar979-'[2]$ зима'!aq979-'[2]$ зима'!ap979-'[2]$ зима'!an979-'[2]$ зима'!am979-'[2]$ зима'!al979-'[2]$ зима'!ak979-'[2]$ зима'!aj979-'[2]$ зима'!ah979-'[2]$ зима'!ag979-'[2]$ зима'!af979-'[2]$ зима'!ae979-'[2]$ зима'!ad979-'[2]$ зима'!ab979-'[2]$ зима'!aa979-'[2]$ зима'!z979-'[2]$ зима'!y979-'[2]$ зима'!x979-'[2]$ зима'!v979-'[2]$ зима'!u979-'[2]$ зима'!t979-'[2]$ зима'!s979-'[2]$ зима'!r979-'[2]$ зима'!p979-'[2]$ зима'!o979-'[2]$ зима'!n979-'[2]$ зима'!m979-'[2]$ зима'!l979+'[2]$ зима'!q979+'[2]$ зима'!w979+'[2]$ зима'!ac979+'[2]$ зима'!ai979+'[2]$ зима'!ao979+'[2]$ зима'!k979</f>
        <v>18</v>
      </c>
      <c r="I979" s="191" t="n">
        <f aca="false">'[2]$ зима'!ay979*1.1</f>
        <v>2525.6</v>
      </c>
      <c r="J979" s="171" t="n">
        <v>2017</v>
      </c>
    </row>
    <row r="980" customFormat="false" ht="15" hidden="true" customHeight="false" outlineLevel="0" collapsed="false">
      <c r="A980" s="197" t="s">
        <v>1594</v>
      </c>
      <c r="B980" s="149" t="s">
        <v>606</v>
      </c>
      <c r="C980" s="148" t="s">
        <v>3593</v>
      </c>
      <c r="D980" s="148"/>
      <c r="E980" s="148" t="n">
        <v>94</v>
      </c>
      <c r="F980" s="148" t="s">
        <v>562</v>
      </c>
      <c r="G980" s="193"/>
      <c r="H980" s="105" t="n">
        <f aca="false">'[2]$ зима'!j980-'[2]$ зима'!au980-'[2]$ зима'!at980-'[2]$ зима'!as980-'[2]$ зима'!ar980-'[2]$ зима'!aq980-'[2]$ зима'!ap980-'[2]$ зима'!an980-'[2]$ зима'!am980-'[2]$ зима'!al980-'[2]$ зима'!ak980-'[2]$ зима'!aj980-'[2]$ зима'!ah980-'[2]$ зима'!ag980-'[2]$ зима'!af980-'[2]$ зима'!ae980-'[2]$ зима'!ad980-'[2]$ зима'!ab980-'[2]$ зима'!aa980-'[2]$ зима'!z980-'[2]$ зима'!y980-'[2]$ зима'!x980-'[2]$ зима'!v980-'[2]$ зима'!u980-'[2]$ зима'!t980-'[2]$ зима'!s980-'[2]$ зима'!r980-'[2]$ зима'!p980-'[2]$ зима'!o980-'[2]$ зима'!n980-'[2]$ зима'!m980-'[2]$ зима'!l980+'[2]$ зима'!q980+'[2]$ зима'!w980+'[2]$ зима'!ac980+'[2]$ зима'!ai980+'[2]$ зима'!ao980+'[2]$ зима'!k980</f>
        <v>0</v>
      </c>
      <c r="I980" s="191" t="n">
        <f aca="false">'[2]$ зима'!ay980*1.1</f>
        <v>2156</v>
      </c>
    </row>
    <row r="981" customFormat="false" ht="15" hidden="false" customHeight="false" outlineLevel="0" collapsed="false">
      <c r="A981" s="197" t="s">
        <v>1594</v>
      </c>
      <c r="B981" s="149" t="s">
        <v>606</v>
      </c>
      <c r="C981" s="148" t="s">
        <v>3156</v>
      </c>
      <c r="D981" s="148"/>
      <c r="E981" s="192" t="n">
        <v>98</v>
      </c>
      <c r="F981" s="192" t="s">
        <v>562</v>
      </c>
      <c r="G981" s="193" t="s">
        <v>609</v>
      </c>
      <c r="H981" s="105" t="n">
        <f aca="false">'[2]$ зима'!j981-'[2]$ зима'!au981-'[2]$ зима'!at981-'[2]$ зима'!as981-'[2]$ зима'!ar981-'[2]$ зима'!aq981-'[2]$ зима'!ap981-'[2]$ зима'!an981-'[2]$ зима'!am981-'[2]$ зима'!al981-'[2]$ зима'!ak981-'[2]$ зима'!aj981-'[2]$ зима'!ah981-'[2]$ зима'!ag981-'[2]$ зима'!af981-'[2]$ зима'!ae981-'[2]$ зима'!ad981-'[2]$ зима'!ab981-'[2]$ зима'!aa981-'[2]$ зима'!z981-'[2]$ зима'!y981-'[2]$ зима'!x981-'[2]$ зима'!v981-'[2]$ зима'!u981-'[2]$ зима'!t981-'[2]$ зима'!s981-'[2]$ зима'!r981-'[2]$ зима'!p981-'[2]$ зима'!o981-'[2]$ зима'!n981-'[2]$ зима'!m981-'[2]$ зима'!l981+'[2]$ зима'!q981+'[2]$ зима'!w981+'[2]$ зима'!ac981+'[2]$ зима'!ai981+'[2]$ зима'!ao981+'[2]$ зима'!k981</f>
        <v>16</v>
      </c>
      <c r="I981" s="191" t="n">
        <f aca="false">'[2]$ зима'!ay981*1.1</f>
        <v>2525.6</v>
      </c>
      <c r="J981" s="171" t="n">
        <v>2017</v>
      </c>
    </row>
    <row r="982" customFormat="false" ht="15" hidden="true" customHeight="false" outlineLevel="0" collapsed="false">
      <c r="A982" s="197" t="s">
        <v>1594</v>
      </c>
      <c r="B982" s="149" t="s">
        <v>668</v>
      </c>
      <c r="C982" s="194" t="s">
        <v>3182</v>
      </c>
      <c r="D982" s="148"/>
      <c r="E982" s="148"/>
      <c r="F982" s="192"/>
      <c r="G982" s="193" t="s">
        <v>609</v>
      </c>
      <c r="H982" s="105" t="n">
        <f aca="false">'[2]$ зима'!j982-'[2]$ зима'!au982-'[2]$ зима'!at982-'[2]$ зима'!as982-'[2]$ зима'!ar982-'[2]$ зима'!aq982-'[2]$ зима'!ap982-'[2]$ зима'!an982-'[2]$ зима'!am982-'[2]$ зима'!al982-'[2]$ зима'!ak982-'[2]$ зима'!aj982-'[2]$ зима'!ah982-'[2]$ зима'!ag982-'[2]$ зима'!af982-'[2]$ зима'!ae982-'[2]$ зима'!ad982-'[2]$ зима'!ab982-'[2]$ зима'!aa982-'[2]$ зима'!z982-'[2]$ зима'!y982-'[2]$ зима'!x982-'[2]$ зима'!v982-'[2]$ зима'!u982-'[2]$ зима'!t982-'[2]$ зима'!s982-'[2]$ зима'!r982-'[2]$ зима'!p982-'[2]$ зима'!o982-'[2]$ зима'!n982-'[2]$ зима'!m982-'[2]$ зима'!l982+'[2]$ зима'!q982+'[2]$ зима'!w982+'[2]$ зима'!ac982+'[2]$ зима'!ai982+'[2]$ зима'!ao982+'[2]$ зима'!k982</f>
        <v>0</v>
      </c>
      <c r="I982" s="191" t="n">
        <f aca="false">'[2]$ зима'!ay982*1.1</f>
        <v>2248.4</v>
      </c>
      <c r="J982" s="171" t="n">
        <v>2018</v>
      </c>
    </row>
    <row r="983" customFormat="false" ht="15" hidden="true" customHeight="false" outlineLevel="0" collapsed="false">
      <c r="A983" s="197" t="s">
        <v>1594</v>
      </c>
      <c r="B983" s="149" t="s">
        <v>668</v>
      </c>
      <c r="C983" s="194" t="s">
        <v>3594</v>
      </c>
      <c r="D983" s="148"/>
      <c r="E983" s="148"/>
      <c r="F983" s="148"/>
      <c r="G983" s="193"/>
      <c r="H983" s="105" t="n">
        <f aca="false">'[2]$ зима'!j983-'[2]$ зима'!au983-'[2]$ зима'!at983-'[2]$ зима'!as983-'[2]$ зима'!ar983-'[2]$ зима'!aq983-'[2]$ зима'!ap983-'[2]$ зима'!an983-'[2]$ зима'!am983-'[2]$ зима'!al983-'[2]$ зима'!ak983-'[2]$ зима'!aj983-'[2]$ зима'!ah983-'[2]$ зима'!ag983-'[2]$ зима'!af983-'[2]$ зима'!ae983-'[2]$ зима'!ad983-'[2]$ зима'!ab983-'[2]$ зима'!aa983-'[2]$ зима'!z983-'[2]$ зима'!y983-'[2]$ зима'!x983-'[2]$ зима'!v983-'[2]$ зима'!u983-'[2]$ зима'!t983-'[2]$ зима'!s983-'[2]$ зима'!r983-'[2]$ зима'!p983-'[2]$ зима'!o983-'[2]$ зима'!n983-'[2]$ зима'!m983-'[2]$ зима'!l983+'[2]$ зима'!q983+'[2]$ зима'!w983+'[2]$ зима'!ac983+'[2]$ зима'!ai983+'[2]$ зима'!ao983+'[2]$ зима'!k983</f>
        <v>0</v>
      </c>
      <c r="I983" s="191" t="n">
        <f aca="false">'[2]$ зима'!ay983*1.1</f>
        <v>1817.2</v>
      </c>
    </row>
    <row r="984" customFormat="false" ht="15" hidden="true" customHeight="false" outlineLevel="0" collapsed="false">
      <c r="A984" s="197" t="s">
        <v>1594</v>
      </c>
      <c r="B984" s="149" t="s">
        <v>574</v>
      </c>
      <c r="C984" s="148" t="s">
        <v>3200</v>
      </c>
      <c r="D984" s="148"/>
      <c r="E984" s="148"/>
      <c r="F984" s="148"/>
      <c r="G984" s="193" t="s">
        <v>576</v>
      </c>
      <c r="H984" s="105" t="n">
        <f aca="false">'[2]$ зима'!j984-'[2]$ зима'!au984-'[2]$ зима'!at984-'[2]$ зима'!as984-'[2]$ зима'!ar984-'[2]$ зима'!aq984-'[2]$ зима'!ap984-'[2]$ зима'!an984-'[2]$ зима'!am984-'[2]$ зима'!al984-'[2]$ зима'!ak984-'[2]$ зима'!aj984-'[2]$ зима'!ah984-'[2]$ зима'!ag984-'[2]$ зима'!af984-'[2]$ зима'!ae984-'[2]$ зима'!ad984-'[2]$ зима'!ab984-'[2]$ зима'!aa984-'[2]$ зима'!z984-'[2]$ зима'!y984-'[2]$ зима'!x984-'[2]$ зима'!v984-'[2]$ зима'!u984-'[2]$ зима'!t984-'[2]$ зима'!s984-'[2]$ зима'!r984-'[2]$ зима'!p984-'[2]$ зима'!o984-'[2]$ зима'!n984-'[2]$ зима'!m984-'[2]$ зима'!l984+'[2]$ зима'!q984+'[2]$ зима'!w984+'[2]$ зима'!ac984+'[2]$ зима'!ai984+'[2]$ зима'!ao984+'[2]$ зима'!k984</f>
        <v>0</v>
      </c>
      <c r="I984" s="191" t="n">
        <f aca="false">'[2]$ зима'!ay984*1.1</f>
        <v>2241.36</v>
      </c>
    </row>
    <row r="985" customFormat="false" ht="15" hidden="true" customHeight="false" outlineLevel="0" collapsed="false">
      <c r="A985" s="197" t="s">
        <v>1594</v>
      </c>
      <c r="B985" s="149" t="s">
        <v>577</v>
      </c>
      <c r="C985" s="148" t="s">
        <v>3595</v>
      </c>
      <c r="D985" s="148"/>
      <c r="E985" s="148" t="n">
        <v>98</v>
      </c>
      <c r="F985" s="148" t="s">
        <v>970</v>
      </c>
      <c r="G985" s="193" t="s">
        <v>563</v>
      </c>
      <c r="H985" s="105" t="n">
        <f aca="false">'[2]$ зима'!j985-'[2]$ зима'!au985-'[2]$ зима'!at985-'[2]$ зима'!as985-'[2]$ зима'!ar985-'[2]$ зима'!aq985-'[2]$ зима'!ap985-'[2]$ зима'!an985-'[2]$ зима'!am985-'[2]$ зима'!al985-'[2]$ зима'!ak985-'[2]$ зима'!aj985-'[2]$ зима'!ah985-'[2]$ зима'!ag985-'[2]$ зима'!af985-'[2]$ зима'!ae985-'[2]$ зима'!ad985-'[2]$ зима'!ab985-'[2]$ зима'!aa985-'[2]$ зима'!z985-'[2]$ зима'!y985-'[2]$ зима'!x985-'[2]$ зима'!v985-'[2]$ зима'!u985-'[2]$ зима'!t985-'[2]$ зима'!s985-'[2]$ зима'!r985-'[2]$ зима'!p985-'[2]$ зима'!o985-'[2]$ зима'!n985-'[2]$ зима'!m985-'[2]$ зима'!l985+'[2]$ зима'!q985+'[2]$ зима'!w985+'[2]$ зима'!ac985+'[2]$ зима'!ai985+'[2]$ зима'!ao985+'[2]$ зима'!k985</f>
        <v>0</v>
      </c>
      <c r="I985" s="191" t="n">
        <f aca="false">'[2]$ зима'!ay985*1.1</f>
        <v>2002</v>
      </c>
    </row>
    <row r="986" customFormat="false" ht="15" hidden="false" customHeight="false" outlineLevel="0" collapsed="false">
      <c r="A986" s="197" t="s">
        <v>1594</v>
      </c>
      <c r="B986" s="149" t="s">
        <v>1471</v>
      </c>
      <c r="C986" s="148" t="s">
        <v>3202</v>
      </c>
      <c r="D986" s="148"/>
      <c r="E986" s="192"/>
      <c r="F986" s="192"/>
      <c r="G986" s="193"/>
      <c r="H986" s="105" t="n">
        <f aca="false">'[2]$ зима'!j986-'[2]$ зима'!au986-'[2]$ зима'!at986-'[2]$ зима'!as986-'[2]$ зима'!ar986-'[2]$ зима'!aq986-'[2]$ зима'!ap986-'[2]$ зима'!an986-'[2]$ зима'!am986-'[2]$ зима'!al986-'[2]$ зима'!ak986-'[2]$ зима'!aj986-'[2]$ зима'!ah986-'[2]$ зима'!ag986-'[2]$ зима'!af986-'[2]$ зима'!ae986-'[2]$ зима'!ad986-'[2]$ зима'!ab986-'[2]$ зима'!aa986-'[2]$ зима'!z986-'[2]$ зима'!y986-'[2]$ зима'!x986-'[2]$ зима'!v986-'[2]$ зима'!u986-'[2]$ зима'!t986-'[2]$ зима'!s986-'[2]$ зима'!r986-'[2]$ зима'!p986-'[2]$ зима'!o986-'[2]$ зима'!n986-'[2]$ зима'!m986-'[2]$ зима'!l986+'[2]$ зима'!q986+'[2]$ зима'!w986+'[2]$ зима'!ac986+'[2]$ зима'!ai986+'[2]$ зима'!ao986+'[2]$ зима'!k986</f>
        <v>2</v>
      </c>
      <c r="I986" s="191" t="n">
        <f aca="false">'[2]$ зима'!ay986*1.1</f>
        <v>1848</v>
      </c>
    </row>
    <row r="987" customFormat="false" ht="15" hidden="false" customHeight="false" outlineLevel="0" collapsed="false">
      <c r="A987" s="197" t="s">
        <v>1594</v>
      </c>
      <c r="B987" s="149" t="s">
        <v>583</v>
      </c>
      <c r="C987" s="148" t="s">
        <v>3303</v>
      </c>
      <c r="D987" s="148"/>
      <c r="E987" s="192"/>
      <c r="F987" s="192" t="s">
        <v>3286</v>
      </c>
      <c r="G987" s="193"/>
      <c r="H987" s="105" t="n">
        <f aca="false">'[2]$ зима'!j987-'[2]$ зима'!au987-'[2]$ зима'!at987-'[2]$ зима'!as987-'[2]$ зима'!ar987-'[2]$ зима'!aq987-'[2]$ зима'!ap987-'[2]$ зима'!an987-'[2]$ зима'!am987-'[2]$ зима'!al987-'[2]$ зима'!ak987-'[2]$ зима'!aj987-'[2]$ зима'!ah987-'[2]$ зима'!ag987-'[2]$ зима'!af987-'[2]$ зима'!ae987-'[2]$ зима'!ad987-'[2]$ зима'!ab987-'[2]$ зима'!aa987-'[2]$ зима'!z987-'[2]$ зима'!y987-'[2]$ зима'!x987-'[2]$ зима'!v987-'[2]$ зима'!u987-'[2]$ зима'!t987-'[2]$ зима'!s987-'[2]$ зима'!r987-'[2]$ зима'!p987-'[2]$ зима'!o987-'[2]$ зима'!n987-'[2]$ зима'!m987-'[2]$ зима'!l987+'[2]$ зима'!q987+'[2]$ зима'!w987+'[2]$ зима'!ac987+'[2]$ зима'!ai987+'[2]$ зима'!ao987+'[2]$ зима'!k987</f>
        <v>4</v>
      </c>
      <c r="I987" s="191" t="n">
        <f aca="false">'[2]$ зима'!ay987*1.1</f>
        <v>2032.8</v>
      </c>
    </row>
    <row r="988" customFormat="false" ht="15" hidden="false" customHeight="false" outlineLevel="0" collapsed="false">
      <c r="A988" s="197" t="s">
        <v>1594</v>
      </c>
      <c r="B988" s="149" t="s">
        <v>593</v>
      </c>
      <c r="C988" s="148" t="s">
        <v>3428</v>
      </c>
      <c r="D988" s="148"/>
      <c r="E988" s="192" t="n">
        <v>98</v>
      </c>
      <c r="F988" s="192" t="s">
        <v>832</v>
      </c>
      <c r="G988" s="193" t="s">
        <v>843</v>
      </c>
      <c r="H988" s="105" t="n">
        <f aca="false">'[2]$ зима'!j988-'[2]$ зима'!au988-'[2]$ зима'!at988-'[2]$ зима'!as988-'[2]$ зима'!ar988-'[2]$ зима'!aq988-'[2]$ зима'!ap988-'[2]$ зима'!an988-'[2]$ зима'!am988-'[2]$ зима'!al988-'[2]$ зима'!ak988-'[2]$ зима'!aj988-'[2]$ зима'!ah988-'[2]$ зима'!ag988-'[2]$ зима'!af988-'[2]$ зима'!ae988-'[2]$ зима'!ad988-'[2]$ зима'!ab988-'[2]$ зима'!aa988-'[2]$ зима'!z988-'[2]$ зима'!y988-'[2]$ зима'!x988-'[2]$ зима'!v988-'[2]$ зима'!u988-'[2]$ зима'!t988-'[2]$ зима'!s988-'[2]$ зима'!r988-'[2]$ зима'!p988-'[2]$ зима'!o988-'[2]$ зима'!n988-'[2]$ зима'!m988-'[2]$ зима'!l988+'[2]$ зима'!q988+'[2]$ зима'!w988+'[2]$ зима'!ac988+'[2]$ зима'!ai988+'[2]$ зима'!ao988+'[2]$ зима'!k988</f>
        <v>6</v>
      </c>
      <c r="I988" s="191" t="n">
        <f aca="false">'[2]$ зима'!ay988*1.1</f>
        <v>3757.6</v>
      </c>
      <c r="J988" s="171" t="n">
        <v>2016</v>
      </c>
    </row>
    <row r="989" customFormat="false" ht="15" hidden="true" customHeight="false" outlineLevel="0" collapsed="false">
      <c r="A989" s="197" t="s">
        <v>1594</v>
      </c>
      <c r="B989" s="149" t="s">
        <v>593</v>
      </c>
      <c r="C989" s="148" t="s">
        <v>3237</v>
      </c>
      <c r="D989" s="148"/>
      <c r="E989" s="148"/>
      <c r="F989" s="148"/>
      <c r="G989" s="193"/>
      <c r="H989" s="105" t="n">
        <f aca="false">'[2]$ зима'!j989-'[2]$ зима'!au989-'[2]$ зима'!at989-'[2]$ зима'!as989-'[2]$ зима'!ar989-'[2]$ зима'!aq989-'[2]$ зима'!ap989-'[2]$ зима'!an989-'[2]$ зима'!am989-'[2]$ зима'!al989-'[2]$ зима'!ak989-'[2]$ зима'!aj989-'[2]$ зима'!ah989-'[2]$ зима'!ag989-'[2]$ зима'!af989-'[2]$ зима'!ae989-'[2]$ зима'!ad989-'[2]$ зима'!ab989-'[2]$ зима'!aa989-'[2]$ зима'!z989-'[2]$ зима'!y989-'[2]$ зима'!x989-'[2]$ зима'!v989-'[2]$ зима'!u989-'[2]$ зима'!t989-'[2]$ зима'!s989-'[2]$ зима'!r989-'[2]$ зима'!p989-'[2]$ зима'!o989-'[2]$ зима'!n989-'[2]$ зима'!m989-'[2]$ зима'!l989+'[2]$ зима'!q989+'[2]$ зима'!w989+'[2]$ зима'!ac989+'[2]$ зима'!ai989+'[2]$ зима'!ao989+'[2]$ зима'!k989</f>
        <v>0</v>
      </c>
      <c r="I989" s="191" t="n">
        <f aca="false">'[2]$ зима'!ay989*1.1</f>
        <v>3080</v>
      </c>
      <c r="J989" s="171" t="n">
        <v>2011</v>
      </c>
    </row>
    <row r="990" customFormat="false" ht="15" hidden="false" customHeight="false" outlineLevel="0" collapsed="false">
      <c r="A990" s="197" t="s">
        <v>1594</v>
      </c>
      <c r="B990" s="149" t="s">
        <v>593</v>
      </c>
      <c r="C990" s="148" t="s">
        <v>3324</v>
      </c>
      <c r="D990" s="148"/>
      <c r="E990" s="192"/>
      <c r="F990" s="192" t="s">
        <v>3286</v>
      </c>
      <c r="G990" s="193" t="s">
        <v>935</v>
      </c>
      <c r="H990" s="105" t="n">
        <f aca="false">'[2]$ зима'!j990-'[2]$ зима'!au990-'[2]$ зима'!at990-'[2]$ зима'!as990-'[2]$ зима'!ar990-'[2]$ зима'!aq990-'[2]$ зима'!ap990-'[2]$ зима'!an990-'[2]$ зима'!am990-'[2]$ зима'!al990-'[2]$ зима'!ak990-'[2]$ зима'!aj990-'[2]$ зима'!ah990-'[2]$ зима'!ag990-'[2]$ зима'!af990-'[2]$ зима'!ae990-'[2]$ зима'!ad990-'[2]$ зима'!ab990-'[2]$ зима'!aa990-'[2]$ зима'!z990-'[2]$ зима'!y990-'[2]$ зима'!x990-'[2]$ зима'!v990-'[2]$ зима'!u990-'[2]$ зима'!t990-'[2]$ зима'!s990-'[2]$ зима'!r990-'[2]$ зима'!p990-'[2]$ зима'!o990-'[2]$ зима'!n990-'[2]$ зима'!m990-'[2]$ зима'!l990+'[2]$ зима'!q990+'[2]$ зима'!w990+'[2]$ зима'!ac990+'[2]$ зима'!ai990+'[2]$ зима'!ao990+'[2]$ зима'!k990</f>
        <v>10</v>
      </c>
      <c r="I990" s="191" t="n">
        <f aca="false">'[2]$ зима'!ay990*1.1</f>
        <v>3850</v>
      </c>
      <c r="J990" s="171" t="n">
        <v>2017</v>
      </c>
    </row>
    <row r="991" customFormat="false" ht="15" hidden="false" customHeight="false" outlineLevel="0" collapsed="false">
      <c r="A991" s="197" t="s">
        <v>1594</v>
      </c>
      <c r="B991" s="149" t="s">
        <v>3142</v>
      </c>
      <c r="C991" s="148" t="s">
        <v>3222</v>
      </c>
      <c r="D991" s="148"/>
      <c r="E991" s="192"/>
      <c r="F991" s="192"/>
      <c r="G991" s="193"/>
      <c r="H991" s="105" t="n">
        <f aca="false">'[2]$ зима'!j991-'[2]$ зима'!au991-'[2]$ зима'!at991-'[2]$ зима'!as991-'[2]$ зима'!ar991-'[2]$ зима'!aq991-'[2]$ зима'!ap991-'[2]$ зима'!an991-'[2]$ зима'!am991-'[2]$ зима'!al991-'[2]$ зима'!ak991-'[2]$ зима'!aj991-'[2]$ зима'!ah991-'[2]$ зима'!ag991-'[2]$ зима'!af991-'[2]$ зима'!ae991-'[2]$ зима'!ad991-'[2]$ зима'!ab991-'[2]$ зима'!aa991-'[2]$ зима'!z991-'[2]$ зима'!y991-'[2]$ зима'!x991-'[2]$ зима'!v991-'[2]$ зима'!u991-'[2]$ зима'!t991-'[2]$ зима'!s991-'[2]$ зима'!r991-'[2]$ зима'!p991-'[2]$ зима'!o991-'[2]$ зима'!n991-'[2]$ зима'!m991-'[2]$ зима'!l991+'[2]$ зима'!q991+'[2]$ зима'!w991+'[2]$ зима'!ac991+'[2]$ зима'!ai991+'[2]$ зима'!ao991+'[2]$ зима'!k991</f>
        <v>4</v>
      </c>
      <c r="I991" s="191" t="n">
        <f aca="false">'[2]$ зима'!ay991*1.1</f>
        <v>2002</v>
      </c>
    </row>
    <row r="992" customFormat="false" ht="15" hidden="false" customHeight="false" outlineLevel="0" collapsed="false">
      <c r="A992" s="197" t="s">
        <v>1594</v>
      </c>
      <c r="B992" s="149" t="s">
        <v>3142</v>
      </c>
      <c r="C992" s="148" t="s">
        <v>3369</v>
      </c>
      <c r="D992" s="148" t="s">
        <v>3127</v>
      </c>
      <c r="E992" s="192"/>
      <c r="F992" s="192"/>
      <c r="G992" s="193"/>
      <c r="H992" s="105" t="n">
        <f aca="false">'[2]$ зима'!j992-'[2]$ зима'!au992-'[2]$ зима'!at992-'[2]$ зима'!as992-'[2]$ зима'!ar992-'[2]$ зима'!aq992-'[2]$ зима'!ap992-'[2]$ зима'!an992-'[2]$ зима'!am992-'[2]$ зима'!al992-'[2]$ зима'!ak992-'[2]$ зима'!aj992-'[2]$ зима'!ah992-'[2]$ зима'!ag992-'[2]$ зима'!af992-'[2]$ зима'!ae992-'[2]$ зима'!ad992-'[2]$ зима'!ab992-'[2]$ зима'!aa992-'[2]$ зима'!z992-'[2]$ зима'!y992-'[2]$ зима'!x992-'[2]$ зима'!v992-'[2]$ зима'!u992-'[2]$ зима'!t992-'[2]$ зима'!s992-'[2]$ зима'!r992-'[2]$ зима'!p992-'[2]$ зима'!o992-'[2]$ зима'!n992-'[2]$ зима'!m992-'[2]$ зима'!l992+'[2]$ зима'!q992+'[2]$ зима'!w992+'[2]$ зима'!ac992+'[2]$ зима'!ai992+'[2]$ зима'!ao992+'[2]$ зима'!k992</f>
        <v>4</v>
      </c>
      <c r="I992" s="191" t="n">
        <f aca="false">'[2]$ зима'!ay992*1.1</f>
        <v>2156</v>
      </c>
      <c r="J992" s="171" t="n">
        <v>2017</v>
      </c>
    </row>
    <row r="993" customFormat="false" ht="15" hidden="false" customHeight="false" outlineLevel="0" collapsed="false">
      <c r="A993" s="197" t="s">
        <v>1594</v>
      </c>
      <c r="B993" s="149" t="s">
        <v>3254</v>
      </c>
      <c r="C993" s="148" t="s">
        <v>3596</v>
      </c>
      <c r="D993" s="148"/>
      <c r="E993" s="192"/>
      <c r="F993" s="192"/>
      <c r="G993" s="193"/>
      <c r="H993" s="105" t="n">
        <f aca="false">'[2]$ зима'!j993-'[2]$ зима'!au993-'[2]$ зима'!at993-'[2]$ зима'!as993-'[2]$ зима'!ar993-'[2]$ зима'!aq993-'[2]$ зима'!ap993-'[2]$ зима'!an993-'[2]$ зима'!am993-'[2]$ зима'!al993-'[2]$ зима'!ak993-'[2]$ зима'!aj993-'[2]$ зима'!ah993-'[2]$ зима'!ag993-'[2]$ зима'!af993-'[2]$ зима'!ae993-'[2]$ зима'!ad993-'[2]$ зима'!ab993-'[2]$ зима'!aa993-'[2]$ зима'!z993-'[2]$ зима'!y993-'[2]$ зима'!x993-'[2]$ зима'!v993-'[2]$ зима'!u993-'[2]$ зима'!t993-'[2]$ зима'!s993-'[2]$ зима'!r993-'[2]$ зима'!p993-'[2]$ зима'!o993-'[2]$ зима'!n993-'[2]$ зима'!m993-'[2]$ зима'!l993+'[2]$ зима'!q993+'[2]$ зима'!w993+'[2]$ зима'!ac993+'[2]$ зима'!ai993+'[2]$ зима'!ao993+'[2]$ зима'!k993</f>
        <v>8</v>
      </c>
      <c r="I993" s="191" t="n">
        <f aca="false">'[2]$ зима'!ay993*1.1</f>
        <v>2217.6</v>
      </c>
      <c r="J993" s="171" t="n">
        <v>2016</v>
      </c>
    </row>
    <row r="994" customFormat="false" ht="15" hidden="true" customHeight="false" outlineLevel="0" collapsed="false">
      <c r="A994" s="197" t="s">
        <v>1594</v>
      </c>
      <c r="B994" s="149" t="s">
        <v>1149</v>
      </c>
      <c r="C994" s="148" t="s">
        <v>3529</v>
      </c>
      <c r="D994" s="148"/>
      <c r="E994" s="148"/>
      <c r="F994" s="148"/>
      <c r="G994" s="193"/>
      <c r="H994" s="105" t="n">
        <f aca="false">'[2]$ зима'!j994-'[2]$ зима'!au994-'[2]$ зима'!at994-'[2]$ зима'!as994-'[2]$ зима'!ar994-'[2]$ зима'!aq994-'[2]$ зима'!ap994-'[2]$ зима'!an994-'[2]$ зима'!am994-'[2]$ зима'!al994-'[2]$ зима'!ak994-'[2]$ зима'!aj994-'[2]$ зима'!ah994-'[2]$ зима'!ag994-'[2]$ зима'!af994-'[2]$ зима'!ae994-'[2]$ зима'!ad994-'[2]$ зима'!ab994-'[2]$ зима'!aa994-'[2]$ зима'!z994-'[2]$ зима'!y994-'[2]$ зима'!x994-'[2]$ зима'!v994-'[2]$ зима'!u994-'[2]$ зима'!t994-'[2]$ зима'!s994-'[2]$ зима'!r994-'[2]$ зима'!p994-'[2]$ зима'!o994-'[2]$ зима'!n994-'[2]$ зима'!m994-'[2]$ зима'!l994+'[2]$ зима'!q994+'[2]$ зима'!w994+'[2]$ зима'!ac994+'[2]$ зима'!ai994+'[2]$ зима'!ao994+'[2]$ зима'!k994</f>
        <v>0</v>
      </c>
      <c r="I994" s="191" t="n">
        <f aca="false">'[2]$ зима'!ay994*1.1</f>
        <v>1848</v>
      </c>
    </row>
    <row r="995" customFormat="false" ht="15" hidden="false" customHeight="false" outlineLevel="0" collapsed="false">
      <c r="A995" s="188" t="s">
        <v>1594</v>
      </c>
      <c r="B995" s="149" t="s">
        <v>3142</v>
      </c>
      <c r="C995" s="148" t="s">
        <v>3597</v>
      </c>
      <c r="D995" s="148" t="s">
        <v>3127</v>
      </c>
      <c r="E995" s="192"/>
      <c r="F995" s="192"/>
      <c r="G995" s="193" t="s">
        <v>609</v>
      </c>
      <c r="H995" s="105" t="n">
        <f aca="false">'[2]$ зима'!j995-'[2]$ зима'!au995-'[2]$ зима'!at995-'[2]$ зима'!as995-'[2]$ зима'!ar995-'[2]$ зима'!aq995-'[2]$ зима'!ap995-'[2]$ зима'!an995-'[2]$ зима'!am995-'[2]$ зима'!al995-'[2]$ зима'!ak995-'[2]$ зима'!aj995-'[2]$ зима'!ah995-'[2]$ зима'!ag995-'[2]$ зима'!af995-'[2]$ зима'!ae995-'[2]$ зима'!ad995-'[2]$ зима'!ab995-'[2]$ зима'!aa995-'[2]$ зима'!z995-'[2]$ зима'!y995-'[2]$ зима'!x995-'[2]$ зима'!v995-'[2]$ зима'!u995-'[2]$ зима'!t995-'[2]$ зима'!s995-'[2]$ зима'!r995-'[2]$ зима'!p995-'[2]$ зима'!o995-'[2]$ зима'!n995-'[2]$ зима'!m995-'[2]$ зима'!l995+'[2]$ зима'!q995+'[2]$ зима'!w995+'[2]$ зима'!ac995+'[2]$ зима'!ai995+'[2]$ зима'!ao995+'[2]$ зима'!k995</f>
        <v>4</v>
      </c>
      <c r="I995" s="191" t="n">
        <f aca="false">'[2]$ зима'!ay995*1.1</f>
        <v>2032.8</v>
      </c>
      <c r="J995" s="171" t="n">
        <v>2016</v>
      </c>
    </row>
    <row r="996" customFormat="false" ht="15" hidden="false" customHeight="false" outlineLevel="0" collapsed="false">
      <c r="A996" s="188" t="s">
        <v>1594</v>
      </c>
      <c r="B996" s="149" t="s">
        <v>677</v>
      </c>
      <c r="C996" s="194" t="s">
        <v>3598</v>
      </c>
      <c r="D996" s="148"/>
      <c r="E996" s="192"/>
      <c r="F996" s="192" t="s">
        <v>3286</v>
      </c>
      <c r="G996" s="193"/>
      <c r="H996" s="105" t="n">
        <f aca="false">'[2]$ зима'!j996-'[2]$ зима'!au996-'[2]$ зима'!at996-'[2]$ зима'!as996-'[2]$ зима'!ar996-'[2]$ зима'!aq996-'[2]$ зима'!ap996-'[2]$ зима'!an996-'[2]$ зима'!am996-'[2]$ зима'!al996-'[2]$ зима'!ak996-'[2]$ зима'!aj996-'[2]$ зима'!ah996-'[2]$ зима'!ag996-'[2]$ зима'!af996-'[2]$ зима'!ae996-'[2]$ зима'!ad996-'[2]$ зима'!ab996-'[2]$ зима'!aa996-'[2]$ зима'!z996-'[2]$ зима'!y996-'[2]$ зима'!x996-'[2]$ зима'!v996-'[2]$ зима'!u996-'[2]$ зима'!t996-'[2]$ зима'!s996-'[2]$ зима'!r996-'[2]$ зима'!p996-'[2]$ зима'!o996-'[2]$ зима'!n996-'[2]$ зима'!m996-'[2]$ зима'!l996+'[2]$ зима'!q996+'[2]$ зима'!w996+'[2]$ зима'!ac996+'[2]$ зима'!ai996+'[2]$ зима'!ao996+'[2]$ зима'!k996</f>
        <v>2</v>
      </c>
      <c r="I996" s="191" t="n">
        <f aca="false">'[2]$ зима'!ay996*1.1</f>
        <v>1755.6</v>
      </c>
      <c r="J996" s="171" t="n">
        <v>2017</v>
      </c>
    </row>
    <row r="997" customFormat="false" ht="15" hidden="false" customHeight="false" outlineLevel="0" collapsed="false">
      <c r="A997" s="188" t="s">
        <v>1594</v>
      </c>
      <c r="B997" s="149" t="s">
        <v>621</v>
      </c>
      <c r="C997" s="148" t="s">
        <v>3293</v>
      </c>
      <c r="D997" s="148"/>
      <c r="E997" s="192" t="n">
        <v>98</v>
      </c>
      <c r="F997" s="192" t="s">
        <v>970</v>
      </c>
      <c r="G997" s="193"/>
      <c r="H997" s="105" t="n">
        <f aca="false">'[2]$ зима'!j997-'[2]$ зима'!au997-'[2]$ зима'!at997-'[2]$ зима'!as997-'[2]$ зима'!ar997-'[2]$ зима'!aq997-'[2]$ зима'!ap997-'[2]$ зима'!an997-'[2]$ зима'!am997-'[2]$ зима'!al997-'[2]$ зима'!ak997-'[2]$ зима'!aj997-'[2]$ зима'!ah997-'[2]$ зима'!ag997-'[2]$ зима'!af997-'[2]$ зима'!ae997-'[2]$ зима'!ad997-'[2]$ зима'!ab997-'[2]$ зима'!aa997-'[2]$ зима'!z997-'[2]$ зима'!y997-'[2]$ зима'!x997-'[2]$ зима'!v997-'[2]$ зима'!u997-'[2]$ зима'!t997-'[2]$ зима'!s997-'[2]$ зима'!r997-'[2]$ зима'!p997-'[2]$ зима'!o997-'[2]$ зима'!n997-'[2]$ зима'!m997-'[2]$ зима'!l997+'[2]$ зима'!q997+'[2]$ зима'!w997+'[2]$ зима'!ac997+'[2]$ зима'!ai997+'[2]$ зима'!ao997+'[2]$ зима'!k997</f>
        <v>4</v>
      </c>
      <c r="I997" s="191" t="n">
        <f aca="false">'[2]$ зима'!ay997*1.1</f>
        <v>1705</v>
      </c>
      <c r="J997" s="171" t="n">
        <v>2018</v>
      </c>
    </row>
    <row r="998" customFormat="false" ht="15" hidden="false" customHeight="false" outlineLevel="0" collapsed="false">
      <c r="A998" s="196" t="s">
        <v>1594</v>
      </c>
      <c r="B998" s="149" t="s">
        <v>589</v>
      </c>
      <c r="C998" s="229" t="s">
        <v>3599</v>
      </c>
      <c r="D998" s="148"/>
      <c r="E998" s="192"/>
      <c r="F998" s="192"/>
      <c r="G998" s="193" t="s">
        <v>626</v>
      </c>
      <c r="H998" s="105" t="n">
        <f aca="false">'[2]$ зима'!j998-'[2]$ зима'!au998-'[2]$ зима'!at998-'[2]$ зима'!as998-'[2]$ зима'!ar998-'[2]$ зима'!aq998-'[2]$ зима'!ap998-'[2]$ зима'!an998-'[2]$ зима'!am998-'[2]$ зима'!al998-'[2]$ зима'!ak998-'[2]$ зима'!aj998-'[2]$ зима'!ah998-'[2]$ зима'!ag998-'[2]$ зима'!af998-'[2]$ зима'!ae998-'[2]$ зима'!ad998-'[2]$ зима'!ab998-'[2]$ зима'!aa998-'[2]$ зима'!z998-'[2]$ зима'!y998-'[2]$ зима'!x998-'[2]$ зима'!v998-'[2]$ зима'!u998-'[2]$ зима'!t998-'[2]$ зима'!s998-'[2]$ зима'!r998-'[2]$ зима'!p998-'[2]$ зима'!o998-'[2]$ зима'!n998-'[2]$ зима'!m998-'[2]$ зима'!l998+'[2]$ зима'!q998+'[2]$ зима'!w998+'[2]$ зима'!ac998+'[2]$ зима'!ai998+'[2]$ зима'!ao998+'[2]$ зима'!k998</f>
        <v>1</v>
      </c>
      <c r="I998" s="191" t="n">
        <f aca="false">'[2]$ зима'!ay998*1.1</f>
        <v>3061.52</v>
      </c>
    </row>
    <row r="999" customFormat="false" ht="15" hidden="false" customHeight="false" outlineLevel="0" collapsed="false">
      <c r="A999" s="196" t="s">
        <v>1594</v>
      </c>
      <c r="B999" s="149" t="s">
        <v>589</v>
      </c>
      <c r="C999" s="148" t="s">
        <v>3209</v>
      </c>
      <c r="D999" s="148"/>
      <c r="E999" s="192" t="n">
        <v>91</v>
      </c>
      <c r="F999" s="192" t="s">
        <v>3207</v>
      </c>
      <c r="G999" s="193" t="s">
        <v>626</v>
      </c>
      <c r="H999" s="105" t="n">
        <f aca="false">'[2]$ зима'!j999-'[2]$ зима'!au999-'[2]$ зима'!at999-'[2]$ зима'!as999-'[2]$ зима'!ar999-'[2]$ зима'!aq999-'[2]$ зима'!ap999-'[2]$ зима'!an999-'[2]$ зима'!am999-'[2]$ зима'!al999-'[2]$ зима'!ak999-'[2]$ зима'!aj999-'[2]$ зима'!ah999-'[2]$ зима'!ag999-'[2]$ зима'!af999-'[2]$ зима'!ae999-'[2]$ зима'!ad999-'[2]$ зима'!ab999-'[2]$ зима'!aa999-'[2]$ зима'!z999-'[2]$ зима'!y999-'[2]$ зима'!x999-'[2]$ зима'!v999-'[2]$ зима'!u999-'[2]$ зима'!t999-'[2]$ зима'!s999-'[2]$ зима'!r999-'[2]$ зима'!p999-'[2]$ зима'!o999-'[2]$ зима'!n999-'[2]$ зима'!m999-'[2]$ зима'!l999+'[2]$ зима'!q999+'[2]$ зима'!w999+'[2]$ зима'!ac999+'[2]$ зима'!ai999+'[2]$ зима'!ao999+'[2]$ зима'!k999</f>
        <v>8</v>
      </c>
      <c r="I999" s="191" t="n">
        <f aca="false">'[2]$ зима'!ay999*1.1</f>
        <v>3467.64</v>
      </c>
    </row>
    <row r="1000" customFormat="false" ht="15" hidden="false" customHeight="false" outlineLevel="0" collapsed="false">
      <c r="A1000" s="196" t="s">
        <v>1594</v>
      </c>
      <c r="B1000" s="149" t="s">
        <v>589</v>
      </c>
      <c r="C1000" s="148" t="s">
        <v>3225</v>
      </c>
      <c r="D1000" s="148"/>
      <c r="E1000" s="192" t="n">
        <v>94</v>
      </c>
      <c r="F1000" s="192" t="s">
        <v>3207</v>
      </c>
      <c r="G1000" s="193" t="s">
        <v>626</v>
      </c>
      <c r="H1000" s="105" t="n">
        <f aca="false">'[2]$ зима'!j1000-'[2]$ зима'!au1000-'[2]$ зима'!at1000-'[2]$ зима'!as1000-'[2]$ зима'!ar1000-'[2]$ зима'!aq1000-'[2]$ зима'!ap1000-'[2]$ зима'!an1000-'[2]$ зима'!am1000-'[2]$ зима'!al1000-'[2]$ зима'!ak1000-'[2]$ зима'!aj1000-'[2]$ зима'!ah1000-'[2]$ зима'!ag1000-'[2]$ зима'!af1000-'[2]$ зима'!ae1000-'[2]$ зима'!ad1000-'[2]$ зима'!ab1000-'[2]$ зима'!aa1000-'[2]$ зима'!z1000-'[2]$ зима'!y1000-'[2]$ зима'!x1000-'[2]$ зима'!v1000-'[2]$ зима'!u1000-'[2]$ зима'!t1000-'[2]$ зима'!s1000-'[2]$ зима'!r1000-'[2]$ зима'!p1000-'[2]$ зима'!o1000-'[2]$ зима'!n1000-'[2]$ зима'!m1000-'[2]$ зима'!l1000+'[2]$ зима'!q1000+'[2]$ зима'!w1000+'[2]$ зима'!ac1000+'[2]$ зима'!ai1000+'[2]$ зима'!ao1000+'[2]$ зима'!k1000</f>
        <v>12</v>
      </c>
      <c r="I1000" s="191" t="n">
        <f aca="false">'[2]$ зима'!ay1000*1.1</f>
        <v>3623.84</v>
      </c>
      <c r="J1000" s="171" t="n">
        <v>2018</v>
      </c>
    </row>
    <row r="1001" customFormat="false" ht="15" hidden="false" customHeight="false" outlineLevel="0" collapsed="false">
      <c r="A1001" s="196" t="s">
        <v>1594</v>
      </c>
      <c r="B1001" s="149" t="s">
        <v>564</v>
      </c>
      <c r="C1001" s="148" t="s">
        <v>3600</v>
      </c>
      <c r="D1001" s="148"/>
      <c r="E1001" s="192" t="n">
        <v>98</v>
      </c>
      <c r="F1001" s="192" t="s">
        <v>3220</v>
      </c>
      <c r="G1001" s="193"/>
      <c r="H1001" s="105" t="n">
        <f aca="false">'[2]$ зима'!j1001-'[2]$ зима'!au1001-'[2]$ зима'!at1001-'[2]$ зима'!as1001-'[2]$ зима'!ar1001-'[2]$ зима'!aq1001-'[2]$ зима'!ap1001-'[2]$ зима'!an1001-'[2]$ зима'!am1001-'[2]$ зима'!al1001-'[2]$ зима'!ak1001-'[2]$ зима'!aj1001-'[2]$ зима'!ah1001-'[2]$ зима'!ag1001-'[2]$ зима'!af1001-'[2]$ зима'!ae1001-'[2]$ зима'!ad1001-'[2]$ зима'!ab1001-'[2]$ зима'!aa1001-'[2]$ зима'!z1001-'[2]$ зима'!y1001-'[2]$ зима'!x1001-'[2]$ зима'!v1001-'[2]$ зима'!u1001-'[2]$ зима'!t1001-'[2]$ зима'!s1001-'[2]$ зима'!r1001-'[2]$ зима'!p1001-'[2]$ зима'!o1001-'[2]$ зима'!n1001-'[2]$ зима'!m1001-'[2]$ зима'!l1001+'[2]$ зима'!q1001+'[2]$ зима'!w1001+'[2]$ зима'!ac1001+'[2]$ зима'!ai1001+'[2]$ зима'!ao1001+'[2]$ зима'!k1001</f>
        <v>2</v>
      </c>
      <c r="I1001" s="191" t="n">
        <f aca="false">'[2]$ зима'!ay1001*1.1</f>
        <v>1601.6</v>
      </c>
      <c r="J1001" s="171" t="n">
        <v>2017</v>
      </c>
    </row>
    <row r="1002" customFormat="false" ht="15" hidden="false" customHeight="false" outlineLevel="0" collapsed="false">
      <c r="A1002" s="196" t="s">
        <v>1594</v>
      </c>
      <c r="B1002" s="149" t="s">
        <v>564</v>
      </c>
      <c r="C1002" s="148" t="s">
        <v>3438</v>
      </c>
      <c r="D1002" s="148"/>
      <c r="E1002" s="192" t="n">
        <v>98</v>
      </c>
      <c r="F1002" s="192" t="s">
        <v>634</v>
      </c>
      <c r="G1002" s="193"/>
      <c r="H1002" s="105" t="n">
        <f aca="false">'[2]$ зима'!j1002-'[2]$ зима'!au1002-'[2]$ зима'!at1002-'[2]$ зима'!as1002-'[2]$ зима'!ar1002-'[2]$ зима'!aq1002-'[2]$ зима'!ap1002-'[2]$ зима'!an1002-'[2]$ зима'!am1002-'[2]$ зима'!al1002-'[2]$ зима'!ak1002-'[2]$ зима'!aj1002-'[2]$ зима'!ah1002-'[2]$ зима'!ag1002-'[2]$ зима'!af1002-'[2]$ зима'!ae1002-'[2]$ зима'!ad1002-'[2]$ зима'!ab1002-'[2]$ зима'!aa1002-'[2]$ зима'!z1002-'[2]$ зима'!y1002-'[2]$ зима'!x1002-'[2]$ зима'!v1002-'[2]$ зима'!u1002-'[2]$ зима'!t1002-'[2]$ зима'!s1002-'[2]$ зима'!r1002-'[2]$ зима'!p1002-'[2]$ зима'!o1002-'[2]$ зима'!n1002-'[2]$ зима'!m1002-'[2]$ зима'!l1002+'[2]$ зима'!q1002+'[2]$ зима'!w1002+'[2]$ зима'!ac1002+'[2]$ зима'!ai1002+'[2]$ зима'!ao1002+'[2]$ зима'!k1002</f>
        <v>4</v>
      </c>
      <c r="I1002" s="191" t="n">
        <f aca="false">'[2]$ зима'!ay1002*1.1</f>
        <v>1694</v>
      </c>
    </row>
    <row r="1003" customFormat="false" ht="15" hidden="true" customHeight="false" outlineLevel="0" collapsed="false">
      <c r="A1003" s="196" t="s">
        <v>1594</v>
      </c>
      <c r="B1003" s="149" t="s">
        <v>1028</v>
      </c>
      <c r="C1003" s="148" t="s">
        <v>3177</v>
      </c>
      <c r="D1003" s="148"/>
      <c r="E1003" s="148"/>
      <c r="F1003" s="148"/>
      <c r="G1003" s="193"/>
      <c r="H1003" s="105" t="n">
        <f aca="false">'[2]$ зима'!j1003-'[2]$ зима'!au1003-'[2]$ зима'!at1003-'[2]$ зима'!as1003-'[2]$ зима'!ar1003-'[2]$ зима'!aq1003-'[2]$ зима'!ap1003-'[2]$ зима'!an1003-'[2]$ зима'!am1003-'[2]$ зима'!al1003-'[2]$ зима'!ak1003-'[2]$ зима'!aj1003-'[2]$ зима'!ah1003-'[2]$ зима'!ag1003-'[2]$ зима'!af1003-'[2]$ зима'!ae1003-'[2]$ зима'!ad1003-'[2]$ зима'!ab1003-'[2]$ зима'!aa1003-'[2]$ зима'!z1003-'[2]$ зима'!y1003-'[2]$ зима'!x1003-'[2]$ зима'!v1003-'[2]$ зима'!u1003-'[2]$ зима'!t1003-'[2]$ зима'!s1003-'[2]$ зима'!r1003-'[2]$ зима'!p1003-'[2]$ зима'!o1003-'[2]$ зима'!n1003-'[2]$ зима'!m1003-'[2]$ зима'!l1003+'[2]$ зима'!q1003+'[2]$ зима'!w1003+'[2]$ зима'!ac1003+'[2]$ зима'!ai1003+'[2]$ зима'!ao1003+'[2]$ зима'!k1003</f>
        <v>0</v>
      </c>
      <c r="I1003" s="191" t="n">
        <f aca="false">'[2]$ зима'!ay1003*1.1</f>
        <v>3080</v>
      </c>
    </row>
    <row r="1004" customFormat="false" ht="15" hidden="false" customHeight="false" outlineLevel="0" collapsed="false">
      <c r="A1004" s="196" t="s">
        <v>1594</v>
      </c>
      <c r="B1004" s="149" t="s">
        <v>1176</v>
      </c>
      <c r="C1004" s="148" t="s">
        <v>3578</v>
      </c>
      <c r="D1004" s="148"/>
      <c r="E1004" s="192" t="n">
        <v>94</v>
      </c>
      <c r="F1004" s="192" t="s">
        <v>814</v>
      </c>
      <c r="G1004" s="193"/>
      <c r="H1004" s="105" t="n">
        <f aca="false">'[2]$ зима'!j1004-'[2]$ зима'!au1004-'[2]$ зима'!at1004-'[2]$ зима'!as1004-'[2]$ зима'!ar1004-'[2]$ зима'!aq1004-'[2]$ зима'!ap1004-'[2]$ зима'!an1004-'[2]$ зима'!am1004-'[2]$ зима'!al1004-'[2]$ зима'!ak1004-'[2]$ зима'!aj1004-'[2]$ зима'!ah1004-'[2]$ зима'!ag1004-'[2]$ зима'!af1004-'[2]$ зима'!ae1004-'[2]$ зима'!ad1004-'[2]$ зима'!ab1004-'[2]$ зима'!aa1004-'[2]$ зима'!z1004-'[2]$ зима'!y1004-'[2]$ зима'!x1004-'[2]$ зима'!v1004-'[2]$ зима'!u1004-'[2]$ зима'!t1004-'[2]$ зима'!s1004-'[2]$ зима'!r1004-'[2]$ зима'!p1004-'[2]$ зима'!o1004-'[2]$ зима'!n1004-'[2]$ зима'!m1004-'[2]$ зима'!l1004+'[2]$ зима'!q1004+'[2]$ зима'!w1004+'[2]$ зима'!ac1004+'[2]$ зима'!ai1004+'[2]$ зима'!ao1004+'[2]$ зима'!k1004</f>
        <v>8</v>
      </c>
      <c r="I1004" s="191" t="n">
        <f aca="false">'[2]$ зима'!ay1004*1.1</f>
        <v>1694</v>
      </c>
    </row>
    <row r="1005" customFormat="false" ht="15" hidden="true" customHeight="false" outlineLevel="0" collapsed="false">
      <c r="A1005" s="188" t="s">
        <v>1628</v>
      </c>
      <c r="B1005" s="149" t="s">
        <v>3601</v>
      </c>
      <c r="C1005" s="148" t="s">
        <v>3602</v>
      </c>
      <c r="D1005" s="148"/>
      <c r="E1005" s="148"/>
      <c r="F1005" s="148"/>
      <c r="G1005" s="193"/>
      <c r="H1005" s="105" t="n">
        <f aca="false">'[2]$ зима'!j1005-'[2]$ зима'!au1005-'[2]$ зима'!at1005-'[2]$ зима'!as1005-'[2]$ зима'!ar1005-'[2]$ зима'!aq1005-'[2]$ зима'!ap1005-'[2]$ зима'!an1005-'[2]$ зима'!am1005-'[2]$ зима'!al1005-'[2]$ зима'!ak1005-'[2]$ зима'!aj1005-'[2]$ зима'!ah1005-'[2]$ зима'!ag1005-'[2]$ зима'!af1005-'[2]$ зима'!ae1005-'[2]$ зима'!ad1005-'[2]$ зима'!ab1005-'[2]$ зима'!aa1005-'[2]$ зима'!z1005-'[2]$ зима'!y1005-'[2]$ зима'!x1005-'[2]$ зима'!v1005-'[2]$ зима'!u1005-'[2]$ зима'!t1005-'[2]$ зима'!s1005-'[2]$ зима'!r1005-'[2]$ зима'!p1005-'[2]$ зима'!o1005-'[2]$ зима'!n1005-'[2]$ зима'!m1005-'[2]$ зима'!l1005+'[2]$ зима'!q1005+'[2]$ зима'!w1005+'[2]$ зима'!ac1005+'[2]$ зима'!ai1005+'[2]$ зима'!ao1005+'[2]$ зима'!k1005</f>
        <v>0</v>
      </c>
      <c r="I1005" s="191" t="n">
        <f aca="false">'[2]$ зима'!ay1005*1.1</f>
        <v>1848</v>
      </c>
    </row>
    <row r="1006" customFormat="false" ht="15" hidden="true" customHeight="false" outlineLevel="0" collapsed="false">
      <c r="A1006" s="196" t="s">
        <v>1628</v>
      </c>
      <c r="B1006" s="149" t="s">
        <v>844</v>
      </c>
      <c r="C1006" s="148" t="s">
        <v>3603</v>
      </c>
      <c r="D1006" s="148"/>
      <c r="E1006" s="148"/>
      <c r="F1006" s="148"/>
      <c r="G1006" s="193" t="s">
        <v>1075</v>
      </c>
      <c r="H1006" s="105" t="n">
        <f aca="false">'[2]$ зима'!j1006-'[2]$ зима'!au1006-'[2]$ зима'!at1006-'[2]$ зима'!as1006-'[2]$ зима'!ar1006-'[2]$ зима'!aq1006-'[2]$ зима'!ap1006-'[2]$ зима'!an1006-'[2]$ зима'!am1006-'[2]$ зима'!al1006-'[2]$ зима'!ak1006-'[2]$ зима'!aj1006-'[2]$ зима'!ah1006-'[2]$ зима'!ag1006-'[2]$ зима'!af1006-'[2]$ зима'!ae1006-'[2]$ зима'!ad1006-'[2]$ зима'!ab1006-'[2]$ зима'!aa1006-'[2]$ зима'!z1006-'[2]$ зима'!y1006-'[2]$ зима'!x1006-'[2]$ зима'!v1006-'[2]$ зима'!u1006-'[2]$ зима'!t1006-'[2]$ зима'!s1006-'[2]$ зима'!r1006-'[2]$ зима'!p1006-'[2]$ зима'!o1006-'[2]$ зима'!n1006-'[2]$ зима'!m1006-'[2]$ зима'!l1006+'[2]$ зима'!q1006+'[2]$ зима'!w1006+'[2]$ зима'!ac1006+'[2]$ зима'!ai1006+'[2]$ зима'!ao1006+'[2]$ зима'!k1006</f>
        <v>0</v>
      </c>
      <c r="I1006" s="191" t="n">
        <f aca="false">'[2]$ зима'!ay1006*1.1</f>
        <v>2464</v>
      </c>
    </row>
    <row r="1007" customFormat="false" ht="15" hidden="true" customHeight="false" outlineLevel="0" collapsed="false">
      <c r="A1007" s="196" t="s">
        <v>1628</v>
      </c>
      <c r="B1007" s="149" t="s">
        <v>601</v>
      </c>
      <c r="C1007" s="148" t="s">
        <v>3604</v>
      </c>
      <c r="D1007" s="148"/>
      <c r="E1007" s="148" t="n">
        <v>97</v>
      </c>
      <c r="F1007" s="148" t="s">
        <v>562</v>
      </c>
      <c r="G1007" s="193"/>
      <c r="H1007" s="105" t="n">
        <f aca="false">'[2]$ зима'!j1007-'[2]$ зима'!au1007-'[2]$ зима'!at1007-'[2]$ зима'!as1007-'[2]$ зима'!ar1007-'[2]$ зима'!aq1007-'[2]$ зима'!ap1007-'[2]$ зима'!an1007-'[2]$ зима'!am1007-'[2]$ зима'!al1007-'[2]$ зима'!ak1007-'[2]$ зима'!aj1007-'[2]$ зима'!ah1007-'[2]$ зима'!ag1007-'[2]$ зима'!af1007-'[2]$ зима'!ae1007-'[2]$ зима'!ad1007-'[2]$ зима'!ab1007-'[2]$ зима'!aa1007-'[2]$ зима'!z1007-'[2]$ зима'!y1007-'[2]$ зима'!x1007-'[2]$ зима'!v1007-'[2]$ зима'!u1007-'[2]$ зима'!t1007-'[2]$ зима'!s1007-'[2]$ зима'!r1007-'[2]$ зима'!p1007-'[2]$ зима'!o1007-'[2]$ зима'!n1007-'[2]$ зима'!m1007-'[2]$ зима'!l1007+'[2]$ зима'!q1007+'[2]$ зима'!w1007+'[2]$ зима'!ac1007+'[2]$ зима'!ai1007+'[2]$ зима'!ao1007+'[2]$ зима'!k1007</f>
        <v>0</v>
      </c>
      <c r="I1007" s="191" t="n">
        <f aca="false">'[2]$ зима'!ay1007*1.1</f>
        <v>4312</v>
      </c>
    </row>
    <row r="1008" customFormat="false" ht="15" hidden="true" customHeight="false" outlineLevel="0" collapsed="false">
      <c r="A1008" s="196" t="s">
        <v>1628</v>
      </c>
      <c r="B1008" s="149" t="s">
        <v>601</v>
      </c>
      <c r="C1008" s="148" t="s">
        <v>3150</v>
      </c>
      <c r="D1008" s="148"/>
      <c r="E1008" s="148"/>
      <c r="F1008" s="148"/>
      <c r="G1008" s="193"/>
      <c r="H1008" s="105" t="n">
        <f aca="false">'[2]$ зима'!j1008-'[2]$ зима'!au1008-'[2]$ зима'!at1008-'[2]$ зима'!as1008-'[2]$ зима'!ar1008-'[2]$ зима'!aq1008-'[2]$ зима'!ap1008-'[2]$ зима'!an1008-'[2]$ зима'!am1008-'[2]$ зима'!al1008-'[2]$ зима'!ak1008-'[2]$ зима'!aj1008-'[2]$ зима'!ah1008-'[2]$ зима'!ag1008-'[2]$ зима'!af1008-'[2]$ зима'!ae1008-'[2]$ зима'!ad1008-'[2]$ зима'!ab1008-'[2]$ зима'!aa1008-'[2]$ зима'!z1008-'[2]$ зима'!y1008-'[2]$ зима'!x1008-'[2]$ зима'!v1008-'[2]$ зима'!u1008-'[2]$ зима'!t1008-'[2]$ зима'!s1008-'[2]$ зима'!r1008-'[2]$ зима'!p1008-'[2]$ зима'!o1008-'[2]$ зима'!n1008-'[2]$ зима'!m1008-'[2]$ зима'!l1008+'[2]$ зима'!q1008+'[2]$ зима'!w1008+'[2]$ зима'!ac1008+'[2]$ зима'!ai1008+'[2]$ зима'!ao1008+'[2]$ зима'!k1008</f>
        <v>0</v>
      </c>
      <c r="I1008" s="191" t="n">
        <f aca="false">'[2]$ зима'!ay1008*1.1</f>
        <v>4496.8</v>
      </c>
      <c r="J1008" s="171" t="n">
        <v>2017</v>
      </c>
    </row>
    <row r="1009" customFormat="false" ht="15" hidden="true" customHeight="false" outlineLevel="0" collapsed="false">
      <c r="A1009" s="196" t="s">
        <v>1628</v>
      </c>
      <c r="B1009" s="149" t="s">
        <v>601</v>
      </c>
      <c r="C1009" s="148" t="s">
        <v>3605</v>
      </c>
      <c r="D1009" s="148"/>
      <c r="E1009" s="148" t="n">
        <v>97</v>
      </c>
      <c r="F1009" s="148" t="s">
        <v>814</v>
      </c>
      <c r="G1009" s="193" t="s">
        <v>1127</v>
      </c>
      <c r="H1009" s="105" t="n">
        <f aca="false">'[2]$ зима'!j1009-'[2]$ зима'!au1009-'[2]$ зима'!at1009-'[2]$ зима'!as1009-'[2]$ зима'!ar1009-'[2]$ зима'!aq1009-'[2]$ зима'!ap1009-'[2]$ зима'!an1009-'[2]$ зима'!am1009-'[2]$ зима'!al1009-'[2]$ зима'!ak1009-'[2]$ зима'!aj1009-'[2]$ зима'!ah1009-'[2]$ зима'!ag1009-'[2]$ зима'!af1009-'[2]$ зима'!ae1009-'[2]$ зима'!ad1009-'[2]$ зима'!ab1009-'[2]$ зима'!aa1009-'[2]$ зима'!z1009-'[2]$ зима'!y1009-'[2]$ зима'!x1009-'[2]$ зима'!v1009-'[2]$ зима'!u1009-'[2]$ зима'!t1009-'[2]$ зима'!s1009-'[2]$ зима'!r1009-'[2]$ зима'!p1009-'[2]$ зима'!o1009-'[2]$ зима'!n1009-'[2]$ зима'!m1009-'[2]$ зима'!l1009+'[2]$ зима'!q1009+'[2]$ зима'!w1009+'[2]$ зима'!ac1009+'[2]$ зима'!ai1009+'[2]$ зима'!ao1009+'[2]$ зима'!k1009</f>
        <v>0</v>
      </c>
      <c r="I1009" s="191" t="n">
        <f aca="false">'[2]$ зима'!ay1009*1.1</f>
        <v>4158</v>
      </c>
      <c r="J1009" s="171" t="n">
        <v>2017</v>
      </c>
    </row>
    <row r="1010" customFormat="false" ht="15" hidden="true" customHeight="false" outlineLevel="0" collapsed="false">
      <c r="A1010" s="196" t="s">
        <v>1628</v>
      </c>
      <c r="B1010" s="149" t="s">
        <v>1905</v>
      </c>
      <c r="C1010" s="148" t="s">
        <v>3606</v>
      </c>
      <c r="D1010" s="148"/>
      <c r="E1010" s="148"/>
      <c r="F1010" s="148"/>
      <c r="G1010" s="193"/>
      <c r="H1010" s="105" t="n">
        <f aca="false">'[2]$ зима'!j1010-'[2]$ зима'!au1010-'[2]$ зима'!at1010-'[2]$ зима'!as1010-'[2]$ зима'!ar1010-'[2]$ зима'!aq1010-'[2]$ зима'!ap1010-'[2]$ зима'!an1010-'[2]$ зима'!am1010-'[2]$ зима'!al1010-'[2]$ зима'!ak1010-'[2]$ зима'!aj1010-'[2]$ зима'!ah1010-'[2]$ зима'!ag1010-'[2]$ зима'!af1010-'[2]$ зима'!ae1010-'[2]$ зима'!ad1010-'[2]$ зима'!ab1010-'[2]$ зима'!aa1010-'[2]$ зима'!z1010-'[2]$ зима'!y1010-'[2]$ зима'!x1010-'[2]$ зима'!v1010-'[2]$ зима'!u1010-'[2]$ зима'!t1010-'[2]$ зима'!s1010-'[2]$ зима'!r1010-'[2]$ зима'!p1010-'[2]$ зима'!o1010-'[2]$ зима'!n1010-'[2]$ зима'!m1010-'[2]$ зима'!l1010+'[2]$ зима'!q1010+'[2]$ зима'!w1010+'[2]$ зима'!ac1010+'[2]$ зима'!ai1010+'[2]$ зима'!ao1010+'[2]$ зима'!k1010</f>
        <v>0</v>
      </c>
      <c r="I1010" s="191" t="n">
        <f aca="false">'[2]$ зима'!ay1010*1.1</f>
        <v>1694</v>
      </c>
    </row>
    <row r="1011" customFormat="false" ht="15" hidden="true" customHeight="false" outlineLevel="0" collapsed="false">
      <c r="A1011" s="188" t="s">
        <v>1628</v>
      </c>
      <c r="B1011" s="149" t="s">
        <v>557</v>
      </c>
      <c r="C1011" s="148" t="s">
        <v>3196</v>
      </c>
      <c r="D1011" s="148"/>
      <c r="E1011" s="148"/>
      <c r="F1011" s="148"/>
      <c r="G1011" s="193"/>
      <c r="H1011" s="105" t="n">
        <f aca="false">'[2]$ зима'!j1011-'[2]$ зима'!au1011-'[2]$ зима'!at1011-'[2]$ зима'!as1011-'[2]$ зима'!ar1011-'[2]$ зима'!aq1011-'[2]$ зима'!ap1011-'[2]$ зима'!an1011-'[2]$ зима'!am1011-'[2]$ зима'!al1011-'[2]$ зима'!ak1011-'[2]$ зима'!aj1011-'[2]$ зима'!ah1011-'[2]$ зима'!ag1011-'[2]$ зима'!af1011-'[2]$ зима'!ae1011-'[2]$ зима'!ad1011-'[2]$ зима'!ab1011-'[2]$ зима'!aa1011-'[2]$ зима'!z1011-'[2]$ зима'!y1011-'[2]$ зима'!x1011-'[2]$ зима'!v1011-'[2]$ зима'!u1011-'[2]$ зима'!t1011-'[2]$ зима'!s1011-'[2]$ зима'!r1011-'[2]$ зима'!p1011-'[2]$ зима'!o1011-'[2]$ зима'!n1011-'[2]$ зима'!m1011-'[2]$ зима'!l1011+'[2]$ зима'!q1011+'[2]$ зима'!w1011+'[2]$ зима'!ac1011+'[2]$ зима'!ai1011+'[2]$ зима'!ao1011+'[2]$ зима'!k1011</f>
        <v>0</v>
      </c>
      <c r="I1011" s="191" t="n">
        <f aca="false">'[2]$ зима'!ay1011*1.1</f>
        <v>2772</v>
      </c>
    </row>
    <row r="1012" customFormat="false" ht="15" hidden="false" customHeight="false" outlineLevel="0" collapsed="false">
      <c r="A1012" s="188" t="s">
        <v>1628</v>
      </c>
      <c r="B1012" s="149" t="s">
        <v>741</v>
      </c>
      <c r="C1012" s="148" t="s">
        <v>3276</v>
      </c>
      <c r="D1012" s="148"/>
      <c r="E1012" s="192"/>
      <c r="F1012" s="192"/>
      <c r="G1012" s="193"/>
      <c r="H1012" s="105" t="n">
        <f aca="false">'[2]$ зима'!j1012-'[2]$ зима'!au1012-'[2]$ зима'!at1012-'[2]$ зима'!as1012-'[2]$ зима'!ar1012-'[2]$ зима'!aq1012-'[2]$ зима'!ap1012-'[2]$ зима'!an1012-'[2]$ зима'!am1012-'[2]$ зима'!al1012-'[2]$ зима'!ak1012-'[2]$ зима'!aj1012-'[2]$ зима'!ah1012-'[2]$ зима'!ag1012-'[2]$ зима'!af1012-'[2]$ зима'!ae1012-'[2]$ зима'!ad1012-'[2]$ зима'!ab1012-'[2]$ зима'!aa1012-'[2]$ зима'!z1012-'[2]$ зима'!y1012-'[2]$ зима'!x1012-'[2]$ зима'!v1012-'[2]$ зима'!u1012-'[2]$ зима'!t1012-'[2]$ зима'!s1012-'[2]$ зима'!r1012-'[2]$ зима'!p1012-'[2]$ зима'!o1012-'[2]$ зима'!n1012-'[2]$ зима'!m1012-'[2]$ зима'!l1012+'[2]$ зима'!q1012+'[2]$ зима'!w1012+'[2]$ зима'!ac1012+'[2]$ зима'!ai1012+'[2]$ зима'!ao1012+'[2]$ зима'!k1012</f>
        <v>2</v>
      </c>
      <c r="I1012" s="191" t="n">
        <f aca="false">'[2]$ зима'!ay1012*1.1</f>
        <v>2156</v>
      </c>
    </row>
    <row r="1013" customFormat="false" ht="15" hidden="true" customHeight="false" outlineLevel="0" collapsed="false">
      <c r="A1013" s="188" t="s">
        <v>1628</v>
      </c>
      <c r="B1013" s="149" t="s">
        <v>604</v>
      </c>
      <c r="C1013" s="148" t="s">
        <v>3607</v>
      </c>
      <c r="D1013" s="148"/>
      <c r="E1013" s="148"/>
      <c r="F1013" s="148"/>
      <c r="G1013" s="193"/>
      <c r="H1013" s="105" t="n">
        <f aca="false">'[2]$ зима'!j1013-'[2]$ зима'!au1013-'[2]$ зима'!at1013-'[2]$ зима'!as1013-'[2]$ зима'!ar1013-'[2]$ зима'!aq1013-'[2]$ зима'!ap1013-'[2]$ зима'!an1013-'[2]$ зима'!am1013-'[2]$ зима'!al1013-'[2]$ зима'!ak1013-'[2]$ зима'!aj1013-'[2]$ зима'!ah1013-'[2]$ зима'!ag1013-'[2]$ зима'!af1013-'[2]$ зима'!ae1013-'[2]$ зима'!ad1013-'[2]$ зима'!ab1013-'[2]$ зима'!aa1013-'[2]$ зима'!z1013-'[2]$ зима'!y1013-'[2]$ зима'!x1013-'[2]$ зима'!v1013-'[2]$ зима'!u1013-'[2]$ зима'!t1013-'[2]$ зима'!s1013-'[2]$ зима'!r1013-'[2]$ зима'!p1013-'[2]$ зима'!o1013-'[2]$ зима'!n1013-'[2]$ зима'!m1013-'[2]$ зима'!l1013+'[2]$ зима'!q1013+'[2]$ зима'!w1013+'[2]$ зима'!ac1013+'[2]$ зима'!ai1013+'[2]$ зима'!ao1013+'[2]$ зима'!k1013</f>
        <v>0</v>
      </c>
      <c r="I1013" s="191" t="n">
        <f aca="false">'[2]$ зима'!ay1013*1.1</f>
        <v>2772</v>
      </c>
    </row>
    <row r="1014" customFormat="false" ht="15" hidden="false" customHeight="false" outlineLevel="0" collapsed="false">
      <c r="A1014" s="188" t="s">
        <v>1628</v>
      </c>
      <c r="B1014" s="149" t="s">
        <v>744</v>
      </c>
      <c r="C1014" s="148" t="s">
        <v>3608</v>
      </c>
      <c r="D1014" s="148"/>
      <c r="E1014" s="192"/>
      <c r="F1014" s="192"/>
      <c r="G1014" s="193"/>
      <c r="H1014" s="105" t="n">
        <f aca="false">'[2]$ зима'!j1014-'[2]$ зима'!au1014-'[2]$ зима'!at1014-'[2]$ зима'!as1014-'[2]$ зима'!ar1014-'[2]$ зима'!aq1014-'[2]$ зима'!ap1014-'[2]$ зима'!an1014-'[2]$ зима'!am1014-'[2]$ зима'!al1014-'[2]$ зима'!ak1014-'[2]$ зима'!aj1014-'[2]$ зима'!ah1014-'[2]$ зима'!ag1014-'[2]$ зима'!af1014-'[2]$ зима'!ae1014-'[2]$ зима'!ad1014-'[2]$ зима'!ab1014-'[2]$ зима'!aa1014-'[2]$ зима'!z1014-'[2]$ зима'!y1014-'[2]$ зима'!x1014-'[2]$ зима'!v1014-'[2]$ зима'!u1014-'[2]$ зима'!t1014-'[2]$ зима'!s1014-'[2]$ зима'!r1014-'[2]$ зима'!p1014-'[2]$ зима'!o1014-'[2]$ зима'!n1014-'[2]$ зима'!m1014-'[2]$ зима'!l1014+'[2]$ зима'!q1014+'[2]$ зима'!w1014+'[2]$ зима'!ac1014+'[2]$ зима'!ai1014+'[2]$ зима'!ao1014+'[2]$ зима'!k1014</f>
        <v>8</v>
      </c>
      <c r="I1014" s="191" t="n">
        <f aca="false">'[2]$ зима'!ay1014*1.1</f>
        <v>2371.6</v>
      </c>
      <c r="J1014" s="171" t="n">
        <v>2017</v>
      </c>
    </row>
    <row r="1015" customFormat="false" ht="15" hidden="false" customHeight="false" outlineLevel="0" collapsed="false">
      <c r="A1015" s="188" t="s">
        <v>1628</v>
      </c>
      <c r="B1015" s="149" t="s">
        <v>606</v>
      </c>
      <c r="C1015" s="148" t="s">
        <v>3155</v>
      </c>
      <c r="D1015" s="148"/>
      <c r="E1015" s="192" t="n">
        <v>101</v>
      </c>
      <c r="F1015" s="192" t="s">
        <v>3216</v>
      </c>
      <c r="G1015" s="193" t="s">
        <v>609</v>
      </c>
      <c r="H1015" s="105" t="n">
        <f aca="false">'[2]$ зима'!j1015-'[2]$ зима'!au1015-'[2]$ зима'!at1015-'[2]$ зима'!as1015-'[2]$ зима'!ar1015-'[2]$ зима'!aq1015-'[2]$ зима'!ap1015-'[2]$ зима'!an1015-'[2]$ зима'!am1015-'[2]$ зима'!al1015-'[2]$ зима'!ak1015-'[2]$ зима'!aj1015-'[2]$ зима'!ah1015-'[2]$ зима'!ag1015-'[2]$ зима'!af1015-'[2]$ зима'!ae1015-'[2]$ зима'!ad1015-'[2]$ зима'!ab1015-'[2]$ зима'!aa1015-'[2]$ зима'!z1015-'[2]$ зима'!y1015-'[2]$ зима'!x1015-'[2]$ зима'!v1015-'[2]$ зима'!u1015-'[2]$ зима'!t1015-'[2]$ зима'!s1015-'[2]$ зима'!r1015-'[2]$ зима'!p1015-'[2]$ зима'!o1015-'[2]$ зима'!n1015-'[2]$ зима'!m1015-'[2]$ зима'!l1015+'[2]$ зима'!q1015+'[2]$ зима'!w1015+'[2]$ зима'!ac1015+'[2]$ зима'!ai1015+'[2]$ зима'!ao1015+'[2]$ зима'!k1015</f>
        <v>8</v>
      </c>
      <c r="I1015" s="191" t="n">
        <f aca="false">'[2]$ зима'!ay1015*1.1</f>
        <v>2710.4</v>
      </c>
      <c r="J1015" s="171" t="n">
        <v>2018</v>
      </c>
    </row>
    <row r="1016" customFormat="false" ht="15" hidden="false" customHeight="false" outlineLevel="0" collapsed="false">
      <c r="A1016" s="188" t="s">
        <v>1628</v>
      </c>
      <c r="B1016" s="149" t="s">
        <v>606</v>
      </c>
      <c r="C1016" s="148" t="s">
        <v>3156</v>
      </c>
      <c r="D1016" s="148"/>
      <c r="E1016" s="192"/>
      <c r="F1016" s="192" t="s">
        <v>3286</v>
      </c>
      <c r="G1016" s="193" t="s">
        <v>609</v>
      </c>
      <c r="H1016" s="105" t="n">
        <f aca="false">'[2]$ зима'!j1016-'[2]$ зима'!au1016-'[2]$ зима'!at1016-'[2]$ зима'!as1016-'[2]$ зима'!ar1016-'[2]$ зима'!aq1016-'[2]$ зима'!ap1016-'[2]$ зима'!an1016-'[2]$ зима'!am1016-'[2]$ зима'!al1016-'[2]$ зима'!ak1016-'[2]$ зима'!aj1016-'[2]$ зима'!ah1016-'[2]$ зима'!ag1016-'[2]$ зима'!af1016-'[2]$ зима'!ae1016-'[2]$ зима'!ad1016-'[2]$ зима'!ab1016-'[2]$ зима'!aa1016-'[2]$ зима'!z1016-'[2]$ зима'!y1016-'[2]$ зима'!x1016-'[2]$ зима'!v1016-'[2]$ зима'!u1016-'[2]$ зима'!t1016-'[2]$ зима'!s1016-'[2]$ зима'!r1016-'[2]$ зима'!p1016-'[2]$ зима'!o1016-'[2]$ зима'!n1016-'[2]$ зима'!m1016-'[2]$ зима'!l1016+'[2]$ зима'!q1016+'[2]$ зима'!w1016+'[2]$ зима'!ac1016+'[2]$ зима'!ai1016+'[2]$ зима'!ao1016+'[2]$ зима'!k1016</f>
        <v>23</v>
      </c>
      <c r="I1016" s="191" t="n">
        <f aca="false">'[2]$ зима'!ay1016*1.1</f>
        <v>2679.6</v>
      </c>
      <c r="J1016" s="171" t="n">
        <v>2018</v>
      </c>
    </row>
    <row r="1017" customFormat="false" ht="15" hidden="false" customHeight="false" outlineLevel="0" collapsed="false">
      <c r="A1017" s="188" t="s">
        <v>1628</v>
      </c>
      <c r="B1017" s="149" t="s">
        <v>2421</v>
      </c>
      <c r="C1017" s="148" t="s">
        <v>2368</v>
      </c>
      <c r="D1017" s="148"/>
      <c r="E1017" s="192"/>
      <c r="F1017" s="192"/>
      <c r="G1017" s="193" t="s">
        <v>1999</v>
      </c>
      <c r="H1017" s="105" t="n">
        <f aca="false">'[2]$ зима'!j1017-'[2]$ зима'!au1017-'[2]$ зима'!at1017-'[2]$ зима'!as1017-'[2]$ зима'!ar1017-'[2]$ зима'!aq1017-'[2]$ зима'!ap1017-'[2]$ зима'!an1017-'[2]$ зима'!am1017-'[2]$ зима'!al1017-'[2]$ зима'!ak1017-'[2]$ зима'!aj1017-'[2]$ зима'!ah1017-'[2]$ зима'!ag1017-'[2]$ зима'!af1017-'[2]$ зима'!ae1017-'[2]$ зима'!ad1017-'[2]$ зима'!ab1017-'[2]$ зима'!aa1017-'[2]$ зима'!z1017-'[2]$ зима'!y1017-'[2]$ зима'!x1017-'[2]$ зима'!v1017-'[2]$ зима'!u1017-'[2]$ зима'!t1017-'[2]$ зима'!s1017-'[2]$ зима'!r1017-'[2]$ зима'!p1017-'[2]$ зима'!o1017-'[2]$ зима'!n1017-'[2]$ зима'!m1017-'[2]$ зима'!l1017+'[2]$ зима'!q1017+'[2]$ зима'!w1017+'[2]$ зима'!ac1017+'[2]$ зима'!ai1017+'[2]$ зима'!ao1017+'[2]$ зима'!k1017</f>
        <v>4</v>
      </c>
      <c r="I1017" s="191" t="n">
        <f aca="false">'[2]$ зима'!ay1017*1.1</f>
        <v>1694</v>
      </c>
      <c r="J1017" s="171" t="n">
        <v>2009</v>
      </c>
    </row>
    <row r="1018" customFormat="false" ht="15" hidden="false" customHeight="false" outlineLevel="0" collapsed="false">
      <c r="A1018" s="188" t="s">
        <v>1628</v>
      </c>
      <c r="B1018" s="149" t="s">
        <v>668</v>
      </c>
      <c r="C1018" s="194" t="s">
        <v>3182</v>
      </c>
      <c r="D1018" s="148"/>
      <c r="E1018" s="192"/>
      <c r="F1018" s="192"/>
      <c r="G1018" s="193"/>
      <c r="H1018" s="105" t="n">
        <f aca="false">'[2]$ зима'!j1018-'[2]$ зима'!au1018-'[2]$ зима'!at1018-'[2]$ зима'!as1018-'[2]$ зима'!ar1018-'[2]$ зима'!aq1018-'[2]$ зима'!ap1018-'[2]$ зима'!an1018-'[2]$ зима'!am1018-'[2]$ зима'!al1018-'[2]$ зима'!ak1018-'[2]$ зима'!aj1018-'[2]$ зима'!ah1018-'[2]$ зима'!ag1018-'[2]$ зима'!af1018-'[2]$ зима'!ae1018-'[2]$ зима'!ad1018-'[2]$ зима'!ab1018-'[2]$ зима'!aa1018-'[2]$ зима'!z1018-'[2]$ зима'!y1018-'[2]$ зима'!x1018-'[2]$ зима'!v1018-'[2]$ зима'!u1018-'[2]$ зима'!t1018-'[2]$ зима'!s1018-'[2]$ зима'!r1018-'[2]$ зима'!p1018-'[2]$ зима'!o1018-'[2]$ зима'!n1018-'[2]$ зима'!m1018-'[2]$ зима'!l1018+'[2]$ зима'!q1018+'[2]$ зима'!w1018+'[2]$ зима'!ac1018+'[2]$ зима'!ai1018+'[2]$ зима'!ao1018+'[2]$ зима'!k1018</f>
        <v>10</v>
      </c>
      <c r="I1018" s="191" t="n">
        <f aca="false">'[2]$ зима'!ay1018*1.1</f>
        <v>2402.4</v>
      </c>
      <c r="J1018" s="171" t="n">
        <v>2018</v>
      </c>
    </row>
    <row r="1019" customFormat="false" ht="15" hidden="false" customHeight="false" outlineLevel="0" collapsed="false">
      <c r="A1019" s="188" t="s">
        <v>1628</v>
      </c>
      <c r="B1019" s="149" t="s">
        <v>574</v>
      </c>
      <c r="C1019" s="148" t="s">
        <v>3163</v>
      </c>
      <c r="D1019" s="148"/>
      <c r="E1019" s="192" t="n">
        <v>101</v>
      </c>
      <c r="F1019" s="192" t="s">
        <v>3216</v>
      </c>
      <c r="G1019" s="193" t="s">
        <v>576</v>
      </c>
      <c r="H1019" s="105" t="n">
        <f aca="false">'[2]$ зима'!j1019-'[2]$ зима'!au1019-'[2]$ зима'!at1019-'[2]$ зима'!as1019-'[2]$ зима'!ar1019-'[2]$ зима'!aq1019-'[2]$ зима'!ap1019-'[2]$ зима'!an1019-'[2]$ зима'!am1019-'[2]$ зима'!al1019-'[2]$ зима'!ak1019-'[2]$ зима'!aj1019-'[2]$ зима'!ah1019-'[2]$ зима'!ag1019-'[2]$ зима'!af1019-'[2]$ зима'!ae1019-'[2]$ зима'!ad1019-'[2]$ зима'!ab1019-'[2]$ зима'!aa1019-'[2]$ зима'!z1019-'[2]$ зима'!y1019-'[2]$ зима'!x1019-'[2]$ зима'!v1019-'[2]$ зима'!u1019-'[2]$ зима'!t1019-'[2]$ зима'!s1019-'[2]$ зима'!r1019-'[2]$ зима'!p1019-'[2]$ зима'!o1019-'[2]$ зима'!n1019-'[2]$ зима'!m1019-'[2]$ зима'!l1019+'[2]$ зима'!q1019+'[2]$ зима'!w1019+'[2]$ зима'!ac1019+'[2]$ зима'!ai1019+'[2]$ зима'!ao1019+'[2]$ зима'!k1019</f>
        <v>8</v>
      </c>
      <c r="I1019" s="191" t="n">
        <f aca="false">'[2]$ зима'!ay1019*1.1</f>
        <v>2686.64</v>
      </c>
      <c r="J1019" s="171" t="n">
        <v>2017</v>
      </c>
    </row>
    <row r="1020" customFormat="false" ht="15" hidden="true" customHeight="false" outlineLevel="0" collapsed="false">
      <c r="A1020" s="188" t="s">
        <v>1628</v>
      </c>
      <c r="B1020" s="149" t="s">
        <v>577</v>
      </c>
      <c r="C1020" s="148" t="s">
        <v>3609</v>
      </c>
      <c r="D1020" s="148"/>
      <c r="E1020" s="148" t="n">
        <v>101</v>
      </c>
      <c r="F1020" s="148" t="s">
        <v>562</v>
      </c>
      <c r="G1020" s="193" t="s">
        <v>563</v>
      </c>
      <c r="H1020" s="105" t="n">
        <f aca="false">'[2]$ зима'!j1020-'[2]$ зима'!au1020-'[2]$ зима'!at1020-'[2]$ зима'!as1020-'[2]$ зима'!ar1020-'[2]$ зима'!aq1020-'[2]$ зима'!ap1020-'[2]$ зима'!an1020-'[2]$ зима'!am1020-'[2]$ зима'!al1020-'[2]$ зима'!ak1020-'[2]$ зима'!aj1020-'[2]$ зима'!ah1020-'[2]$ зима'!ag1020-'[2]$ зима'!af1020-'[2]$ зима'!ae1020-'[2]$ зима'!ad1020-'[2]$ зима'!ab1020-'[2]$ зима'!aa1020-'[2]$ зима'!z1020-'[2]$ зима'!y1020-'[2]$ зима'!x1020-'[2]$ зима'!v1020-'[2]$ зима'!u1020-'[2]$ зима'!t1020-'[2]$ зима'!s1020-'[2]$ зима'!r1020-'[2]$ зима'!p1020-'[2]$ зима'!o1020-'[2]$ зима'!n1020-'[2]$ зима'!m1020-'[2]$ зима'!l1020+'[2]$ зима'!q1020+'[2]$ зима'!w1020+'[2]$ зима'!ac1020+'[2]$ зима'!ai1020+'[2]$ зима'!ao1020+'[2]$ зима'!k1020</f>
        <v>0</v>
      </c>
      <c r="I1020" s="191" t="n">
        <f aca="false">'[2]$ зима'!ay1020*1.1</f>
        <v>2248.4</v>
      </c>
      <c r="J1020" s="171" t="n">
        <v>2017</v>
      </c>
    </row>
    <row r="1021" customFormat="false" ht="15" hidden="true" customHeight="false" outlineLevel="0" collapsed="false">
      <c r="A1021" s="188" t="s">
        <v>1628</v>
      </c>
      <c r="B1021" s="149" t="s">
        <v>583</v>
      </c>
      <c r="C1021" s="148" t="s">
        <v>3610</v>
      </c>
      <c r="D1021" s="148"/>
      <c r="E1021" s="148"/>
      <c r="F1021" s="148"/>
      <c r="G1021" s="193"/>
      <c r="H1021" s="105" t="n">
        <f aca="false">'[2]$ зима'!j1021-'[2]$ зима'!au1021-'[2]$ зима'!at1021-'[2]$ зима'!as1021-'[2]$ зима'!ar1021-'[2]$ зима'!aq1021-'[2]$ зима'!ap1021-'[2]$ зима'!an1021-'[2]$ зима'!am1021-'[2]$ зима'!al1021-'[2]$ зима'!ak1021-'[2]$ зима'!aj1021-'[2]$ зима'!ah1021-'[2]$ зима'!ag1021-'[2]$ зима'!af1021-'[2]$ зима'!ae1021-'[2]$ зима'!ad1021-'[2]$ зима'!ab1021-'[2]$ зима'!aa1021-'[2]$ зима'!z1021-'[2]$ зима'!y1021-'[2]$ зима'!x1021-'[2]$ зима'!v1021-'[2]$ зима'!u1021-'[2]$ зима'!t1021-'[2]$ зима'!s1021-'[2]$ зима'!r1021-'[2]$ зима'!p1021-'[2]$ зима'!o1021-'[2]$ зима'!n1021-'[2]$ зима'!m1021-'[2]$ зима'!l1021+'[2]$ зима'!q1021+'[2]$ зима'!w1021+'[2]$ зима'!ac1021+'[2]$ зима'!ai1021+'[2]$ зима'!ao1021+'[2]$ зима'!k1021</f>
        <v>0</v>
      </c>
      <c r="I1021" s="191" t="n">
        <f aca="false">'[2]$ зима'!ay1021*1.1</f>
        <v>2032.8</v>
      </c>
    </row>
    <row r="1022" customFormat="false" ht="15" hidden="false" customHeight="false" outlineLevel="0" collapsed="false">
      <c r="A1022" s="188" t="s">
        <v>1628</v>
      </c>
      <c r="B1022" s="149" t="s">
        <v>1471</v>
      </c>
      <c r="C1022" s="148" t="s">
        <v>3219</v>
      </c>
      <c r="D1022" s="148"/>
      <c r="E1022" s="192" t="n">
        <v>101</v>
      </c>
      <c r="F1022" s="192" t="s">
        <v>3220</v>
      </c>
      <c r="G1022" s="193" t="s">
        <v>609</v>
      </c>
      <c r="H1022" s="105" t="n">
        <f aca="false">'[2]$ зима'!j1022-'[2]$ зима'!au1022-'[2]$ зима'!at1022-'[2]$ зима'!as1022-'[2]$ зима'!ar1022-'[2]$ зима'!aq1022-'[2]$ зима'!ap1022-'[2]$ зима'!an1022-'[2]$ зима'!am1022-'[2]$ зима'!al1022-'[2]$ зима'!ak1022-'[2]$ зима'!aj1022-'[2]$ зима'!ah1022-'[2]$ зима'!ag1022-'[2]$ зима'!af1022-'[2]$ зима'!ae1022-'[2]$ зима'!ad1022-'[2]$ зима'!ab1022-'[2]$ зима'!aa1022-'[2]$ зима'!z1022-'[2]$ зима'!y1022-'[2]$ зима'!x1022-'[2]$ зима'!v1022-'[2]$ зима'!u1022-'[2]$ зима'!t1022-'[2]$ зима'!s1022-'[2]$ зима'!r1022-'[2]$ зима'!p1022-'[2]$ зима'!o1022-'[2]$ зима'!n1022-'[2]$ зима'!m1022-'[2]$ зима'!l1022+'[2]$ зима'!q1022+'[2]$ зима'!w1022+'[2]$ зима'!ac1022+'[2]$ зима'!ai1022+'[2]$ зима'!ao1022+'[2]$ зима'!k1022</f>
        <v>8</v>
      </c>
      <c r="I1022" s="191" t="n">
        <f aca="false">'[2]$ зима'!ay1022*1.1</f>
        <v>2464</v>
      </c>
      <c r="J1022" s="171" t="n">
        <v>2018</v>
      </c>
    </row>
    <row r="1023" customFormat="false" ht="15" hidden="false" customHeight="false" outlineLevel="0" collapsed="false">
      <c r="A1023" s="188" t="s">
        <v>1628</v>
      </c>
      <c r="B1023" s="149" t="s">
        <v>613</v>
      </c>
      <c r="C1023" s="148" t="s">
        <v>3166</v>
      </c>
      <c r="D1023" s="148"/>
      <c r="E1023" s="192" t="n">
        <v>101</v>
      </c>
      <c r="F1023" s="192" t="s">
        <v>562</v>
      </c>
      <c r="G1023" s="193"/>
      <c r="H1023" s="105" t="n">
        <f aca="false">'[2]$ зима'!j1023-'[2]$ зима'!au1023-'[2]$ зима'!at1023-'[2]$ зима'!as1023-'[2]$ зима'!ar1023-'[2]$ зима'!aq1023-'[2]$ зима'!ap1023-'[2]$ зима'!an1023-'[2]$ зима'!am1023-'[2]$ зима'!al1023-'[2]$ зима'!ak1023-'[2]$ зима'!aj1023-'[2]$ зима'!ah1023-'[2]$ зима'!ag1023-'[2]$ зима'!af1023-'[2]$ зима'!ae1023-'[2]$ зима'!ad1023-'[2]$ зима'!ab1023-'[2]$ зима'!aa1023-'[2]$ зима'!z1023-'[2]$ зима'!y1023-'[2]$ зима'!x1023-'[2]$ зима'!v1023-'[2]$ зима'!u1023-'[2]$ зима'!t1023-'[2]$ зима'!s1023-'[2]$ зима'!r1023-'[2]$ зима'!p1023-'[2]$ зима'!o1023-'[2]$ зима'!n1023-'[2]$ зима'!m1023-'[2]$ зима'!l1023+'[2]$ зима'!q1023+'[2]$ зима'!w1023+'[2]$ зима'!ac1023+'[2]$ зима'!ai1023+'[2]$ зима'!ao1023+'[2]$ зима'!k1023</f>
        <v>4</v>
      </c>
      <c r="I1023" s="191" t="n">
        <f aca="false">'[2]$ зима'!ay1023*1.1</f>
        <v>2156</v>
      </c>
      <c r="J1023" s="171" t="n">
        <v>2017</v>
      </c>
    </row>
    <row r="1024" customFormat="false" ht="15" hidden="true" customHeight="false" outlineLevel="0" collapsed="false">
      <c r="A1024" s="188" t="s">
        <v>1628</v>
      </c>
      <c r="B1024" s="149" t="s">
        <v>593</v>
      </c>
      <c r="C1024" s="148" t="s">
        <v>3611</v>
      </c>
      <c r="D1024" s="148"/>
      <c r="E1024" s="148" t="n">
        <v>97</v>
      </c>
      <c r="F1024" s="148" t="s">
        <v>832</v>
      </c>
      <c r="G1024" s="193"/>
      <c r="H1024" s="105" t="n">
        <f aca="false">'[2]$ зима'!j1024-'[2]$ зима'!au1024-'[2]$ зима'!at1024-'[2]$ зима'!as1024-'[2]$ зима'!ar1024-'[2]$ зима'!aq1024-'[2]$ зима'!ap1024-'[2]$ зима'!an1024-'[2]$ зима'!am1024-'[2]$ зима'!al1024-'[2]$ зима'!ak1024-'[2]$ зима'!aj1024-'[2]$ зима'!ah1024-'[2]$ зима'!ag1024-'[2]$ зима'!af1024-'[2]$ зима'!ae1024-'[2]$ зима'!ad1024-'[2]$ зима'!ab1024-'[2]$ зима'!aa1024-'[2]$ зима'!z1024-'[2]$ зима'!y1024-'[2]$ зима'!x1024-'[2]$ зима'!v1024-'[2]$ зима'!u1024-'[2]$ зима'!t1024-'[2]$ зима'!s1024-'[2]$ зима'!r1024-'[2]$ зима'!p1024-'[2]$ зима'!o1024-'[2]$ зима'!n1024-'[2]$ зима'!m1024-'[2]$ зима'!l1024+'[2]$ зима'!q1024+'[2]$ зима'!w1024+'[2]$ зима'!ac1024+'[2]$ зима'!ai1024+'[2]$ зима'!ao1024+'[2]$ зима'!k1024</f>
        <v>0</v>
      </c>
      <c r="I1024" s="191" t="n">
        <f aca="false">'[2]$ зима'!ay1024*1.1</f>
        <v>3388</v>
      </c>
    </row>
    <row r="1025" customFormat="false" ht="15" hidden="true" customHeight="false" outlineLevel="0" collapsed="false">
      <c r="A1025" s="188" t="s">
        <v>1628</v>
      </c>
      <c r="B1025" s="149" t="s">
        <v>593</v>
      </c>
      <c r="C1025" s="148" t="s">
        <v>3586</v>
      </c>
      <c r="D1025" s="148"/>
      <c r="E1025" s="148"/>
      <c r="F1025" s="148"/>
      <c r="G1025" s="193"/>
      <c r="H1025" s="105" t="n">
        <f aca="false">'[2]$ зима'!j1025-'[2]$ зима'!au1025-'[2]$ зима'!at1025-'[2]$ зима'!as1025-'[2]$ зима'!ar1025-'[2]$ зима'!aq1025-'[2]$ зима'!ap1025-'[2]$ зима'!an1025-'[2]$ зима'!am1025-'[2]$ зима'!al1025-'[2]$ зима'!ak1025-'[2]$ зима'!aj1025-'[2]$ зима'!ah1025-'[2]$ зима'!ag1025-'[2]$ зима'!af1025-'[2]$ зима'!ae1025-'[2]$ зима'!ad1025-'[2]$ зима'!ab1025-'[2]$ зима'!aa1025-'[2]$ зима'!z1025-'[2]$ зима'!y1025-'[2]$ зима'!x1025-'[2]$ зима'!v1025-'[2]$ зима'!u1025-'[2]$ зима'!t1025-'[2]$ зима'!s1025-'[2]$ зима'!r1025-'[2]$ зима'!p1025-'[2]$ зима'!o1025-'[2]$ зима'!n1025-'[2]$ зима'!m1025-'[2]$ зима'!l1025+'[2]$ зима'!q1025+'[2]$ зима'!w1025+'[2]$ зима'!ac1025+'[2]$ зима'!ai1025+'[2]$ зима'!ao1025+'[2]$ зима'!k1025</f>
        <v>0</v>
      </c>
      <c r="I1025" s="191" t="n">
        <f aca="false">'[2]$ зима'!ay1025*1.1</f>
        <v>3911.6</v>
      </c>
    </row>
    <row r="1026" customFormat="false" ht="15" hidden="true" customHeight="false" outlineLevel="0" collapsed="false">
      <c r="A1026" s="188" t="s">
        <v>1628</v>
      </c>
      <c r="B1026" s="149" t="s">
        <v>593</v>
      </c>
      <c r="C1026" s="148" t="s">
        <v>3612</v>
      </c>
      <c r="D1026" s="148"/>
      <c r="E1026" s="148"/>
      <c r="F1026" s="148"/>
      <c r="G1026" s="193" t="s">
        <v>1188</v>
      </c>
      <c r="H1026" s="105" t="n">
        <f aca="false">'[2]$ зима'!j1026-'[2]$ зима'!au1026-'[2]$ зима'!at1026-'[2]$ зима'!as1026-'[2]$ зима'!ar1026-'[2]$ зима'!aq1026-'[2]$ зима'!ap1026-'[2]$ зима'!an1026-'[2]$ зима'!am1026-'[2]$ зима'!al1026-'[2]$ зима'!ak1026-'[2]$ зима'!aj1026-'[2]$ зима'!ah1026-'[2]$ зима'!ag1026-'[2]$ зима'!af1026-'[2]$ зима'!ae1026-'[2]$ зима'!ad1026-'[2]$ зима'!ab1026-'[2]$ зима'!aa1026-'[2]$ зима'!z1026-'[2]$ зима'!y1026-'[2]$ зима'!x1026-'[2]$ зима'!v1026-'[2]$ зима'!u1026-'[2]$ зима'!t1026-'[2]$ зима'!s1026-'[2]$ зима'!r1026-'[2]$ зима'!p1026-'[2]$ зима'!o1026-'[2]$ зима'!n1026-'[2]$ зима'!m1026-'[2]$ зима'!l1026+'[2]$ зима'!q1026+'[2]$ зима'!w1026+'[2]$ зима'!ac1026+'[2]$ зима'!ai1026+'[2]$ зима'!ao1026+'[2]$ зима'!k1026</f>
        <v>0</v>
      </c>
      <c r="I1026" s="191" t="n">
        <f aca="false">'[2]$ зима'!ay1026*1.1</f>
        <v>4158</v>
      </c>
      <c r="J1026" s="171" t="n">
        <v>2017</v>
      </c>
    </row>
    <row r="1027" customFormat="false" ht="15" hidden="true" customHeight="false" outlineLevel="0" collapsed="false">
      <c r="A1027" s="188" t="s">
        <v>1628</v>
      </c>
      <c r="B1027" s="149" t="s">
        <v>586</v>
      </c>
      <c r="C1027" s="148" t="s">
        <v>3305</v>
      </c>
      <c r="D1027" s="148"/>
      <c r="E1027" s="148"/>
      <c r="F1027" s="148"/>
      <c r="G1027" s="193"/>
      <c r="H1027" s="105" t="n">
        <f aca="false">'[2]$ зима'!j1027-'[2]$ зима'!au1027-'[2]$ зима'!at1027-'[2]$ зима'!as1027-'[2]$ зима'!ar1027-'[2]$ зима'!aq1027-'[2]$ зима'!ap1027-'[2]$ зима'!an1027-'[2]$ зима'!am1027-'[2]$ зима'!al1027-'[2]$ зима'!ak1027-'[2]$ зима'!aj1027-'[2]$ зима'!ah1027-'[2]$ зима'!ag1027-'[2]$ зима'!af1027-'[2]$ зима'!ae1027-'[2]$ зима'!ad1027-'[2]$ зима'!ab1027-'[2]$ зима'!aa1027-'[2]$ зима'!z1027-'[2]$ зима'!y1027-'[2]$ зима'!x1027-'[2]$ зима'!v1027-'[2]$ зима'!u1027-'[2]$ зима'!t1027-'[2]$ зима'!s1027-'[2]$ зима'!r1027-'[2]$ зима'!p1027-'[2]$ зима'!o1027-'[2]$ зима'!n1027-'[2]$ зима'!m1027-'[2]$ зима'!l1027+'[2]$ зима'!q1027+'[2]$ зима'!w1027+'[2]$ зима'!ac1027+'[2]$ зима'!ai1027+'[2]$ зима'!ao1027+'[2]$ зима'!k1027</f>
        <v>0</v>
      </c>
      <c r="I1027" s="191" t="n">
        <f aca="false">'[2]$ зима'!ay1027*1.1</f>
        <v>1447.6</v>
      </c>
      <c r="J1027" s="171" t="n">
        <v>2017</v>
      </c>
    </row>
    <row r="1028" customFormat="false" ht="15" hidden="false" customHeight="false" outlineLevel="0" collapsed="false">
      <c r="A1028" s="188" t="s">
        <v>1628</v>
      </c>
      <c r="B1028" s="149" t="s">
        <v>3142</v>
      </c>
      <c r="C1028" s="148" t="s">
        <v>3613</v>
      </c>
      <c r="D1028" s="148"/>
      <c r="E1028" s="192"/>
      <c r="F1028" s="192" t="s">
        <v>3286</v>
      </c>
      <c r="G1028" s="193"/>
      <c r="H1028" s="105" t="n">
        <f aca="false">'[2]$ зима'!j1028-'[2]$ зима'!au1028-'[2]$ зима'!at1028-'[2]$ зима'!as1028-'[2]$ зима'!ar1028-'[2]$ зима'!aq1028-'[2]$ зима'!ap1028-'[2]$ зима'!an1028-'[2]$ зима'!am1028-'[2]$ зима'!al1028-'[2]$ зима'!ak1028-'[2]$ зима'!aj1028-'[2]$ зима'!ah1028-'[2]$ зима'!ag1028-'[2]$ зима'!af1028-'[2]$ зима'!ae1028-'[2]$ зима'!ad1028-'[2]$ зима'!ab1028-'[2]$ зима'!aa1028-'[2]$ зима'!z1028-'[2]$ зима'!y1028-'[2]$ зима'!x1028-'[2]$ зима'!v1028-'[2]$ зима'!u1028-'[2]$ зима'!t1028-'[2]$ зима'!s1028-'[2]$ зима'!r1028-'[2]$ зима'!p1028-'[2]$ зима'!o1028-'[2]$ зима'!n1028-'[2]$ зима'!m1028-'[2]$ зима'!l1028+'[2]$ зима'!q1028+'[2]$ зима'!w1028+'[2]$ зима'!ac1028+'[2]$ зима'!ai1028+'[2]$ зима'!ao1028+'[2]$ зима'!k1028</f>
        <v>4</v>
      </c>
      <c r="I1028" s="191" t="n">
        <f aca="false">'[2]$ зима'!ay1028*1.1</f>
        <v>2248.4</v>
      </c>
    </row>
    <row r="1029" customFormat="false" ht="15" hidden="true" customHeight="false" outlineLevel="0" collapsed="false">
      <c r="A1029" s="188" t="s">
        <v>1628</v>
      </c>
      <c r="B1029" s="149" t="s">
        <v>3142</v>
      </c>
      <c r="C1029" s="148" t="s">
        <v>3274</v>
      </c>
      <c r="D1029" s="148" t="s">
        <v>3127</v>
      </c>
      <c r="E1029" s="148"/>
      <c r="F1029" s="148"/>
      <c r="G1029" s="193"/>
      <c r="H1029" s="105" t="n">
        <f aca="false">'[2]$ зима'!j1029-'[2]$ зима'!au1029-'[2]$ зима'!at1029-'[2]$ зима'!as1029-'[2]$ зима'!ar1029-'[2]$ зима'!aq1029-'[2]$ зима'!ap1029-'[2]$ зима'!an1029-'[2]$ зима'!am1029-'[2]$ зима'!al1029-'[2]$ зима'!ak1029-'[2]$ зима'!aj1029-'[2]$ зима'!ah1029-'[2]$ зима'!ag1029-'[2]$ зима'!af1029-'[2]$ зима'!ae1029-'[2]$ зима'!ad1029-'[2]$ зима'!ab1029-'[2]$ зима'!aa1029-'[2]$ зима'!z1029-'[2]$ зима'!y1029-'[2]$ зима'!x1029-'[2]$ зима'!v1029-'[2]$ зима'!u1029-'[2]$ зима'!t1029-'[2]$ зима'!s1029-'[2]$ зима'!r1029-'[2]$ зима'!p1029-'[2]$ зима'!o1029-'[2]$ зима'!n1029-'[2]$ зима'!m1029-'[2]$ зима'!l1029+'[2]$ зима'!q1029+'[2]$ зима'!w1029+'[2]$ зима'!ac1029+'[2]$ зима'!ai1029+'[2]$ зима'!ao1029+'[2]$ зима'!k1029</f>
        <v>0</v>
      </c>
      <c r="I1029" s="191" t="n">
        <f aca="false">'[2]$ зима'!ay1029*1.1</f>
        <v>2248.4</v>
      </c>
    </row>
    <row r="1030" customFormat="false" ht="15" hidden="false" customHeight="false" outlineLevel="0" collapsed="false">
      <c r="A1030" s="217" t="s">
        <v>1628</v>
      </c>
      <c r="B1030" s="157" t="s">
        <v>1149</v>
      </c>
      <c r="C1030" s="158" t="s">
        <v>3614</v>
      </c>
      <c r="D1030" s="158"/>
      <c r="E1030" s="224"/>
      <c r="F1030" s="224"/>
      <c r="G1030" s="218"/>
      <c r="H1030" s="105" t="n">
        <f aca="false">'[2]$ зима'!j1030-'[2]$ зима'!au1030-'[2]$ зима'!at1030-'[2]$ зима'!as1030-'[2]$ зима'!ar1030-'[2]$ зима'!aq1030-'[2]$ зима'!ap1030-'[2]$ зима'!an1030-'[2]$ зима'!am1030-'[2]$ зима'!al1030-'[2]$ зима'!ak1030-'[2]$ зима'!aj1030-'[2]$ зима'!ah1030-'[2]$ зима'!ag1030-'[2]$ зима'!af1030-'[2]$ зима'!ae1030-'[2]$ зима'!ad1030-'[2]$ зима'!ab1030-'[2]$ зима'!aa1030-'[2]$ зима'!z1030-'[2]$ зима'!y1030-'[2]$ зима'!x1030-'[2]$ зима'!v1030-'[2]$ зима'!u1030-'[2]$ зима'!t1030-'[2]$ зима'!s1030-'[2]$ зима'!r1030-'[2]$ зима'!p1030-'[2]$ зима'!o1030-'[2]$ зима'!n1030-'[2]$ зима'!m1030-'[2]$ зима'!l1030+'[2]$ зима'!q1030+'[2]$ зима'!w1030+'[2]$ зима'!ac1030+'[2]$ зима'!ai1030+'[2]$ зима'!ao1030+'[2]$ зима'!k1030</f>
        <v>4</v>
      </c>
      <c r="I1030" s="219" t="n">
        <f aca="false">'[2]$ зима'!ay1030*1.1</f>
        <v>1760</v>
      </c>
    </row>
    <row r="1031" customFormat="false" ht="15" hidden="true" customHeight="false" outlineLevel="0" collapsed="false">
      <c r="A1031" s="188" t="s">
        <v>1628</v>
      </c>
      <c r="B1031" s="149" t="s">
        <v>1149</v>
      </c>
      <c r="C1031" s="148" t="s">
        <v>3170</v>
      </c>
      <c r="D1031" s="148"/>
      <c r="E1031" s="148"/>
      <c r="F1031" s="148"/>
      <c r="G1031" s="193"/>
      <c r="H1031" s="105" t="n">
        <f aca="false">'[2]$ зима'!j1031-'[2]$ зима'!au1031-'[2]$ зима'!at1031-'[2]$ зима'!as1031-'[2]$ зима'!ar1031-'[2]$ зима'!aq1031-'[2]$ зима'!ap1031-'[2]$ зима'!an1031-'[2]$ зима'!am1031-'[2]$ зима'!al1031-'[2]$ зима'!ak1031-'[2]$ зима'!aj1031-'[2]$ зима'!ah1031-'[2]$ зима'!ag1031-'[2]$ зима'!af1031-'[2]$ зима'!ae1031-'[2]$ зима'!ad1031-'[2]$ зима'!ab1031-'[2]$ зима'!aa1031-'[2]$ зима'!z1031-'[2]$ зима'!y1031-'[2]$ зима'!x1031-'[2]$ зима'!v1031-'[2]$ зима'!u1031-'[2]$ зима'!t1031-'[2]$ зима'!s1031-'[2]$ зима'!r1031-'[2]$ зима'!p1031-'[2]$ зима'!o1031-'[2]$ зима'!n1031-'[2]$ зима'!m1031-'[2]$ зима'!l1031+'[2]$ зима'!q1031+'[2]$ зима'!w1031+'[2]$ зима'!ac1031+'[2]$ зима'!ai1031+'[2]$ зима'!ao1031+'[2]$ зима'!k1031</f>
        <v>0</v>
      </c>
      <c r="I1031" s="191" t="n">
        <f aca="false">'[2]$ зима'!ay1031*1.1</f>
        <v>2156</v>
      </c>
    </row>
    <row r="1032" customFormat="false" ht="15" hidden="false" customHeight="false" outlineLevel="0" collapsed="false">
      <c r="A1032" s="188" t="s">
        <v>1628</v>
      </c>
      <c r="B1032" s="149" t="s">
        <v>3142</v>
      </c>
      <c r="C1032" s="148" t="s">
        <v>3328</v>
      </c>
      <c r="D1032" s="148"/>
      <c r="E1032" s="192"/>
      <c r="F1032" s="192" t="s">
        <v>3286</v>
      </c>
      <c r="G1032" s="193" t="s">
        <v>609</v>
      </c>
      <c r="H1032" s="105" t="n">
        <f aca="false">'[2]$ зима'!j1032-'[2]$ зима'!au1032-'[2]$ зима'!at1032-'[2]$ зима'!as1032-'[2]$ зима'!ar1032-'[2]$ зима'!aq1032-'[2]$ зима'!ap1032-'[2]$ зима'!an1032-'[2]$ зима'!am1032-'[2]$ зима'!al1032-'[2]$ зима'!ak1032-'[2]$ зима'!aj1032-'[2]$ зима'!ah1032-'[2]$ зима'!ag1032-'[2]$ зима'!af1032-'[2]$ зима'!ae1032-'[2]$ зима'!ad1032-'[2]$ зима'!ab1032-'[2]$ зима'!aa1032-'[2]$ зима'!z1032-'[2]$ зима'!y1032-'[2]$ зима'!x1032-'[2]$ зима'!v1032-'[2]$ зима'!u1032-'[2]$ зима'!t1032-'[2]$ зима'!s1032-'[2]$ зима'!r1032-'[2]$ зима'!p1032-'[2]$ зима'!o1032-'[2]$ зима'!n1032-'[2]$ зима'!m1032-'[2]$ зима'!l1032+'[2]$ зима'!q1032+'[2]$ зима'!w1032+'[2]$ зима'!ac1032+'[2]$ зима'!ai1032+'[2]$ зима'!ao1032+'[2]$ зима'!k1032</f>
        <v>4</v>
      </c>
      <c r="I1032" s="191" t="n">
        <f aca="false">'[2]$ зима'!ay1032*1.1</f>
        <v>2156</v>
      </c>
      <c r="J1032" s="171" t="n">
        <v>2016</v>
      </c>
    </row>
    <row r="1033" customFormat="false" ht="15" hidden="false" customHeight="false" outlineLevel="0" collapsed="false">
      <c r="A1033" s="188" t="s">
        <v>1628</v>
      </c>
      <c r="B1033" s="149" t="s">
        <v>677</v>
      </c>
      <c r="C1033" s="148" t="s">
        <v>3347</v>
      </c>
      <c r="D1033" s="148"/>
      <c r="E1033" s="192"/>
      <c r="F1033" s="192"/>
      <c r="G1033" s="193"/>
      <c r="H1033" s="105" t="n">
        <f aca="false">'[2]$ зима'!j1033-'[2]$ зима'!au1033-'[2]$ зима'!at1033-'[2]$ зима'!as1033-'[2]$ зима'!ar1033-'[2]$ зима'!aq1033-'[2]$ зима'!ap1033-'[2]$ зима'!an1033-'[2]$ зима'!am1033-'[2]$ зима'!al1033-'[2]$ зима'!ak1033-'[2]$ зима'!aj1033-'[2]$ зима'!ah1033-'[2]$ зима'!ag1033-'[2]$ зима'!af1033-'[2]$ зима'!ae1033-'[2]$ зима'!ad1033-'[2]$ зима'!ab1033-'[2]$ зима'!aa1033-'[2]$ зима'!z1033-'[2]$ зима'!y1033-'[2]$ зима'!x1033-'[2]$ зима'!v1033-'[2]$ зима'!u1033-'[2]$ зима'!t1033-'[2]$ зима'!s1033-'[2]$ зима'!r1033-'[2]$ зима'!p1033-'[2]$ зима'!o1033-'[2]$ зима'!n1033-'[2]$ зима'!m1033-'[2]$ зима'!l1033+'[2]$ зима'!q1033+'[2]$ зима'!w1033+'[2]$ зима'!ac1033+'[2]$ зима'!ai1033+'[2]$ зима'!ao1033+'[2]$ зима'!k1033</f>
        <v>8</v>
      </c>
      <c r="I1033" s="191" t="n">
        <f aca="false">'[2]$ зима'!ay1033*1.1</f>
        <v>1848</v>
      </c>
      <c r="J1033" s="171" t="n">
        <v>2017</v>
      </c>
    </row>
    <row r="1034" customFormat="false" ht="15" hidden="true" customHeight="false" outlineLevel="0" collapsed="false">
      <c r="A1034" s="188" t="s">
        <v>1628</v>
      </c>
      <c r="B1034" s="149" t="s">
        <v>3307</v>
      </c>
      <c r="C1034" s="148" t="s">
        <v>3615</v>
      </c>
      <c r="D1034" s="148"/>
      <c r="E1034" s="148"/>
      <c r="F1034" s="148"/>
      <c r="G1034" s="193"/>
      <c r="H1034" s="105" t="n">
        <f aca="false">'[2]$ зима'!j1034-'[2]$ зима'!au1034-'[2]$ зима'!at1034-'[2]$ зима'!as1034-'[2]$ зима'!ar1034-'[2]$ зима'!aq1034-'[2]$ зима'!ap1034-'[2]$ зима'!an1034-'[2]$ зима'!am1034-'[2]$ зима'!al1034-'[2]$ зима'!ak1034-'[2]$ зима'!aj1034-'[2]$ зима'!ah1034-'[2]$ зима'!ag1034-'[2]$ зима'!af1034-'[2]$ зима'!ae1034-'[2]$ зима'!ad1034-'[2]$ зима'!ab1034-'[2]$ зима'!aa1034-'[2]$ зима'!z1034-'[2]$ зима'!y1034-'[2]$ зима'!x1034-'[2]$ зима'!v1034-'[2]$ зима'!u1034-'[2]$ зима'!t1034-'[2]$ зима'!s1034-'[2]$ зима'!r1034-'[2]$ зима'!p1034-'[2]$ зима'!o1034-'[2]$ зима'!n1034-'[2]$ зима'!m1034-'[2]$ зима'!l1034+'[2]$ зима'!q1034+'[2]$ зима'!w1034+'[2]$ зима'!ac1034+'[2]$ зима'!ai1034+'[2]$ зима'!ao1034+'[2]$ зима'!k1034</f>
        <v>0</v>
      </c>
      <c r="I1034" s="191" t="n">
        <f aca="false">'[2]$ зима'!ay1034*1.1</f>
        <v>1848</v>
      </c>
    </row>
    <row r="1035" customFormat="false" ht="15" hidden="true" customHeight="false" outlineLevel="0" collapsed="false">
      <c r="A1035" s="188" t="s">
        <v>1628</v>
      </c>
      <c r="B1035" s="149" t="s">
        <v>589</v>
      </c>
      <c r="C1035" s="148" t="s">
        <v>3599</v>
      </c>
      <c r="D1035" s="148"/>
      <c r="E1035" s="148"/>
      <c r="F1035" s="148"/>
      <c r="G1035" s="193" t="s">
        <v>626</v>
      </c>
      <c r="H1035" s="105" t="n">
        <f aca="false">'[2]$ зима'!j1035-'[2]$ зима'!au1035-'[2]$ зима'!at1035-'[2]$ зима'!as1035-'[2]$ зима'!ar1035-'[2]$ зима'!aq1035-'[2]$ зима'!ap1035-'[2]$ зима'!an1035-'[2]$ зима'!am1035-'[2]$ зима'!al1035-'[2]$ зима'!ak1035-'[2]$ зима'!aj1035-'[2]$ зима'!ah1035-'[2]$ зима'!ag1035-'[2]$ зима'!af1035-'[2]$ зима'!ae1035-'[2]$ зима'!ad1035-'[2]$ зима'!ab1035-'[2]$ зима'!aa1035-'[2]$ зима'!z1035-'[2]$ зима'!y1035-'[2]$ зима'!x1035-'[2]$ зима'!v1035-'[2]$ зима'!u1035-'[2]$ зима'!t1035-'[2]$ зима'!s1035-'[2]$ зима'!r1035-'[2]$ зима'!p1035-'[2]$ зима'!o1035-'[2]$ зима'!n1035-'[2]$ зима'!m1035-'[2]$ зима'!l1035+'[2]$ зима'!q1035+'[2]$ зима'!w1035+'[2]$ зима'!ac1035+'[2]$ зима'!ai1035+'[2]$ зима'!ao1035+'[2]$ зима'!k1035</f>
        <v>0</v>
      </c>
      <c r="I1035" s="191" t="n">
        <f aca="false">'[2]$ зима'!ay1035*1.1</f>
        <v>2490.4</v>
      </c>
    </row>
    <row r="1036" customFormat="false" ht="15" hidden="false" customHeight="false" outlineLevel="0" collapsed="false">
      <c r="A1036" s="188" t="s">
        <v>1628</v>
      </c>
      <c r="B1036" s="149" t="s">
        <v>589</v>
      </c>
      <c r="C1036" s="148" t="s">
        <v>3225</v>
      </c>
      <c r="D1036" s="148"/>
      <c r="E1036" s="192" t="n">
        <v>97</v>
      </c>
      <c r="F1036" s="192" t="s">
        <v>3207</v>
      </c>
      <c r="G1036" s="193" t="s">
        <v>626</v>
      </c>
      <c r="H1036" s="105" t="n">
        <f aca="false">'[2]$ зима'!j1036-'[2]$ зима'!au1036-'[2]$ зима'!at1036-'[2]$ зима'!as1036-'[2]$ зима'!ar1036-'[2]$ зима'!aq1036-'[2]$ зима'!ap1036-'[2]$ зима'!an1036-'[2]$ зима'!am1036-'[2]$ зима'!al1036-'[2]$ зима'!ak1036-'[2]$ зима'!aj1036-'[2]$ зима'!ah1036-'[2]$ зима'!ag1036-'[2]$ зима'!af1036-'[2]$ зима'!ae1036-'[2]$ зима'!ad1036-'[2]$ зима'!ab1036-'[2]$ зима'!aa1036-'[2]$ зима'!z1036-'[2]$ зима'!y1036-'[2]$ зима'!x1036-'[2]$ зима'!v1036-'[2]$ зима'!u1036-'[2]$ зима'!t1036-'[2]$ зима'!s1036-'[2]$ зима'!r1036-'[2]$ зима'!p1036-'[2]$ зима'!o1036-'[2]$ зима'!n1036-'[2]$ зима'!m1036-'[2]$ зима'!l1036+'[2]$ зима'!q1036+'[2]$ зима'!w1036+'[2]$ зима'!ac1036+'[2]$ зима'!ai1036+'[2]$ зима'!ao1036+'[2]$ зима'!k1036</f>
        <v>8</v>
      </c>
      <c r="I1036" s="191" t="n">
        <f aca="false">'[2]$ зима'!ay1036*1.1</f>
        <v>3811.28</v>
      </c>
      <c r="J1036" s="171" t="n">
        <v>2018</v>
      </c>
    </row>
    <row r="1037" customFormat="false" ht="15" hidden="false" customHeight="false" outlineLevel="0" collapsed="false">
      <c r="A1037" s="188" t="s">
        <v>1628</v>
      </c>
      <c r="B1037" s="149" t="s">
        <v>564</v>
      </c>
      <c r="C1037" s="148" t="s">
        <v>3438</v>
      </c>
      <c r="D1037" s="148"/>
      <c r="E1037" s="192" t="n">
        <v>97</v>
      </c>
      <c r="F1037" s="192" t="s">
        <v>634</v>
      </c>
      <c r="G1037" s="193" t="s">
        <v>520</v>
      </c>
      <c r="H1037" s="105" t="n">
        <f aca="false">'[2]$ зима'!j1037-'[2]$ зима'!au1037-'[2]$ зима'!at1037-'[2]$ зима'!as1037-'[2]$ зима'!ar1037-'[2]$ зима'!aq1037-'[2]$ зима'!ap1037-'[2]$ зима'!an1037-'[2]$ зима'!am1037-'[2]$ зима'!al1037-'[2]$ зима'!ak1037-'[2]$ зима'!aj1037-'[2]$ зима'!ah1037-'[2]$ зима'!ag1037-'[2]$ зима'!af1037-'[2]$ зима'!ae1037-'[2]$ зима'!ad1037-'[2]$ зима'!ab1037-'[2]$ зима'!aa1037-'[2]$ зима'!z1037-'[2]$ зима'!y1037-'[2]$ зима'!x1037-'[2]$ зима'!v1037-'[2]$ зима'!u1037-'[2]$ зима'!t1037-'[2]$ зима'!s1037-'[2]$ зима'!r1037-'[2]$ зима'!p1037-'[2]$ зима'!o1037-'[2]$ зима'!n1037-'[2]$ зима'!m1037-'[2]$ зима'!l1037+'[2]$ зима'!q1037+'[2]$ зима'!w1037+'[2]$ зима'!ac1037+'[2]$ зима'!ai1037+'[2]$ зима'!ao1037+'[2]$ зима'!k1037</f>
        <v>4</v>
      </c>
      <c r="I1037" s="191" t="n">
        <f aca="false">'[2]$ зима'!ay1037*1.1</f>
        <v>1817.2</v>
      </c>
      <c r="J1037" s="171" t="n">
        <v>2017</v>
      </c>
    </row>
    <row r="1038" customFormat="false" ht="15" hidden="true" customHeight="false" outlineLevel="0" collapsed="false">
      <c r="A1038" s="188" t="s">
        <v>1628</v>
      </c>
      <c r="B1038" s="149" t="s">
        <v>1028</v>
      </c>
      <c r="C1038" s="148" t="s">
        <v>3616</v>
      </c>
      <c r="D1038" s="148"/>
      <c r="E1038" s="148"/>
      <c r="F1038" s="148"/>
      <c r="G1038" s="193"/>
      <c r="H1038" s="105" t="n">
        <f aca="false">'[2]$ зима'!j1038-'[2]$ зима'!au1038-'[2]$ зима'!at1038-'[2]$ зима'!as1038-'[2]$ зима'!ar1038-'[2]$ зима'!aq1038-'[2]$ зима'!ap1038-'[2]$ зима'!an1038-'[2]$ зима'!am1038-'[2]$ зима'!al1038-'[2]$ зима'!ak1038-'[2]$ зима'!aj1038-'[2]$ зима'!ah1038-'[2]$ зима'!ag1038-'[2]$ зима'!af1038-'[2]$ зима'!ae1038-'[2]$ зима'!ad1038-'[2]$ зима'!ab1038-'[2]$ зима'!aa1038-'[2]$ зима'!z1038-'[2]$ зима'!y1038-'[2]$ зима'!x1038-'[2]$ зима'!v1038-'[2]$ зима'!u1038-'[2]$ зима'!t1038-'[2]$ зима'!s1038-'[2]$ зима'!r1038-'[2]$ зима'!p1038-'[2]$ зима'!o1038-'[2]$ зима'!n1038-'[2]$ зима'!m1038-'[2]$ зима'!l1038+'[2]$ зима'!q1038+'[2]$ зима'!w1038+'[2]$ зима'!ac1038+'[2]$ зима'!ai1038+'[2]$ зима'!ao1038+'[2]$ зима'!k1038</f>
        <v>0</v>
      </c>
      <c r="I1038" s="191" t="n">
        <f aca="false">'[2]$ зима'!ay1038*1.1</f>
        <v>2772</v>
      </c>
    </row>
    <row r="1039" customFormat="false" ht="15" hidden="false" customHeight="false" outlineLevel="0" collapsed="false">
      <c r="A1039" s="196" t="s">
        <v>1659</v>
      </c>
      <c r="B1039" s="149" t="s">
        <v>601</v>
      </c>
      <c r="C1039" s="148" t="s">
        <v>3151</v>
      </c>
      <c r="D1039" s="148"/>
      <c r="E1039" s="192"/>
      <c r="F1039" s="192"/>
      <c r="G1039" s="193"/>
      <c r="H1039" s="105" t="n">
        <f aca="false">'[2]$ зима'!j1039-'[2]$ зима'!au1039-'[2]$ зима'!at1039-'[2]$ зима'!as1039-'[2]$ зима'!ar1039-'[2]$ зима'!aq1039-'[2]$ зима'!ap1039-'[2]$ зима'!an1039-'[2]$ зима'!am1039-'[2]$ зима'!al1039-'[2]$ зима'!ak1039-'[2]$ зима'!aj1039-'[2]$ зима'!ah1039-'[2]$ зима'!ag1039-'[2]$ зима'!af1039-'[2]$ зима'!ae1039-'[2]$ зима'!ad1039-'[2]$ зима'!ab1039-'[2]$ зима'!aa1039-'[2]$ зима'!z1039-'[2]$ зима'!y1039-'[2]$ зима'!x1039-'[2]$ зима'!v1039-'[2]$ зима'!u1039-'[2]$ зима'!t1039-'[2]$ зима'!s1039-'[2]$ зима'!r1039-'[2]$ зима'!p1039-'[2]$ зима'!o1039-'[2]$ зима'!n1039-'[2]$ зима'!m1039-'[2]$ зима'!l1039+'[2]$ зима'!q1039+'[2]$ зима'!w1039+'[2]$ зима'!ac1039+'[2]$ зима'!ai1039+'[2]$ зима'!ao1039+'[2]$ зима'!k1039</f>
        <v>4</v>
      </c>
      <c r="I1039" s="191" t="n">
        <f aca="false">'[2]$ зима'!ay1039*1.1</f>
        <v>4558.4</v>
      </c>
      <c r="J1039" s="171" t="n">
        <v>2017</v>
      </c>
    </row>
    <row r="1040" customFormat="false" ht="15" hidden="true" customHeight="false" outlineLevel="0" collapsed="false">
      <c r="A1040" s="196" t="s">
        <v>1659</v>
      </c>
      <c r="B1040" s="149" t="s">
        <v>601</v>
      </c>
      <c r="C1040" s="148" t="s">
        <v>3150</v>
      </c>
      <c r="D1040" s="148"/>
      <c r="E1040" s="148"/>
      <c r="F1040" s="148"/>
      <c r="G1040" s="193"/>
      <c r="H1040" s="105" t="n">
        <f aca="false">'[2]$ зима'!j1040-'[2]$ зима'!au1040-'[2]$ зима'!at1040-'[2]$ зима'!as1040-'[2]$ зима'!ar1040-'[2]$ зима'!aq1040-'[2]$ зима'!ap1040-'[2]$ зима'!an1040-'[2]$ зима'!am1040-'[2]$ зима'!al1040-'[2]$ зима'!ak1040-'[2]$ зима'!aj1040-'[2]$ зима'!ah1040-'[2]$ зима'!ag1040-'[2]$ зима'!af1040-'[2]$ зима'!ae1040-'[2]$ зима'!ad1040-'[2]$ зима'!ab1040-'[2]$ зима'!aa1040-'[2]$ зима'!z1040-'[2]$ зима'!y1040-'[2]$ зима'!x1040-'[2]$ зима'!v1040-'[2]$ зима'!u1040-'[2]$ зима'!t1040-'[2]$ зима'!s1040-'[2]$ зима'!r1040-'[2]$ зима'!p1040-'[2]$ зима'!o1040-'[2]$ зима'!n1040-'[2]$ зима'!m1040-'[2]$ зима'!l1040+'[2]$ зима'!q1040+'[2]$ зима'!w1040+'[2]$ зима'!ac1040+'[2]$ зима'!ai1040+'[2]$ зима'!ao1040+'[2]$ зима'!k1040</f>
        <v>0</v>
      </c>
      <c r="I1040" s="191" t="n">
        <f aca="false">'[2]$ зима'!ay1040*1.1</f>
        <v>4004</v>
      </c>
    </row>
    <row r="1041" customFormat="false" ht="15" hidden="false" customHeight="false" outlineLevel="0" collapsed="false">
      <c r="A1041" s="196" t="s">
        <v>1659</v>
      </c>
      <c r="B1041" s="149" t="s">
        <v>658</v>
      </c>
      <c r="C1041" s="148" t="s">
        <v>3617</v>
      </c>
      <c r="D1041" s="148" t="s">
        <v>3147</v>
      </c>
      <c r="E1041" s="192"/>
      <c r="F1041" s="192"/>
      <c r="G1041" s="193" t="s">
        <v>843</v>
      </c>
      <c r="H1041" s="105" t="n">
        <f aca="false">'[2]$ зима'!j1041-'[2]$ зима'!au1041-'[2]$ зима'!at1041-'[2]$ зима'!as1041-'[2]$ зима'!ar1041-'[2]$ зима'!aq1041-'[2]$ зима'!ap1041-'[2]$ зима'!an1041-'[2]$ зима'!am1041-'[2]$ зима'!al1041-'[2]$ зима'!ak1041-'[2]$ зима'!aj1041-'[2]$ зима'!ah1041-'[2]$ зима'!ag1041-'[2]$ зима'!af1041-'[2]$ зима'!ae1041-'[2]$ зима'!ad1041-'[2]$ зима'!ab1041-'[2]$ зима'!aa1041-'[2]$ зима'!z1041-'[2]$ зима'!y1041-'[2]$ зима'!x1041-'[2]$ зима'!v1041-'[2]$ зима'!u1041-'[2]$ зима'!t1041-'[2]$ зима'!s1041-'[2]$ зима'!r1041-'[2]$ зима'!p1041-'[2]$ зима'!o1041-'[2]$ зима'!n1041-'[2]$ зима'!m1041-'[2]$ зима'!l1041+'[2]$ зима'!q1041+'[2]$ зима'!w1041+'[2]$ зима'!ac1041+'[2]$ зима'!ai1041+'[2]$ зима'!ao1041+'[2]$ зима'!k1041</f>
        <v>8</v>
      </c>
      <c r="I1041" s="191" t="n">
        <f aca="false">'[2]$ зима'!ay1041*1.1</f>
        <v>3080</v>
      </c>
      <c r="J1041" s="171" t="n">
        <v>2012</v>
      </c>
    </row>
    <row r="1042" customFormat="false" ht="15" hidden="true" customHeight="false" outlineLevel="0" collapsed="false">
      <c r="A1042" s="196" t="s">
        <v>1659</v>
      </c>
      <c r="B1042" s="149" t="s">
        <v>1905</v>
      </c>
      <c r="C1042" s="148" t="s">
        <v>3457</v>
      </c>
      <c r="D1042" s="148"/>
      <c r="E1042" s="148"/>
      <c r="F1042" s="148"/>
      <c r="G1042" s="193"/>
      <c r="H1042" s="105" t="n">
        <f aca="false">'[2]$ зима'!j1042-'[2]$ зима'!au1042-'[2]$ зима'!at1042-'[2]$ зима'!as1042-'[2]$ зима'!ar1042-'[2]$ зима'!aq1042-'[2]$ зима'!ap1042-'[2]$ зима'!an1042-'[2]$ зима'!am1042-'[2]$ зима'!al1042-'[2]$ зима'!ak1042-'[2]$ зима'!aj1042-'[2]$ зима'!ah1042-'[2]$ зима'!ag1042-'[2]$ зима'!af1042-'[2]$ зима'!ae1042-'[2]$ зима'!ad1042-'[2]$ зима'!ab1042-'[2]$ зима'!aa1042-'[2]$ зима'!z1042-'[2]$ зима'!y1042-'[2]$ зима'!x1042-'[2]$ зима'!v1042-'[2]$ зима'!u1042-'[2]$ зима'!t1042-'[2]$ зима'!s1042-'[2]$ зима'!r1042-'[2]$ зима'!p1042-'[2]$ зима'!o1042-'[2]$ зима'!n1042-'[2]$ зима'!m1042-'[2]$ зима'!l1042+'[2]$ зима'!q1042+'[2]$ зима'!w1042+'[2]$ зима'!ac1042+'[2]$ зима'!ai1042+'[2]$ зима'!ao1042+'[2]$ зима'!k1042</f>
        <v>0</v>
      </c>
      <c r="I1042" s="191" t="n">
        <f aca="false">'[2]$ зима'!ay1042*1.1</f>
        <v>1601.6</v>
      </c>
    </row>
    <row r="1043" customFormat="false" ht="15" hidden="true" customHeight="false" outlineLevel="0" collapsed="false">
      <c r="A1043" s="196" t="s">
        <v>1659</v>
      </c>
      <c r="B1043" s="149" t="s">
        <v>553</v>
      </c>
      <c r="C1043" s="148" t="s">
        <v>3618</v>
      </c>
      <c r="D1043" s="148"/>
      <c r="E1043" s="148" t="n">
        <v>99</v>
      </c>
      <c r="F1043" s="148" t="s">
        <v>3207</v>
      </c>
      <c r="G1043" s="193" t="s">
        <v>876</v>
      </c>
      <c r="H1043" s="105" t="n">
        <f aca="false">'[2]$ зима'!j1043-'[2]$ зима'!au1043-'[2]$ зима'!at1043-'[2]$ зима'!as1043-'[2]$ зима'!ar1043-'[2]$ зима'!aq1043-'[2]$ зима'!ap1043-'[2]$ зима'!an1043-'[2]$ зима'!am1043-'[2]$ зима'!al1043-'[2]$ зима'!ak1043-'[2]$ зима'!aj1043-'[2]$ зима'!ah1043-'[2]$ зима'!ag1043-'[2]$ зима'!af1043-'[2]$ зима'!ae1043-'[2]$ зима'!ad1043-'[2]$ зима'!ab1043-'[2]$ зима'!aa1043-'[2]$ зима'!z1043-'[2]$ зима'!y1043-'[2]$ зима'!x1043-'[2]$ зима'!v1043-'[2]$ зима'!u1043-'[2]$ зима'!t1043-'[2]$ зима'!s1043-'[2]$ зима'!r1043-'[2]$ зима'!p1043-'[2]$ зима'!o1043-'[2]$ зима'!n1043-'[2]$ зима'!m1043-'[2]$ зима'!l1043+'[2]$ зима'!q1043+'[2]$ зима'!w1043+'[2]$ зима'!ac1043+'[2]$ зима'!ai1043+'[2]$ зима'!ao1043+'[2]$ зима'!k1043</f>
        <v>0</v>
      </c>
      <c r="I1043" s="191" t="n">
        <f aca="false">'[2]$ зима'!ay1043*1.1</f>
        <v>2402.4</v>
      </c>
      <c r="J1043" s="171" t="n">
        <v>2017</v>
      </c>
    </row>
    <row r="1044" customFormat="false" ht="15" hidden="true" customHeight="false" outlineLevel="0" collapsed="false">
      <c r="A1044" s="196" t="s">
        <v>1659</v>
      </c>
      <c r="B1044" s="149" t="s">
        <v>3619</v>
      </c>
      <c r="C1044" s="148" t="s">
        <v>3620</v>
      </c>
      <c r="D1044" s="148"/>
      <c r="E1044" s="148"/>
      <c r="F1044" s="148"/>
      <c r="G1044" s="193"/>
      <c r="H1044" s="105" t="n">
        <f aca="false">'[2]$ зима'!j1044-'[2]$ зима'!au1044-'[2]$ зима'!at1044-'[2]$ зима'!as1044-'[2]$ зима'!ar1044-'[2]$ зима'!aq1044-'[2]$ зима'!ap1044-'[2]$ зима'!an1044-'[2]$ зима'!am1044-'[2]$ зима'!al1044-'[2]$ зима'!ak1044-'[2]$ зима'!aj1044-'[2]$ зима'!ah1044-'[2]$ зима'!ag1044-'[2]$ зима'!af1044-'[2]$ зима'!ae1044-'[2]$ зима'!ad1044-'[2]$ зима'!ab1044-'[2]$ зима'!aa1044-'[2]$ зима'!z1044-'[2]$ зима'!y1044-'[2]$ зима'!x1044-'[2]$ зима'!v1044-'[2]$ зима'!u1044-'[2]$ зима'!t1044-'[2]$ зима'!s1044-'[2]$ зима'!r1044-'[2]$ зима'!p1044-'[2]$ зима'!o1044-'[2]$ зима'!n1044-'[2]$ зима'!m1044-'[2]$ зима'!l1044+'[2]$ зима'!q1044+'[2]$ зима'!w1044+'[2]$ зима'!ac1044+'[2]$ зима'!ai1044+'[2]$ зима'!ao1044+'[2]$ зима'!k1044</f>
        <v>0</v>
      </c>
      <c r="I1044" s="191" t="n">
        <f aca="false">'[2]$ зима'!ay1044*1.1</f>
        <v>1540</v>
      </c>
    </row>
    <row r="1045" customFormat="false" ht="15" hidden="true" customHeight="false" outlineLevel="0" collapsed="false">
      <c r="A1045" s="196" t="s">
        <v>1659</v>
      </c>
      <c r="B1045" s="149" t="s">
        <v>948</v>
      </c>
      <c r="C1045" s="148" t="s">
        <v>3621</v>
      </c>
      <c r="D1045" s="148"/>
      <c r="E1045" s="148"/>
      <c r="F1045" s="148"/>
      <c r="G1045" s="193" t="s">
        <v>868</v>
      </c>
      <c r="H1045" s="105" t="n">
        <f aca="false">'[2]$ зима'!j1045-'[2]$ зима'!au1045-'[2]$ зима'!at1045-'[2]$ зима'!as1045-'[2]$ зима'!ar1045-'[2]$ зима'!aq1045-'[2]$ зима'!ap1045-'[2]$ зима'!an1045-'[2]$ зима'!am1045-'[2]$ зима'!al1045-'[2]$ зима'!ak1045-'[2]$ зима'!aj1045-'[2]$ зима'!ah1045-'[2]$ зима'!ag1045-'[2]$ зима'!af1045-'[2]$ зима'!ae1045-'[2]$ зима'!ad1045-'[2]$ зима'!ab1045-'[2]$ зима'!aa1045-'[2]$ зима'!z1045-'[2]$ зима'!y1045-'[2]$ зима'!x1045-'[2]$ зима'!v1045-'[2]$ зима'!u1045-'[2]$ зима'!t1045-'[2]$ зима'!s1045-'[2]$ зима'!r1045-'[2]$ зима'!p1045-'[2]$ зима'!o1045-'[2]$ зима'!n1045-'[2]$ зима'!m1045-'[2]$ зима'!l1045+'[2]$ зима'!q1045+'[2]$ зима'!w1045+'[2]$ зима'!ac1045+'[2]$ зима'!ai1045+'[2]$ зима'!ao1045+'[2]$ зима'!k1045</f>
        <v>0</v>
      </c>
      <c r="I1045" s="191" t="n">
        <f aca="false">'[2]$ зима'!ay1045*1.1</f>
        <v>4158</v>
      </c>
      <c r="J1045" s="171" t="n">
        <v>2017</v>
      </c>
    </row>
    <row r="1046" customFormat="false" ht="15" hidden="true" customHeight="false" outlineLevel="0" collapsed="false">
      <c r="A1046" s="188" t="s">
        <v>1659</v>
      </c>
      <c r="B1046" s="149" t="s">
        <v>606</v>
      </c>
      <c r="C1046" s="148" t="s">
        <v>3622</v>
      </c>
      <c r="D1046" s="148"/>
      <c r="E1046" s="148" t="n">
        <v>99</v>
      </c>
      <c r="F1046" s="148" t="s">
        <v>562</v>
      </c>
      <c r="G1046" s="193"/>
      <c r="H1046" s="105" t="n">
        <f aca="false">'[2]$ зима'!j1046-'[2]$ зима'!au1046-'[2]$ зима'!at1046-'[2]$ зима'!as1046-'[2]$ зима'!ar1046-'[2]$ зима'!aq1046-'[2]$ зима'!ap1046-'[2]$ зима'!an1046-'[2]$ зима'!am1046-'[2]$ зима'!al1046-'[2]$ зима'!ak1046-'[2]$ зима'!aj1046-'[2]$ зима'!ah1046-'[2]$ зима'!ag1046-'[2]$ зима'!af1046-'[2]$ зима'!ae1046-'[2]$ зима'!ad1046-'[2]$ зима'!ab1046-'[2]$ зима'!aa1046-'[2]$ зима'!z1046-'[2]$ зима'!y1046-'[2]$ зима'!x1046-'[2]$ зима'!v1046-'[2]$ зима'!u1046-'[2]$ зима'!t1046-'[2]$ зима'!s1046-'[2]$ зима'!r1046-'[2]$ зима'!p1046-'[2]$ зима'!o1046-'[2]$ зима'!n1046-'[2]$ зима'!m1046-'[2]$ зима'!l1046+'[2]$ зима'!q1046+'[2]$ зима'!w1046+'[2]$ зима'!ac1046+'[2]$ зима'!ai1046+'[2]$ зима'!ao1046+'[2]$ зима'!k1046</f>
        <v>0</v>
      </c>
      <c r="I1046" s="191" t="n">
        <f aca="false">'[2]$ зима'!ay1046*1.1</f>
        <v>2525.6</v>
      </c>
      <c r="J1046" s="171" t="n">
        <v>2017</v>
      </c>
    </row>
    <row r="1047" customFormat="false" ht="15" hidden="true" customHeight="false" outlineLevel="0" collapsed="false">
      <c r="A1047" s="188" t="s">
        <v>1659</v>
      </c>
      <c r="B1047" s="149" t="s">
        <v>606</v>
      </c>
      <c r="C1047" s="148" t="s">
        <v>3623</v>
      </c>
      <c r="D1047" s="148"/>
      <c r="E1047" s="148"/>
      <c r="F1047" s="148"/>
      <c r="G1047" s="193"/>
      <c r="H1047" s="105" t="n">
        <f aca="false">'[2]$ зима'!j1047-'[2]$ зима'!au1047-'[2]$ зима'!at1047-'[2]$ зима'!as1047-'[2]$ зима'!ar1047-'[2]$ зима'!aq1047-'[2]$ зима'!ap1047-'[2]$ зима'!an1047-'[2]$ зима'!am1047-'[2]$ зима'!al1047-'[2]$ зима'!ak1047-'[2]$ зима'!aj1047-'[2]$ зима'!ah1047-'[2]$ зима'!ag1047-'[2]$ зима'!af1047-'[2]$ зима'!ae1047-'[2]$ зима'!ad1047-'[2]$ зима'!ab1047-'[2]$ зима'!aa1047-'[2]$ зима'!z1047-'[2]$ зима'!y1047-'[2]$ зима'!x1047-'[2]$ зима'!v1047-'[2]$ зима'!u1047-'[2]$ зима'!t1047-'[2]$ зима'!s1047-'[2]$ зима'!r1047-'[2]$ зима'!p1047-'[2]$ зима'!o1047-'[2]$ зима'!n1047-'[2]$ зима'!m1047-'[2]$ зима'!l1047+'[2]$ зима'!q1047+'[2]$ зима'!w1047+'[2]$ зима'!ac1047+'[2]$ зима'!ai1047+'[2]$ зима'!ao1047+'[2]$ зима'!k1047</f>
        <v>0</v>
      </c>
      <c r="I1047" s="191" t="n">
        <f aca="false">'[2]$ зима'!ay1047*1.1</f>
        <v>2525.6</v>
      </c>
    </row>
    <row r="1048" customFormat="false" ht="15" hidden="true" customHeight="false" outlineLevel="0" collapsed="false">
      <c r="A1048" s="188" t="s">
        <v>1659</v>
      </c>
      <c r="B1048" s="149" t="s">
        <v>2421</v>
      </c>
      <c r="C1048" s="148" t="s">
        <v>2368</v>
      </c>
      <c r="D1048" s="148"/>
      <c r="E1048" s="148"/>
      <c r="F1048" s="148"/>
      <c r="G1048" s="193"/>
      <c r="H1048" s="105" t="n">
        <f aca="false">'[2]$ зима'!j1048-'[2]$ зима'!au1048-'[2]$ зима'!at1048-'[2]$ зима'!as1048-'[2]$ зима'!ar1048-'[2]$ зима'!aq1048-'[2]$ зима'!ap1048-'[2]$ зима'!an1048-'[2]$ зима'!am1048-'[2]$ зима'!al1048-'[2]$ зима'!ak1048-'[2]$ зима'!aj1048-'[2]$ зима'!ah1048-'[2]$ зима'!ag1048-'[2]$ зима'!af1048-'[2]$ зима'!ae1048-'[2]$ зима'!ad1048-'[2]$ зима'!ab1048-'[2]$ зима'!aa1048-'[2]$ зима'!z1048-'[2]$ зима'!y1048-'[2]$ зима'!x1048-'[2]$ зима'!v1048-'[2]$ зима'!u1048-'[2]$ зима'!t1048-'[2]$ зима'!s1048-'[2]$ зима'!r1048-'[2]$ зима'!p1048-'[2]$ зима'!o1048-'[2]$ зима'!n1048-'[2]$ зима'!m1048-'[2]$ зима'!l1048+'[2]$ зима'!q1048+'[2]$ зима'!w1048+'[2]$ зима'!ac1048+'[2]$ зима'!ai1048+'[2]$ зима'!ao1048+'[2]$ зима'!k1048</f>
        <v>0</v>
      </c>
      <c r="I1048" s="191" t="n">
        <f aca="false">'[2]$ зима'!ay1048*1.1</f>
        <v>1540</v>
      </c>
    </row>
    <row r="1049" customFormat="false" ht="15" hidden="false" customHeight="false" outlineLevel="0" collapsed="false">
      <c r="A1049" s="188" t="s">
        <v>1659</v>
      </c>
      <c r="B1049" s="149" t="s">
        <v>668</v>
      </c>
      <c r="C1049" s="194" t="s">
        <v>3402</v>
      </c>
      <c r="D1049" s="148"/>
      <c r="E1049" s="192"/>
      <c r="F1049" s="192" t="s">
        <v>3286</v>
      </c>
      <c r="G1049" s="193" t="s">
        <v>609</v>
      </c>
      <c r="H1049" s="105" t="n">
        <f aca="false">'[2]$ зима'!j1049-'[2]$ зима'!au1049-'[2]$ зима'!at1049-'[2]$ зима'!as1049-'[2]$ зима'!ar1049-'[2]$ зима'!aq1049-'[2]$ зима'!ap1049-'[2]$ зима'!an1049-'[2]$ зима'!am1049-'[2]$ зима'!al1049-'[2]$ зима'!ak1049-'[2]$ зима'!aj1049-'[2]$ зима'!ah1049-'[2]$ зима'!ag1049-'[2]$ зима'!af1049-'[2]$ зима'!ae1049-'[2]$ зима'!ad1049-'[2]$ зима'!ab1049-'[2]$ зима'!aa1049-'[2]$ зима'!z1049-'[2]$ зима'!y1049-'[2]$ зима'!x1049-'[2]$ зима'!v1049-'[2]$ зима'!u1049-'[2]$ зима'!t1049-'[2]$ зима'!s1049-'[2]$ зима'!r1049-'[2]$ зима'!p1049-'[2]$ зима'!o1049-'[2]$ зима'!n1049-'[2]$ зима'!m1049-'[2]$ зима'!l1049+'[2]$ зима'!q1049+'[2]$ зима'!w1049+'[2]$ зима'!ac1049+'[2]$ зима'!ai1049+'[2]$ зима'!ao1049+'[2]$ зима'!k1049</f>
        <v>16</v>
      </c>
      <c r="I1049" s="191" t="n">
        <f aca="false">'[2]$ зима'!ay1049*1.1</f>
        <v>2310</v>
      </c>
      <c r="J1049" s="171" t="n">
        <v>2018</v>
      </c>
    </row>
    <row r="1050" customFormat="false" ht="15" hidden="false" customHeight="false" outlineLevel="0" collapsed="false">
      <c r="A1050" s="188" t="s">
        <v>1659</v>
      </c>
      <c r="B1050" s="149" t="s">
        <v>574</v>
      </c>
      <c r="C1050" s="148" t="s">
        <v>3516</v>
      </c>
      <c r="D1050" s="148"/>
      <c r="E1050" s="192"/>
      <c r="F1050" s="192"/>
      <c r="G1050" s="193" t="s">
        <v>576</v>
      </c>
      <c r="H1050" s="105" t="n">
        <f aca="false">'[2]$ зима'!j1050-'[2]$ зима'!au1050-'[2]$ зима'!at1050-'[2]$ зима'!as1050-'[2]$ зима'!ar1050-'[2]$ зима'!aq1050-'[2]$ зима'!ap1050-'[2]$ зима'!an1050-'[2]$ зима'!am1050-'[2]$ зима'!al1050-'[2]$ зима'!ak1050-'[2]$ зима'!aj1050-'[2]$ зима'!ah1050-'[2]$ зима'!ag1050-'[2]$ зима'!af1050-'[2]$ зима'!ae1050-'[2]$ зима'!ad1050-'[2]$ зима'!ab1050-'[2]$ зима'!aa1050-'[2]$ зима'!z1050-'[2]$ зима'!y1050-'[2]$ зима'!x1050-'[2]$ зима'!v1050-'[2]$ зима'!u1050-'[2]$ зима'!t1050-'[2]$ зима'!s1050-'[2]$ зима'!r1050-'[2]$ зима'!p1050-'[2]$ зима'!o1050-'[2]$ зима'!n1050-'[2]$ зима'!m1050-'[2]$ зима'!l1050+'[2]$ зима'!q1050+'[2]$ зима'!w1050+'[2]$ зима'!ac1050+'[2]$ зима'!ai1050+'[2]$ зима'!ao1050+'[2]$ зима'!k1050</f>
        <v>4</v>
      </c>
      <c r="I1050" s="191" t="n">
        <f aca="false">'[2]$ зима'!ay1050*1.1</f>
        <v>2499.2</v>
      </c>
      <c r="J1050" s="171" t="n">
        <v>2017</v>
      </c>
    </row>
    <row r="1051" customFormat="false" ht="15" hidden="true" customHeight="false" outlineLevel="0" collapsed="false">
      <c r="A1051" s="188" t="s">
        <v>1659</v>
      </c>
      <c r="B1051" s="149" t="s">
        <v>577</v>
      </c>
      <c r="C1051" s="148" t="s">
        <v>3624</v>
      </c>
      <c r="D1051" s="148"/>
      <c r="E1051" s="148" t="n">
        <v>99</v>
      </c>
      <c r="F1051" s="148" t="s">
        <v>562</v>
      </c>
      <c r="G1051" s="193" t="s">
        <v>563</v>
      </c>
      <c r="H1051" s="105" t="n">
        <f aca="false">'[2]$ зима'!j1051-'[2]$ зима'!au1051-'[2]$ зима'!at1051-'[2]$ зима'!as1051-'[2]$ зима'!ar1051-'[2]$ зима'!aq1051-'[2]$ зима'!ap1051-'[2]$ зима'!an1051-'[2]$ зима'!am1051-'[2]$ зима'!al1051-'[2]$ зима'!ak1051-'[2]$ зима'!aj1051-'[2]$ зима'!ah1051-'[2]$ зима'!ag1051-'[2]$ зима'!af1051-'[2]$ зима'!ae1051-'[2]$ зима'!ad1051-'[2]$ зима'!ab1051-'[2]$ зима'!aa1051-'[2]$ зима'!z1051-'[2]$ зима'!y1051-'[2]$ зима'!x1051-'[2]$ зима'!v1051-'[2]$ зима'!u1051-'[2]$ зима'!t1051-'[2]$ зима'!s1051-'[2]$ зима'!r1051-'[2]$ зима'!p1051-'[2]$ зима'!o1051-'[2]$ зима'!n1051-'[2]$ зима'!m1051-'[2]$ зима'!l1051+'[2]$ зима'!q1051+'[2]$ зима'!w1051+'[2]$ зима'!ac1051+'[2]$ зима'!ai1051+'[2]$ зима'!ao1051+'[2]$ зима'!k1051</f>
        <v>0</v>
      </c>
      <c r="I1051" s="191" t="n">
        <f aca="false">'[2]$ зима'!ay1051*1.1</f>
        <v>2217.6</v>
      </c>
    </row>
    <row r="1052" customFormat="false" ht="15" hidden="false" customHeight="false" outlineLevel="0" collapsed="false">
      <c r="A1052" s="188" t="s">
        <v>1659</v>
      </c>
      <c r="B1052" s="149" t="s">
        <v>593</v>
      </c>
      <c r="C1052" s="148" t="s">
        <v>3324</v>
      </c>
      <c r="D1052" s="148"/>
      <c r="E1052" s="192" t="n">
        <v>99</v>
      </c>
      <c r="F1052" s="192" t="s">
        <v>634</v>
      </c>
      <c r="G1052" s="193" t="s">
        <v>847</v>
      </c>
      <c r="H1052" s="105" t="n">
        <f aca="false">'[2]$ зима'!j1052-'[2]$ зима'!au1052-'[2]$ зима'!at1052-'[2]$ зима'!as1052-'[2]$ зима'!ar1052-'[2]$ зима'!aq1052-'[2]$ зима'!ap1052-'[2]$ зима'!an1052-'[2]$ зима'!am1052-'[2]$ зима'!al1052-'[2]$ зима'!ak1052-'[2]$ зима'!aj1052-'[2]$ зима'!ah1052-'[2]$ зима'!ag1052-'[2]$ зима'!af1052-'[2]$ зима'!ae1052-'[2]$ зима'!ad1052-'[2]$ зима'!ab1052-'[2]$ зима'!aa1052-'[2]$ зима'!z1052-'[2]$ зима'!y1052-'[2]$ зима'!x1052-'[2]$ зима'!v1052-'[2]$ зима'!u1052-'[2]$ зима'!t1052-'[2]$ зима'!s1052-'[2]$ зима'!r1052-'[2]$ зима'!p1052-'[2]$ зима'!o1052-'[2]$ зима'!n1052-'[2]$ зима'!m1052-'[2]$ зима'!l1052+'[2]$ зима'!q1052+'[2]$ зима'!w1052+'[2]$ зима'!ac1052+'[2]$ зима'!ai1052+'[2]$ зима'!ao1052+'[2]$ зима'!k1052</f>
        <v>8</v>
      </c>
      <c r="I1052" s="191" t="n">
        <f aca="false">'[2]$ зима'!ay1052*1.1</f>
        <v>4312</v>
      </c>
      <c r="J1052" s="171" t="n">
        <v>2017</v>
      </c>
    </row>
    <row r="1053" customFormat="false" ht="15" hidden="false" customHeight="false" outlineLevel="0" collapsed="false">
      <c r="A1053" s="188" t="s">
        <v>1659</v>
      </c>
      <c r="B1053" s="149" t="s">
        <v>3142</v>
      </c>
      <c r="C1053" s="148" t="s">
        <v>3625</v>
      </c>
      <c r="D1053" s="148" t="s">
        <v>3127</v>
      </c>
      <c r="E1053" s="192"/>
      <c r="F1053" s="192"/>
      <c r="G1053" s="193"/>
      <c r="H1053" s="105" t="n">
        <f aca="false">'[2]$ зима'!j1053-'[2]$ зима'!au1053-'[2]$ зима'!at1053-'[2]$ зима'!as1053-'[2]$ зима'!ar1053-'[2]$ зима'!aq1053-'[2]$ зима'!ap1053-'[2]$ зима'!an1053-'[2]$ зима'!am1053-'[2]$ зима'!al1053-'[2]$ зима'!ak1053-'[2]$ зима'!aj1053-'[2]$ зима'!ah1053-'[2]$ зима'!ag1053-'[2]$ зима'!af1053-'[2]$ зима'!ae1053-'[2]$ зима'!ad1053-'[2]$ зима'!ab1053-'[2]$ зима'!aa1053-'[2]$ зима'!z1053-'[2]$ зима'!y1053-'[2]$ зима'!x1053-'[2]$ зима'!v1053-'[2]$ зима'!u1053-'[2]$ зима'!t1053-'[2]$ зима'!s1053-'[2]$ зима'!r1053-'[2]$ зима'!p1053-'[2]$ зима'!o1053-'[2]$ зима'!n1053-'[2]$ зима'!m1053-'[2]$ зима'!l1053+'[2]$ зима'!q1053+'[2]$ зима'!w1053+'[2]$ зима'!ac1053+'[2]$ зима'!ai1053+'[2]$ зима'!ao1053+'[2]$ зима'!k1053</f>
        <v>2</v>
      </c>
      <c r="I1053" s="191" t="n">
        <f aca="false">'[2]$ зима'!ay1053*1.1</f>
        <v>2186.8</v>
      </c>
    </row>
    <row r="1054" customFormat="false" ht="15" hidden="true" customHeight="false" outlineLevel="0" collapsed="false">
      <c r="A1054" s="188" t="s">
        <v>1659</v>
      </c>
      <c r="B1054" s="149" t="s">
        <v>1149</v>
      </c>
      <c r="C1054" s="148" t="s">
        <v>3170</v>
      </c>
      <c r="D1054" s="148"/>
      <c r="E1054" s="148"/>
      <c r="F1054" s="148"/>
      <c r="G1054" s="193"/>
      <c r="H1054" s="105" t="n">
        <f aca="false">'[2]$ зима'!j1054-'[2]$ зима'!au1054-'[2]$ зима'!at1054-'[2]$ зима'!as1054-'[2]$ зима'!ar1054-'[2]$ зима'!aq1054-'[2]$ зима'!ap1054-'[2]$ зима'!an1054-'[2]$ зима'!am1054-'[2]$ зима'!al1054-'[2]$ зима'!ak1054-'[2]$ зима'!aj1054-'[2]$ зима'!ah1054-'[2]$ зима'!ag1054-'[2]$ зима'!af1054-'[2]$ зима'!ae1054-'[2]$ зима'!ad1054-'[2]$ зима'!ab1054-'[2]$ зима'!aa1054-'[2]$ зима'!z1054-'[2]$ зима'!y1054-'[2]$ зима'!x1054-'[2]$ зима'!v1054-'[2]$ зима'!u1054-'[2]$ зима'!t1054-'[2]$ зима'!s1054-'[2]$ зима'!r1054-'[2]$ зима'!p1054-'[2]$ зима'!o1054-'[2]$ зима'!n1054-'[2]$ зима'!m1054-'[2]$ зима'!l1054+'[2]$ зима'!q1054+'[2]$ зима'!w1054+'[2]$ зима'!ac1054+'[2]$ зима'!ai1054+'[2]$ зима'!ao1054+'[2]$ зима'!k1054</f>
        <v>0</v>
      </c>
      <c r="I1054" s="191" t="n">
        <f aca="false">'[2]$ зима'!ay1054*1.1</f>
        <v>2464</v>
      </c>
    </row>
    <row r="1055" customFormat="false" ht="15" hidden="false" customHeight="false" outlineLevel="0" collapsed="false">
      <c r="A1055" s="196" t="s">
        <v>1659</v>
      </c>
      <c r="B1055" s="149" t="s">
        <v>621</v>
      </c>
      <c r="C1055" s="148" t="s">
        <v>3626</v>
      </c>
      <c r="D1055" s="148"/>
      <c r="E1055" s="192" t="n">
        <v>99</v>
      </c>
      <c r="F1055" s="192" t="s">
        <v>562</v>
      </c>
      <c r="G1055" s="193"/>
      <c r="H1055" s="105" t="n">
        <f aca="false">'[2]$ зима'!j1055-'[2]$ зима'!au1055-'[2]$ зима'!at1055-'[2]$ зима'!as1055-'[2]$ зима'!ar1055-'[2]$ зима'!aq1055-'[2]$ зима'!ap1055-'[2]$ зима'!an1055-'[2]$ зима'!am1055-'[2]$ зима'!al1055-'[2]$ зима'!ak1055-'[2]$ зима'!aj1055-'[2]$ зима'!ah1055-'[2]$ зима'!ag1055-'[2]$ зима'!af1055-'[2]$ зима'!ae1055-'[2]$ зима'!ad1055-'[2]$ зима'!ab1055-'[2]$ зима'!aa1055-'[2]$ зима'!z1055-'[2]$ зима'!y1055-'[2]$ зима'!x1055-'[2]$ зима'!v1055-'[2]$ зима'!u1055-'[2]$ зима'!t1055-'[2]$ зима'!s1055-'[2]$ зима'!r1055-'[2]$ зима'!p1055-'[2]$ зима'!o1055-'[2]$ зима'!n1055-'[2]$ зима'!m1055-'[2]$ зима'!l1055+'[2]$ зима'!q1055+'[2]$ зима'!w1055+'[2]$ зима'!ac1055+'[2]$ зима'!ai1055+'[2]$ зима'!ao1055+'[2]$ зима'!k1055</f>
        <v>12</v>
      </c>
      <c r="I1055" s="191" t="n">
        <f aca="false">'[2]$ зима'!ay1055*1.1</f>
        <v>1817.2</v>
      </c>
    </row>
    <row r="1056" customFormat="false" ht="15" hidden="false" customHeight="false" outlineLevel="0" collapsed="false">
      <c r="A1056" s="196" t="s">
        <v>1659</v>
      </c>
      <c r="B1056" s="149" t="s">
        <v>1161</v>
      </c>
      <c r="C1056" s="148" t="s">
        <v>3627</v>
      </c>
      <c r="D1056" s="148"/>
      <c r="E1056" s="192" t="n">
        <v>103</v>
      </c>
      <c r="F1056" s="192" t="s">
        <v>970</v>
      </c>
      <c r="G1056" s="193"/>
      <c r="H1056" s="105" t="n">
        <f aca="false">'[2]$ зима'!j1056-'[2]$ зима'!au1056-'[2]$ зима'!at1056-'[2]$ зима'!as1056-'[2]$ зима'!ar1056-'[2]$ зима'!aq1056-'[2]$ зима'!ap1056-'[2]$ зима'!an1056-'[2]$ зима'!am1056-'[2]$ зима'!al1056-'[2]$ зима'!ak1056-'[2]$ зима'!aj1056-'[2]$ зима'!ah1056-'[2]$ зима'!ag1056-'[2]$ зима'!af1056-'[2]$ зима'!ae1056-'[2]$ зима'!ad1056-'[2]$ зима'!ab1056-'[2]$ зима'!aa1056-'[2]$ зима'!z1056-'[2]$ зима'!y1056-'[2]$ зима'!x1056-'[2]$ зима'!v1056-'[2]$ зима'!u1056-'[2]$ зима'!t1056-'[2]$ зима'!s1056-'[2]$ зима'!r1056-'[2]$ зима'!p1056-'[2]$ зима'!o1056-'[2]$ зима'!n1056-'[2]$ зима'!m1056-'[2]$ зима'!l1056+'[2]$ зима'!q1056+'[2]$ зима'!w1056+'[2]$ зима'!ac1056+'[2]$ зима'!ai1056+'[2]$ зима'!ao1056+'[2]$ зима'!k1056</f>
        <v>4</v>
      </c>
      <c r="I1056" s="191" t="n">
        <f aca="false">'[2]$ зима'!ay1056*1.1</f>
        <v>2402.4</v>
      </c>
    </row>
    <row r="1057" customFormat="false" ht="15" hidden="false" customHeight="false" outlineLevel="0" collapsed="false">
      <c r="A1057" s="188" t="s">
        <v>1659</v>
      </c>
      <c r="B1057" s="149" t="s">
        <v>589</v>
      </c>
      <c r="C1057" s="148" t="s">
        <v>3259</v>
      </c>
      <c r="D1057" s="148"/>
      <c r="E1057" s="192" t="n">
        <v>99</v>
      </c>
      <c r="F1057" s="192" t="s">
        <v>3207</v>
      </c>
      <c r="G1057" s="193" t="s">
        <v>626</v>
      </c>
      <c r="H1057" s="105" t="n">
        <f aca="false">'[2]$ зима'!j1057-'[2]$ зима'!au1057-'[2]$ зима'!at1057-'[2]$ зима'!as1057-'[2]$ зима'!ar1057-'[2]$ зима'!aq1057-'[2]$ зима'!ap1057-'[2]$ зима'!an1057-'[2]$ зима'!am1057-'[2]$ зима'!al1057-'[2]$ зима'!ak1057-'[2]$ зима'!aj1057-'[2]$ зима'!ah1057-'[2]$ зима'!ag1057-'[2]$ зима'!af1057-'[2]$ зима'!ae1057-'[2]$ зима'!ad1057-'[2]$ зима'!ab1057-'[2]$ зима'!aa1057-'[2]$ зима'!z1057-'[2]$ зима'!y1057-'[2]$ зима'!x1057-'[2]$ зима'!v1057-'[2]$ зима'!u1057-'[2]$ зима'!t1057-'[2]$ зима'!s1057-'[2]$ зима'!r1057-'[2]$ зима'!p1057-'[2]$ зима'!o1057-'[2]$ зима'!n1057-'[2]$ зима'!m1057-'[2]$ зима'!l1057+'[2]$ зима'!q1057+'[2]$ зима'!w1057+'[2]$ зима'!ac1057+'[2]$ зима'!ai1057+'[2]$ зима'!ao1057+'[2]$ зима'!k1057</f>
        <v>4</v>
      </c>
      <c r="I1057" s="191" t="n">
        <f aca="false">'[2]$ зима'!ay1057*1.1</f>
        <v>3498.88</v>
      </c>
      <c r="J1057" s="171" t="n">
        <v>2018</v>
      </c>
    </row>
    <row r="1058" customFormat="false" ht="15" hidden="false" customHeight="false" outlineLevel="0" collapsed="false">
      <c r="A1058" s="188" t="s">
        <v>1659</v>
      </c>
      <c r="B1058" s="149" t="s">
        <v>564</v>
      </c>
      <c r="C1058" s="148" t="s">
        <v>3438</v>
      </c>
      <c r="D1058" s="148"/>
      <c r="E1058" s="192" t="n">
        <v>99</v>
      </c>
      <c r="F1058" s="192" t="s">
        <v>3207</v>
      </c>
      <c r="G1058" s="193"/>
      <c r="H1058" s="105" t="n">
        <f aca="false">'[2]$ зима'!j1058-'[2]$ зима'!au1058-'[2]$ зима'!at1058-'[2]$ зима'!as1058-'[2]$ зима'!ar1058-'[2]$ зима'!aq1058-'[2]$ зима'!ap1058-'[2]$ зима'!an1058-'[2]$ зима'!am1058-'[2]$ зима'!al1058-'[2]$ зима'!ak1058-'[2]$ зима'!aj1058-'[2]$ зима'!ah1058-'[2]$ зима'!ag1058-'[2]$ зима'!af1058-'[2]$ зима'!ae1058-'[2]$ зима'!ad1058-'[2]$ зима'!ab1058-'[2]$ зима'!aa1058-'[2]$ зима'!z1058-'[2]$ зима'!y1058-'[2]$ зима'!x1058-'[2]$ зима'!v1058-'[2]$ зима'!u1058-'[2]$ зима'!t1058-'[2]$ зима'!s1058-'[2]$ зима'!r1058-'[2]$ зима'!p1058-'[2]$ зима'!o1058-'[2]$ зима'!n1058-'[2]$ зима'!m1058-'[2]$ зима'!l1058+'[2]$ зима'!q1058+'[2]$ зима'!w1058+'[2]$ зима'!ac1058+'[2]$ зима'!ai1058+'[2]$ зима'!ao1058+'[2]$ зима'!k1058</f>
        <v>8</v>
      </c>
      <c r="I1058" s="191" t="n">
        <f aca="false">'[2]$ зима'!ay1058*1.1</f>
        <v>1848</v>
      </c>
    </row>
    <row r="1059" customFormat="false" ht="15" hidden="true" customHeight="false" outlineLevel="0" collapsed="false">
      <c r="A1059" s="196" t="s">
        <v>1683</v>
      </c>
      <c r="B1059" s="149" t="s">
        <v>601</v>
      </c>
      <c r="C1059" s="148" t="s">
        <v>3482</v>
      </c>
      <c r="D1059" s="148"/>
      <c r="E1059" s="148"/>
      <c r="F1059" s="148"/>
      <c r="G1059" s="193"/>
      <c r="H1059" s="105" t="n">
        <f aca="false">'[2]$ зима'!j1059-'[2]$ зима'!au1059-'[2]$ зима'!at1059-'[2]$ зима'!as1059-'[2]$ зима'!ar1059-'[2]$ зима'!aq1059-'[2]$ зима'!ap1059-'[2]$ зима'!an1059-'[2]$ зима'!am1059-'[2]$ зима'!al1059-'[2]$ зима'!ak1059-'[2]$ зима'!aj1059-'[2]$ зима'!ah1059-'[2]$ зима'!ag1059-'[2]$ зима'!af1059-'[2]$ зима'!ae1059-'[2]$ зима'!ad1059-'[2]$ зима'!ab1059-'[2]$ зима'!aa1059-'[2]$ зима'!z1059-'[2]$ зима'!y1059-'[2]$ зима'!x1059-'[2]$ зима'!v1059-'[2]$ зима'!u1059-'[2]$ зима'!t1059-'[2]$ зима'!s1059-'[2]$ зима'!r1059-'[2]$ зима'!p1059-'[2]$ зима'!o1059-'[2]$ зима'!n1059-'[2]$ зима'!m1059-'[2]$ зима'!l1059+'[2]$ зима'!q1059+'[2]$ зима'!w1059+'[2]$ зима'!ac1059+'[2]$ зима'!ai1059+'[2]$ зима'!ao1059+'[2]$ зима'!k1059</f>
        <v>0</v>
      </c>
      <c r="I1059" s="191" t="n">
        <f aca="false">'[2]$ зима'!ay1059*1.1</f>
        <v>5112.8</v>
      </c>
      <c r="J1059" s="171" t="n">
        <v>2017</v>
      </c>
    </row>
    <row r="1060" customFormat="false" ht="15" hidden="false" customHeight="false" outlineLevel="0" collapsed="false">
      <c r="A1060" s="196" t="s">
        <v>1683</v>
      </c>
      <c r="B1060" s="149" t="s">
        <v>658</v>
      </c>
      <c r="C1060" s="148" t="s">
        <v>3456</v>
      </c>
      <c r="D1060" s="148"/>
      <c r="E1060" s="192"/>
      <c r="F1060" s="192"/>
      <c r="G1060" s="193" t="s">
        <v>640</v>
      </c>
      <c r="H1060" s="105" t="n">
        <f aca="false">'[2]$ зима'!j1060-'[2]$ зима'!au1060-'[2]$ зима'!at1060-'[2]$ зима'!as1060-'[2]$ зима'!ar1060-'[2]$ зима'!aq1060-'[2]$ зима'!ap1060-'[2]$ зима'!an1060-'[2]$ зима'!am1060-'[2]$ зима'!al1060-'[2]$ зима'!ak1060-'[2]$ зима'!aj1060-'[2]$ зима'!ah1060-'[2]$ зима'!ag1060-'[2]$ зима'!af1060-'[2]$ зима'!ae1060-'[2]$ зима'!ad1060-'[2]$ зима'!ab1060-'[2]$ зима'!aa1060-'[2]$ зима'!z1060-'[2]$ зима'!y1060-'[2]$ зима'!x1060-'[2]$ зима'!v1060-'[2]$ зима'!u1060-'[2]$ зима'!t1060-'[2]$ зима'!s1060-'[2]$ зима'!r1060-'[2]$ зима'!p1060-'[2]$ зима'!o1060-'[2]$ зима'!n1060-'[2]$ зима'!m1060-'[2]$ зима'!l1060+'[2]$ зима'!q1060+'[2]$ зима'!w1060+'[2]$ зима'!ac1060+'[2]$ зима'!ai1060+'[2]$ зима'!ao1060+'[2]$ зима'!k1060</f>
        <v>4</v>
      </c>
      <c r="I1060" s="191" t="n">
        <f aca="false">'[2]$ зима'!ay1060*1.1</f>
        <v>4158</v>
      </c>
      <c r="J1060" s="171" t="n">
        <v>2016</v>
      </c>
    </row>
    <row r="1061" customFormat="false" ht="15" hidden="false" customHeight="false" outlineLevel="0" collapsed="false">
      <c r="A1061" s="196" t="s">
        <v>1683</v>
      </c>
      <c r="B1061" s="149" t="s">
        <v>948</v>
      </c>
      <c r="C1061" s="148" t="s">
        <v>3621</v>
      </c>
      <c r="D1061" s="148"/>
      <c r="E1061" s="192"/>
      <c r="F1061" s="192"/>
      <c r="G1061" s="193" t="s">
        <v>843</v>
      </c>
      <c r="H1061" s="105" t="n">
        <f aca="false">'[2]$ зима'!j1061-'[2]$ зима'!au1061-'[2]$ зима'!at1061-'[2]$ зима'!as1061-'[2]$ зима'!ar1061-'[2]$ зима'!aq1061-'[2]$ зима'!ap1061-'[2]$ зима'!an1061-'[2]$ зима'!am1061-'[2]$ зима'!al1061-'[2]$ зима'!ak1061-'[2]$ зима'!aj1061-'[2]$ зима'!ah1061-'[2]$ зима'!ag1061-'[2]$ зима'!af1061-'[2]$ зима'!ae1061-'[2]$ зима'!ad1061-'[2]$ зима'!ab1061-'[2]$ зима'!aa1061-'[2]$ зима'!z1061-'[2]$ зима'!y1061-'[2]$ зима'!x1061-'[2]$ зима'!v1061-'[2]$ зима'!u1061-'[2]$ зима'!t1061-'[2]$ зима'!s1061-'[2]$ зима'!r1061-'[2]$ зима'!p1061-'[2]$ зима'!o1061-'[2]$ зима'!n1061-'[2]$ зима'!m1061-'[2]$ зима'!l1061+'[2]$ зима'!q1061+'[2]$ зима'!w1061+'[2]$ зима'!ac1061+'[2]$ зима'!ai1061+'[2]$ зима'!ao1061+'[2]$ зима'!k1061</f>
        <v>4</v>
      </c>
      <c r="I1061" s="191" t="n">
        <f aca="false">'[2]$ зима'!ay1061*1.1</f>
        <v>4219.6</v>
      </c>
      <c r="J1061" s="171" t="n">
        <v>2017</v>
      </c>
    </row>
    <row r="1062" customFormat="false" ht="15" hidden="false" customHeight="false" outlineLevel="0" collapsed="false">
      <c r="A1062" s="196" t="s">
        <v>1683</v>
      </c>
      <c r="B1062" s="149" t="s">
        <v>948</v>
      </c>
      <c r="C1062" s="148" t="s">
        <v>3628</v>
      </c>
      <c r="D1062" s="148"/>
      <c r="E1062" s="192" t="n">
        <v>102</v>
      </c>
      <c r="F1062" s="192" t="s">
        <v>562</v>
      </c>
      <c r="G1062" s="193"/>
      <c r="H1062" s="105" t="n">
        <f aca="false">'[2]$ зима'!j1062-'[2]$ зима'!au1062-'[2]$ зима'!at1062-'[2]$ зима'!as1062-'[2]$ зима'!ar1062-'[2]$ зима'!aq1062-'[2]$ зима'!ap1062-'[2]$ зима'!an1062-'[2]$ зима'!am1062-'[2]$ зима'!al1062-'[2]$ зима'!ak1062-'[2]$ зима'!aj1062-'[2]$ зима'!ah1062-'[2]$ зима'!ag1062-'[2]$ зима'!af1062-'[2]$ зима'!ae1062-'[2]$ зима'!ad1062-'[2]$ зима'!ab1062-'[2]$ зима'!aa1062-'[2]$ зима'!z1062-'[2]$ зима'!y1062-'[2]$ зима'!x1062-'[2]$ зима'!v1062-'[2]$ зима'!u1062-'[2]$ зима'!t1062-'[2]$ зима'!s1062-'[2]$ зима'!r1062-'[2]$ зима'!p1062-'[2]$ зима'!o1062-'[2]$ зима'!n1062-'[2]$ зима'!m1062-'[2]$ зима'!l1062+'[2]$ зима'!q1062+'[2]$ зима'!w1062+'[2]$ зима'!ac1062+'[2]$ зима'!ai1062+'[2]$ зима'!ao1062+'[2]$ зима'!k1062</f>
        <v>4</v>
      </c>
      <c r="I1062" s="191" t="n">
        <f aca="false">'[2]$ зима'!ay1062*1.1</f>
        <v>4096.4</v>
      </c>
      <c r="J1062" s="171" t="n">
        <v>2017</v>
      </c>
    </row>
    <row r="1063" customFormat="false" ht="15" hidden="false" customHeight="false" outlineLevel="0" collapsed="false">
      <c r="A1063" s="196" t="s">
        <v>1683</v>
      </c>
      <c r="B1063" s="149" t="s">
        <v>606</v>
      </c>
      <c r="C1063" s="148" t="s">
        <v>3386</v>
      </c>
      <c r="D1063" s="148"/>
      <c r="E1063" s="192" t="n">
        <v>102</v>
      </c>
      <c r="F1063" s="192" t="s">
        <v>562</v>
      </c>
      <c r="G1063" s="193" t="s">
        <v>609</v>
      </c>
      <c r="H1063" s="105" t="n">
        <f aca="false">'[2]$ зима'!j1063-'[2]$ зима'!au1063-'[2]$ зима'!at1063-'[2]$ зима'!as1063-'[2]$ зима'!ar1063-'[2]$ зима'!aq1063-'[2]$ зима'!ap1063-'[2]$ зима'!an1063-'[2]$ зима'!am1063-'[2]$ зима'!al1063-'[2]$ зима'!ak1063-'[2]$ зима'!aj1063-'[2]$ зима'!ah1063-'[2]$ зима'!ag1063-'[2]$ зима'!af1063-'[2]$ зима'!ae1063-'[2]$ зима'!ad1063-'[2]$ зима'!ab1063-'[2]$ зима'!aa1063-'[2]$ зима'!z1063-'[2]$ зима'!y1063-'[2]$ зима'!x1063-'[2]$ зима'!v1063-'[2]$ зима'!u1063-'[2]$ зима'!t1063-'[2]$ зима'!s1063-'[2]$ зима'!r1063-'[2]$ зима'!p1063-'[2]$ зима'!o1063-'[2]$ зима'!n1063-'[2]$ зима'!m1063-'[2]$ зима'!l1063+'[2]$ зима'!q1063+'[2]$ зима'!w1063+'[2]$ зима'!ac1063+'[2]$ зима'!ai1063+'[2]$ зима'!ao1063+'[2]$ зима'!k1063</f>
        <v>4</v>
      </c>
      <c r="I1063" s="191" t="n">
        <f aca="false">'[2]$ зима'!ay1063*1.1</f>
        <v>2525.6</v>
      </c>
      <c r="J1063" s="171" t="n">
        <v>2018</v>
      </c>
    </row>
    <row r="1064" customFormat="false" ht="15" hidden="true" customHeight="false" outlineLevel="0" collapsed="false">
      <c r="A1064" s="196" t="s">
        <v>1683</v>
      </c>
      <c r="B1064" s="149" t="s">
        <v>668</v>
      </c>
      <c r="C1064" s="194" t="s">
        <v>3182</v>
      </c>
      <c r="D1064" s="148"/>
      <c r="E1064" s="148"/>
      <c r="F1064" s="148"/>
      <c r="G1064" s="193"/>
      <c r="H1064" s="105" t="n">
        <f aca="false">'[2]$ зима'!j1064-'[2]$ зима'!au1064-'[2]$ зима'!at1064-'[2]$ зима'!as1064-'[2]$ зима'!ar1064-'[2]$ зима'!aq1064-'[2]$ зима'!ap1064-'[2]$ зима'!an1064-'[2]$ зима'!am1064-'[2]$ зима'!al1064-'[2]$ зима'!ak1064-'[2]$ зима'!aj1064-'[2]$ зима'!ah1064-'[2]$ зима'!ag1064-'[2]$ зима'!af1064-'[2]$ зима'!ae1064-'[2]$ зима'!ad1064-'[2]$ зима'!ab1064-'[2]$ зима'!aa1064-'[2]$ зима'!z1064-'[2]$ зима'!y1064-'[2]$ зима'!x1064-'[2]$ зима'!v1064-'[2]$ зима'!u1064-'[2]$ зима'!t1064-'[2]$ зима'!s1064-'[2]$ зима'!r1064-'[2]$ зима'!p1064-'[2]$ зима'!o1064-'[2]$ зима'!n1064-'[2]$ зима'!m1064-'[2]$ зима'!l1064+'[2]$ зима'!q1064+'[2]$ зима'!w1064+'[2]$ зима'!ac1064+'[2]$ зима'!ai1064+'[2]$ зима'!ao1064+'[2]$ зима'!k1064</f>
        <v>0</v>
      </c>
      <c r="I1064" s="191" t="n">
        <f aca="false">'[2]$ зима'!ay1064*1.1</f>
        <v>2310</v>
      </c>
    </row>
    <row r="1065" customFormat="false" ht="15" hidden="false" customHeight="false" outlineLevel="0" collapsed="false">
      <c r="A1065" s="196" t="s">
        <v>1683</v>
      </c>
      <c r="B1065" s="149" t="s">
        <v>668</v>
      </c>
      <c r="C1065" s="148" t="s">
        <v>3629</v>
      </c>
      <c r="D1065" s="148"/>
      <c r="E1065" s="192"/>
      <c r="F1065" s="192"/>
      <c r="G1065" s="193" t="s">
        <v>609</v>
      </c>
      <c r="H1065" s="105" t="n">
        <f aca="false">'[2]$ зима'!j1065-'[2]$ зима'!au1065-'[2]$ зима'!at1065-'[2]$ зима'!as1065-'[2]$ зима'!ar1065-'[2]$ зима'!aq1065-'[2]$ зима'!ap1065-'[2]$ зима'!an1065-'[2]$ зима'!am1065-'[2]$ зима'!al1065-'[2]$ зима'!ak1065-'[2]$ зима'!aj1065-'[2]$ зима'!ah1065-'[2]$ зима'!ag1065-'[2]$ зима'!af1065-'[2]$ зима'!ae1065-'[2]$ зима'!ad1065-'[2]$ зима'!ab1065-'[2]$ зима'!aa1065-'[2]$ зима'!z1065-'[2]$ зима'!y1065-'[2]$ зима'!x1065-'[2]$ зима'!v1065-'[2]$ зима'!u1065-'[2]$ зима'!t1065-'[2]$ зима'!s1065-'[2]$ зима'!r1065-'[2]$ зима'!p1065-'[2]$ зима'!o1065-'[2]$ зима'!n1065-'[2]$ зима'!m1065-'[2]$ зима'!l1065+'[2]$ зима'!q1065+'[2]$ зима'!w1065+'[2]$ зима'!ac1065+'[2]$ зима'!ai1065+'[2]$ зима'!ao1065+'[2]$ зима'!k1065</f>
        <v>12</v>
      </c>
      <c r="I1065" s="191" t="n">
        <f aca="false">'[2]$ зима'!ay1065*1.1</f>
        <v>2433.2</v>
      </c>
      <c r="J1065" s="171" t="n">
        <v>2018</v>
      </c>
    </row>
    <row r="1066" customFormat="false" ht="15" hidden="true" customHeight="false" outlineLevel="0" collapsed="false">
      <c r="A1066" s="196" t="s">
        <v>1683</v>
      </c>
      <c r="B1066" s="149" t="s">
        <v>577</v>
      </c>
      <c r="C1066" s="148" t="s">
        <v>3630</v>
      </c>
      <c r="D1066" s="148"/>
      <c r="E1066" s="148" t="n">
        <v>102</v>
      </c>
      <c r="F1066" s="148" t="s">
        <v>562</v>
      </c>
      <c r="G1066" s="193" t="s">
        <v>563</v>
      </c>
      <c r="H1066" s="105" t="n">
        <f aca="false">'[2]$ зима'!j1066-'[2]$ зима'!au1066-'[2]$ зима'!at1066-'[2]$ зима'!as1066-'[2]$ зима'!ar1066-'[2]$ зима'!aq1066-'[2]$ зима'!ap1066-'[2]$ зима'!an1066-'[2]$ зима'!am1066-'[2]$ зима'!al1066-'[2]$ зима'!ak1066-'[2]$ зима'!aj1066-'[2]$ зима'!ah1066-'[2]$ зима'!ag1066-'[2]$ зима'!af1066-'[2]$ зима'!ae1066-'[2]$ зима'!ad1066-'[2]$ зима'!ab1066-'[2]$ зима'!aa1066-'[2]$ зима'!z1066-'[2]$ зима'!y1066-'[2]$ зима'!x1066-'[2]$ зима'!v1066-'[2]$ зима'!u1066-'[2]$ зима'!t1066-'[2]$ зима'!s1066-'[2]$ зима'!r1066-'[2]$ зима'!p1066-'[2]$ зима'!o1066-'[2]$ зима'!n1066-'[2]$ зима'!m1066-'[2]$ зима'!l1066+'[2]$ зима'!q1066+'[2]$ зима'!w1066+'[2]$ зима'!ac1066+'[2]$ зима'!ai1066+'[2]$ зима'!ao1066+'[2]$ зима'!k1066</f>
        <v>0</v>
      </c>
      <c r="I1066" s="191" t="n">
        <f aca="false">'[2]$ зима'!ay1066*1.1</f>
        <v>2156</v>
      </c>
      <c r="J1066" s="171" t="n">
        <v>2017</v>
      </c>
    </row>
    <row r="1067" customFormat="false" ht="15" hidden="false" customHeight="false" outlineLevel="0" collapsed="false">
      <c r="A1067" s="196" t="s">
        <v>1683</v>
      </c>
      <c r="B1067" s="149" t="s">
        <v>1471</v>
      </c>
      <c r="C1067" s="148" t="s">
        <v>3631</v>
      </c>
      <c r="D1067" s="148"/>
      <c r="E1067" s="192" t="n">
        <v>102</v>
      </c>
      <c r="F1067" s="192" t="s">
        <v>562</v>
      </c>
      <c r="G1067" s="193"/>
      <c r="H1067" s="105" t="n">
        <f aca="false">'[2]$ зима'!j1067-'[2]$ зима'!au1067-'[2]$ зима'!at1067-'[2]$ зима'!as1067-'[2]$ зима'!ar1067-'[2]$ зима'!aq1067-'[2]$ зима'!ap1067-'[2]$ зима'!an1067-'[2]$ зима'!am1067-'[2]$ зима'!al1067-'[2]$ зима'!ak1067-'[2]$ зима'!aj1067-'[2]$ зима'!ah1067-'[2]$ зима'!ag1067-'[2]$ зима'!af1067-'[2]$ зима'!ae1067-'[2]$ зима'!ad1067-'[2]$ зима'!ab1067-'[2]$ зима'!aa1067-'[2]$ зима'!z1067-'[2]$ зима'!y1067-'[2]$ зима'!x1067-'[2]$ зима'!v1067-'[2]$ зима'!u1067-'[2]$ зима'!t1067-'[2]$ зима'!s1067-'[2]$ зима'!r1067-'[2]$ зима'!p1067-'[2]$ зима'!o1067-'[2]$ зима'!n1067-'[2]$ зима'!m1067-'[2]$ зима'!l1067+'[2]$ зима'!q1067+'[2]$ зима'!w1067+'[2]$ зима'!ac1067+'[2]$ зима'!ai1067+'[2]$ зима'!ao1067+'[2]$ зима'!k1067</f>
        <v>4</v>
      </c>
      <c r="I1067" s="191" t="n">
        <f aca="false">'[2]$ зима'!ay1067*1.1</f>
        <v>2310</v>
      </c>
      <c r="J1067" s="171" t="n">
        <v>2016</v>
      </c>
    </row>
    <row r="1068" customFormat="false" ht="15" hidden="true" customHeight="false" outlineLevel="0" collapsed="false">
      <c r="A1068" s="196" t="s">
        <v>1683</v>
      </c>
      <c r="B1068" s="149" t="s">
        <v>583</v>
      </c>
      <c r="C1068" s="148" t="s">
        <v>3303</v>
      </c>
      <c r="D1068" s="148"/>
      <c r="E1068" s="148"/>
      <c r="F1068" s="148"/>
      <c r="G1068" s="193"/>
      <c r="H1068" s="105" t="n">
        <f aca="false">'[2]$ зима'!j1068-'[2]$ зима'!au1068-'[2]$ зима'!at1068-'[2]$ зима'!as1068-'[2]$ зима'!ar1068-'[2]$ зима'!aq1068-'[2]$ зима'!ap1068-'[2]$ зима'!an1068-'[2]$ зима'!am1068-'[2]$ зима'!al1068-'[2]$ зима'!ak1068-'[2]$ зима'!aj1068-'[2]$ зима'!ah1068-'[2]$ зима'!ag1068-'[2]$ зима'!af1068-'[2]$ зима'!ae1068-'[2]$ зима'!ad1068-'[2]$ зима'!ab1068-'[2]$ зима'!aa1068-'[2]$ зима'!z1068-'[2]$ зима'!y1068-'[2]$ зима'!x1068-'[2]$ зима'!v1068-'[2]$ зима'!u1068-'[2]$ зима'!t1068-'[2]$ зима'!s1068-'[2]$ зима'!r1068-'[2]$ зима'!p1068-'[2]$ зима'!o1068-'[2]$ зима'!n1068-'[2]$ зима'!m1068-'[2]$ зима'!l1068+'[2]$ зима'!q1068+'[2]$ зима'!w1068+'[2]$ зима'!ac1068+'[2]$ зима'!ai1068+'[2]$ зима'!ao1068+'[2]$ зима'!k1068</f>
        <v>0</v>
      </c>
      <c r="I1068" s="191" t="n">
        <f aca="false">'[2]$ зима'!ay1068*1.1</f>
        <v>2402.4</v>
      </c>
    </row>
    <row r="1069" customFormat="false" ht="15" hidden="true" customHeight="false" outlineLevel="0" collapsed="false">
      <c r="A1069" s="196" t="s">
        <v>1683</v>
      </c>
      <c r="B1069" s="149" t="s">
        <v>593</v>
      </c>
      <c r="C1069" s="148" t="s">
        <v>3632</v>
      </c>
      <c r="D1069" s="148"/>
      <c r="E1069" s="148"/>
      <c r="F1069" s="148"/>
      <c r="G1069" s="193" t="s">
        <v>1240</v>
      </c>
      <c r="H1069" s="105" t="n">
        <f aca="false">'[2]$ зима'!j1069-'[2]$ зима'!au1069-'[2]$ зима'!at1069-'[2]$ зима'!as1069-'[2]$ зима'!ar1069-'[2]$ зима'!aq1069-'[2]$ зима'!ap1069-'[2]$ зима'!an1069-'[2]$ зима'!am1069-'[2]$ зима'!al1069-'[2]$ зима'!ak1069-'[2]$ зима'!aj1069-'[2]$ зима'!ah1069-'[2]$ зима'!ag1069-'[2]$ зима'!af1069-'[2]$ зима'!ae1069-'[2]$ зима'!ad1069-'[2]$ зима'!ab1069-'[2]$ зима'!aa1069-'[2]$ зима'!z1069-'[2]$ зима'!y1069-'[2]$ зима'!x1069-'[2]$ зима'!v1069-'[2]$ зима'!u1069-'[2]$ зима'!t1069-'[2]$ зима'!s1069-'[2]$ зима'!r1069-'[2]$ зима'!p1069-'[2]$ зима'!o1069-'[2]$ зима'!n1069-'[2]$ зима'!m1069-'[2]$ зима'!l1069+'[2]$ зима'!q1069+'[2]$ зима'!w1069+'[2]$ зима'!ac1069+'[2]$ зима'!ai1069+'[2]$ зима'!ao1069+'[2]$ зима'!k1069</f>
        <v>0</v>
      </c>
      <c r="I1069" s="191" t="n">
        <f aca="false">'[2]$ зима'!ay1069*1.1</f>
        <v>4158</v>
      </c>
    </row>
    <row r="1070" customFormat="false" ht="15" hidden="false" customHeight="false" outlineLevel="0" collapsed="false">
      <c r="A1070" s="196" t="s">
        <v>1683</v>
      </c>
      <c r="B1070" s="149" t="s">
        <v>586</v>
      </c>
      <c r="C1070" s="148" t="s">
        <v>3633</v>
      </c>
      <c r="D1070" s="148"/>
      <c r="E1070" s="192" t="n">
        <v>102</v>
      </c>
      <c r="F1070" s="192" t="s">
        <v>634</v>
      </c>
      <c r="G1070" s="193"/>
      <c r="H1070" s="105" t="n">
        <f aca="false">'[2]$ зима'!j1070-'[2]$ зима'!au1070-'[2]$ зима'!at1070-'[2]$ зима'!as1070-'[2]$ зима'!ar1070-'[2]$ зима'!aq1070-'[2]$ зима'!ap1070-'[2]$ зима'!an1070-'[2]$ зима'!am1070-'[2]$ зима'!al1070-'[2]$ зима'!ak1070-'[2]$ зима'!aj1070-'[2]$ зима'!ah1070-'[2]$ зима'!ag1070-'[2]$ зима'!af1070-'[2]$ зима'!ae1070-'[2]$ зима'!ad1070-'[2]$ зима'!ab1070-'[2]$ зима'!aa1070-'[2]$ зима'!z1070-'[2]$ зима'!y1070-'[2]$ зима'!x1070-'[2]$ зима'!v1070-'[2]$ зима'!u1070-'[2]$ зима'!t1070-'[2]$ зима'!s1070-'[2]$ зима'!r1070-'[2]$ зима'!p1070-'[2]$ зима'!o1070-'[2]$ зима'!n1070-'[2]$ зима'!m1070-'[2]$ зима'!l1070+'[2]$ зима'!q1070+'[2]$ зима'!w1070+'[2]$ зима'!ac1070+'[2]$ зима'!ai1070+'[2]$ зима'!ao1070+'[2]$ зима'!k1070</f>
        <v>10</v>
      </c>
      <c r="I1070" s="191" t="n">
        <f aca="false">'[2]$ зима'!ay1070*1.1</f>
        <v>1848</v>
      </c>
    </row>
    <row r="1071" customFormat="false" ht="15" hidden="false" customHeight="false" outlineLevel="0" collapsed="false">
      <c r="A1071" s="196" t="s">
        <v>1683</v>
      </c>
      <c r="B1071" s="149" t="s">
        <v>3142</v>
      </c>
      <c r="C1071" s="148" t="s">
        <v>3634</v>
      </c>
      <c r="D1071" s="148" t="s">
        <v>3127</v>
      </c>
      <c r="E1071" s="192"/>
      <c r="F1071" s="192"/>
      <c r="G1071" s="193"/>
      <c r="H1071" s="105" t="n">
        <f aca="false">'[2]$ зима'!j1071-'[2]$ зима'!au1071-'[2]$ зима'!at1071-'[2]$ зима'!as1071-'[2]$ зима'!ar1071-'[2]$ зима'!aq1071-'[2]$ зима'!ap1071-'[2]$ зима'!an1071-'[2]$ зима'!am1071-'[2]$ зима'!al1071-'[2]$ зима'!ak1071-'[2]$ зима'!aj1071-'[2]$ зима'!ah1071-'[2]$ зима'!ag1071-'[2]$ зима'!af1071-'[2]$ зима'!ae1071-'[2]$ зима'!ad1071-'[2]$ зима'!ab1071-'[2]$ зима'!aa1071-'[2]$ зима'!z1071-'[2]$ зима'!y1071-'[2]$ зима'!x1071-'[2]$ зима'!v1071-'[2]$ зима'!u1071-'[2]$ зима'!t1071-'[2]$ зима'!s1071-'[2]$ зима'!r1071-'[2]$ зима'!p1071-'[2]$ зима'!o1071-'[2]$ зима'!n1071-'[2]$ зима'!m1071-'[2]$ зима'!l1071+'[2]$ зима'!q1071+'[2]$ зима'!w1071+'[2]$ зима'!ac1071+'[2]$ зима'!ai1071+'[2]$ зима'!ao1071+'[2]$ зима'!k1071</f>
        <v>4</v>
      </c>
      <c r="I1071" s="191" t="n">
        <f aca="false">'[2]$ зима'!ay1071*1.1</f>
        <v>2156</v>
      </c>
      <c r="J1071" s="171" t="n">
        <v>2017</v>
      </c>
    </row>
    <row r="1072" customFormat="false" ht="15" hidden="true" customHeight="false" outlineLevel="0" collapsed="false">
      <c r="A1072" s="196" t="s">
        <v>1683</v>
      </c>
      <c r="B1072" s="149" t="s">
        <v>3254</v>
      </c>
      <c r="C1072" s="148" t="s">
        <v>3635</v>
      </c>
      <c r="D1072" s="148"/>
      <c r="E1072" s="148"/>
      <c r="F1072" s="148"/>
      <c r="G1072" s="193" t="s">
        <v>876</v>
      </c>
      <c r="H1072" s="105" t="n">
        <f aca="false">'[2]$ зима'!j1072-'[2]$ зима'!au1072-'[2]$ зима'!at1072-'[2]$ зима'!as1072-'[2]$ зима'!ar1072-'[2]$ зима'!aq1072-'[2]$ зима'!ap1072-'[2]$ зима'!an1072-'[2]$ зима'!am1072-'[2]$ зима'!al1072-'[2]$ зима'!ak1072-'[2]$ зима'!aj1072-'[2]$ зима'!ah1072-'[2]$ зима'!ag1072-'[2]$ зима'!af1072-'[2]$ зима'!ae1072-'[2]$ зима'!ad1072-'[2]$ зима'!ab1072-'[2]$ зима'!aa1072-'[2]$ зима'!z1072-'[2]$ зима'!y1072-'[2]$ зима'!x1072-'[2]$ зима'!v1072-'[2]$ зима'!u1072-'[2]$ зима'!t1072-'[2]$ зима'!s1072-'[2]$ зима'!r1072-'[2]$ зима'!p1072-'[2]$ зима'!o1072-'[2]$ зима'!n1072-'[2]$ зима'!m1072-'[2]$ зима'!l1072+'[2]$ зима'!q1072+'[2]$ зима'!w1072+'[2]$ зима'!ac1072+'[2]$ зима'!ai1072+'[2]$ зима'!ao1072+'[2]$ зима'!k1072</f>
        <v>0</v>
      </c>
      <c r="I1072" s="191" t="n">
        <f aca="false">'[2]$ зима'!ay1072*1.1</f>
        <v>2248.4</v>
      </c>
    </row>
    <row r="1073" customFormat="false" ht="15" hidden="false" customHeight="false" outlineLevel="0" collapsed="false">
      <c r="A1073" s="196" t="s">
        <v>1683</v>
      </c>
      <c r="B1073" s="149" t="s">
        <v>1149</v>
      </c>
      <c r="C1073" s="148" t="s">
        <v>3636</v>
      </c>
      <c r="D1073" s="148" t="s">
        <v>3147</v>
      </c>
      <c r="E1073" s="192"/>
      <c r="F1073" s="192"/>
      <c r="G1073" s="193" t="s">
        <v>722</v>
      </c>
      <c r="H1073" s="105" t="n">
        <f aca="false">'[2]$ зима'!j1073-'[2]$ зима'!au1073-'[2]$ зима'!at1073-'[2]$ зима'!as1073-'[2]$ зима'!ar1073-'[2]$ зима'!aq1073-'[2]$ зима'!ap1073-'[2]$ зима'!an1073-'[2]$ зима'!am1073-'[2]$ зима'!al1073-'[2]$ зима'!ak1073-'[2]$ зима'!aj1073-'[2]$ зима'!ah1073-'[2]$ зима'!ag1073-'[2]$ зима'!af1073-'[2]$ зима'!ae1073-'[2]$ зима'!ad1073-'[2]$ зима'!ab1073-'[2]$ зима'!aa1073-'[2]$ зима'!z1073-'[2]$ зима'!y1073-'[2]$ зима'!x1073-'[2]$ зима'!v1073-'[2]$ зима'!u1073-'[2]$ зима'!t1073-'[2]$ зима'!s1073-'[2]$ зима'!r1073-'[2]$ зима'!p1073-'[2]$ зима'!o1073-'[2]$ зима'!n1073-'[2]$ зима'!m1073-'[2]$ зима'!l1073+'[2]$ зима'!q1073+'[2]$ зима'!w1073+'[2]$ зима'!ac1073+'[2]$ зима'!ai1073+'[2]$ зима'!ao1073+'[2]$ зима'!k1073</f>
        <v>4</v>
      </c>
      <c r="I1073" s="191" t="n">
        <f aca="false">'[2]$ зима'!ay1073*1.1</f>
        <v>3080</v>
      </c>
      <c r="J1073" s="171" t="n">
        <v>2008</v>
      </c>
    </row>
    <row r="1074" customFormat="false" ht="15" hidden="true" customHeight="false" outlineLevel="0" collapsed="false">
      <c r="A1074" s="196" t="s">
        <v>1683</v>
      </c>
      <c r="B1074" s="149" t="s">
        <v>801</v>
      </c>
      <c r="C1074" s="148" t="s">
        <v>3637</v>
      </c>
      <c r="D1074" s="148"/>
      <c r="E1074" s="148"/>
      <c r="F1074" s="148"/>
      <c r="G1074" s="193"/>
      <c r="H1074" s="105" t="n">
        <f aca="false">'[2]$ зима'!j1074-'[2]$ зима'!au1074-'[2]$ зима'!at1074-'[2]$ зима'!as1074-'[2]$ зима'!ar1074-'[2]$ зима'!aq1074-'[2]$ зима'!ap1074-'[2]$ зима'!an1074-'[2]$ зима'!am1074-'[2]$ зима'!al1074-'[2]$ зима'!ak1074-'[2]$ зима'!aj1074-'[2]$ зима'!ah1074-'[2]$ зима'!ag1074-'[2]$ зима'!af1074-'[2]$ зима'!ae1074-'[2]$ зима'!ad1074-'[2]$ зима'!ab1074-'[2]$ зима'!aa1074-'[2]$ зима'!z1074-'[2]$ зима'!y1074-'[2]$ зима'!x1074-'[2]$ зима'!v1074-'[2]$ зима'!u1074-'[2]$ зима'!t1074-'[2]$ зима'!s1074-'[2]$ зима'!r1074-'[2]$ зима'!p1074-'[2]$ зима'!o1074-'[2]$ зима'!n1074-'[2]$ зима'!m1074-'[2]$ зима'!l1074+'[2]$ зима'!q1074+'[2]$ зима'!w1074+'[2]$ зима'!ac1074+'[2]$ зима'!ai1074+'[2]$ зима'!ao1074+'[2]$ зима'!k1074</f>
        <v>0</v>
      </c>
      <c r="I1074" s="191" t="n">
        <f aca="false">'[2]$ зима'!ay1074*1.1</f>
        <v>3080</v>
      </c>
    </row>
    <row r="1075" customFormat="false" ht="15" hidden="true" customHeight="false" outlineLevel="0" collapsed="false">
      <c r="A1075" s="196" t="s">
        <v>1683</v>
      </c>
      <c r="B1075" s="149" t="s">
        <v>3500</v>
      </c>
      <c r="C1075" s="148" t="s">
        <v>3638</v>
      </c>
      <c r="D1075" s="148"/>
      <c r="E1075" s="148"/>
      <c r="F1075" s="148"/>
      <c r="G1075" s="193"/>
      <c r="H1075" s="105" t="n">
        <f aca="false">'[2]$ зима'!j1075-'[2]$ зима'!au1075-'[2]$ зима'!at1075-'[2]$ зима'!as1075-'[2]$ зима'!ar1075-'[2]$ зима'!aq1075-'[2]$ зима'!ap1075-'[2]$ зима'!an1075-'[2]$ зима'!am1075-'[2]$ зима'!al1075-'[2]$ зима'!ak1075-'[2]$ зима'!aj1075-'[2]$ зима'!ah1075-'[2]$ зима'!ag1075-'[2]$ зима'!af1075-'[2]$ зима'!ae1075-'[2]$ зима'!ad1075-'[2]$ зима'!ab1075-'[2]$ зима'!aa1075-'[2]$ зима'!z1075-'[2]$ зима'!y1075-'[2]$ зима'!x1075-'[2]$ зима'!v1075-'[2]$ зима'!u1075-'[2]$ зима'!t1075-'[2]$ зима'!s1075-'[2]$ зима'!r1075-'[2]$ зима'!p1075-'[2]$ зима'!o1075-'[2]$ зима'!n1075-'[2]$ зима'!m1075-'[2]$ зима'!l1075+'[2]$ зима'!q1075+'[2]$ зима'!w1075+'[2]$ зима'!ac1075+'[2]$ зима'!ai1075+'[2]$ зима'!ao1075+'[2]$ зима'!k1075</f>
        <v>0</v>
      </c>
      <c r="I1075" s="191" t="n">
        <f aca="false">'[2]$ зима'!ay1075*1.1</f>
        <v>1724.8</v>
      </c>
      <c r="J1075" s="171" t="s">
        <v>3639</v>
      </c>
    </row>
    <row r="1076" customFormat="false" ht="15" hidden="true" customHeight="false" outlineLevel="0" collapsed="false">
      <c r="A1076" s="196" t="s">
        <v>1683</v>
      </c>
      <c r="B1076" s="149" t="s">
        <v>589</v>
      </c>
      <c r="C1076" s="148" t="s">
        <v>3455</v>
      </c>
      <c r="D1076" s="148"/>
      <c r="E1076" s="148"/>
      <c r="F1076" s="148"/>
      <c r="G1076" s="193" t="s">
        <v>626</v>
      </c>
      <c r="H1076" s="105" t="n">
        <f aca="false">'[2]$ зима'!j1076-'[2]$ зима'!au1076-'[2]$ зима'!at1076-'[2]$ зима'!as1076-'[2]$ зима'!ar1076-'[2]$ зима'!aq1076-'[2]$ зима'!ap1076-'[2]$ зима'!an1076-'[2]$ зима'!am1076-'[2]$ зима'!al1076-'[2]$ зима'!ak1076-'[2]$ зима'!aj1076-'[2]$ зима'!ah1076-'[2]$ зима'!ag1076-'[2]$ зима'!af1076-'[2]$ зима'!ae1076-'[2]$ зима'!ad1076-'[2]$ зима'!ab1076-'[2]$ зима'!aa1076-'[2]$ зима'!z1076-'[2]$ зима'!y1076-'[2]$ зима'!x1076-'[2]$ зима'!v1076-'[2]$ зима'!u1076-'[2]$ зима'!t1076-'[2]$ зима'!s1076-'[2]$ зима'!r1076-'[2]$ зима'!p1076-'[2]$ зима'!o1076-'[2]$ зима'!n1076-'[2]$ зима'!m1076-'[2]$ зима'!l1076+'[2]$ зима'!q1076+'[2]$ зима'!w1076+'[2]$ зима'!ac1076+'[2]$ зима'!ai1076+'[2]$ зима'!ao1076+'[2]$ зима'!k1076</f>
        <v>0</v>
      </c>
      <c r="I1076" s="191" t="n">
        <f aca="false">'[2]$ зима'!ay1076*1.1</f>
        <v>2490.4</v>
      </c>
    </row>
    <row r="1077" customFormat="false" ht="15" hidden="true" customHeight="false" outlineLevel="0" collapsed="false">
      <c r="A1077" s="196" t="s">
        <v>1683</v>
      </c>
      <c r="B1077" s="149" t="s">
        <v>589</v>
      </c>
      <c r="C1077" s="148" t="s">
        <v>3269</v>
      </c>
      <c r="D1077" s="148"/>
      <c r="E1077" s="148" t="n">
        <v>102</v>
      </c>
      <c r="F1077" s="148" t="s">
        <v>3207</v>
      </c>
      <c r="G1077" s="193" t="s">
        <v>626</v>
      </c>
      <c r="H1077" s="105" t="n">
        <f aca="false">'[2]$ зима'!j1077-'[2]$ зима'!au1077-'[2]$ зима'!at1077-'[2]$ зима'!as1077-'[2]$ зима'!ar1077-'[2]$ зима'!aq1077-'[2]$ зима'!ap1077-'[2]$ зима'!an1077-'[2]$ зима'!am1077-'[2]$ зима'!al1077-'[2]$ зима'!ak1077-'[2]$ зима'!aj1077-'[2]$ зима'!ah1077-'[2]$ зима'!ag1077-'[2]$ зима'!af1077-'[2]$ зима'!ae1077-'[2]$ зима'!ad1077-'[2]$ зима'!ab1077-'[2]$ зима'!aa1077-'[2]$ зима'!z1077-'[2]$ зима'!y1077-'[2]$ зима'!x1077-'[2]$ зима'!v1077-'[2]$ зима'!u1077-'[2]$ зима'!t1077-'[2]$ зима'!s1077-'[2]$ зима'!r1077-'[2]$ зима'!p1077-'[2]$ зима'!o1077-'[2]$ зима'!n1077-'[2]$ зима'!m1077-'[2]$ зима'!l1077+'[2]$ зима'!q1077+'[2]$ зима'!w1077+'[2]$ зима'!ac1077+'[2]$ зима'!ai1077+'[2]$ зима'!ao1077+'[2]$ зима'!k1077</f>
        <v>0</v>
      </c>
      <c r="I1077" s="191" t="n">
        <f aca="false">'[2]$ зима'!ay1077*1.1</f>
        <v>3362.04</v>
      </c>
      <c r="J1077" s="171" t="n">
        <v>2018</v>
      </c>
    </row>
    <row r="1078" customFormat="false" ht="15" hidden="true" customHeight="false" outlineLevel="0" collapsed="false">
      <c r="A1078" s="196" t="s">
        <v>1683</v>
      </c>
      <c r="B1078" s="149" t="s">
        <v>589</v>
      </c>
      <c r="C1078" s="148" t="s">
        <v>3640</v>
      </c>
      <c r="D1078" s="148"/>
      <c r="E1078" s="148"/>
      <c r="F1078" s="148"/>
      <c r="G1078" s="193" t="s">
        <v>626</v>
      </c>
      <c r="H1078" s="105" t="n">
        <f aca="false">'[2]$ зима'!j1078-'[2]$ зима'!au1078-'[2]$ зима'!at1078-'[2]$ зима'!as1078-'[2]$ зима'!ar1078-'[2]$ зима'!aq1078-'[2]$ зима'!ap1078-'[2]$ зима'!an1078-'[2]$ зима'!am1078-'[2]$ зима'!al1078-'[2]$ зима'!ak1078-'[2]$ зима'!aj1078-'[2]$ зима'!ah1078-'[2]$ зима'!ag1078-'[2]$ зима'!af1078-'[2]$ зима'!ae1078-'[2]$ зима'!ad1078-'[2]$ зима'!ab1078-'[2]$ зима'!aa1078-'[2]$ зима'!z1078-'[2]$ зима'!y1078-'[2]$ зима'!x1078-'[2]$ зима'!v1078-'[2]$ зима'!u1078-'[2]$ зима'!t1078-'[2]$ зима'!s1078-'[2]$ зима'!r1078-'[2]$ зима'!p1078-'[2]$ зима'!o1078-'[2]$ зима'!n1078-'[2]$ зима'!m1078-'[2]$ зима'!l1078+'[2]$ зима'!q1078+'[2]$ зима'!w1078+'[2]$ зима'!ac1078+'[2]$ зима'!ai1078+'[2]$ зима'!ao1078+'[2]$ зима'!k1078</f>
        <v>0</v>
      </c>
      <c r="I1078" s="191" t="n">
        <f aca="false">'[2]$ зима'!ay1078*1.1</f>
        <v>3175.26</v>
      </c>
    </row>
    <row r="1079" customFormat="false" ht="15" hidden="false" customHeight="false" outlineLevel="0" collapsed="false">
      <c r="A1079" s="196" t="s">
        <v>1683</v>
      </c>
      <c r="B1079" s="149" t="s">
        <v>564</v>
      </c>
      <c r="C1079" s="148" t="s">
        <v>3438</v>
      </c>
      <c r="D1079" s="148"/>
      <c r="E1079" s="192" t="n">
        <v>102</v>
      </c>
      <c r="F1079" s="192" t="s">
        <v>3207</v>
      </c>
      <c r="G1079" s="193" t="s">
        <v>520</v>
      </c>
      <c r="H1079" s="105" t="n">
        <f aca="false">'[2]$ зима'!j1079-'[2]$ зима'!au1079-'[2]$ зима'!at1079-'[2]$ зима'!as1079-'[2]$ зима'!ar1079-'[2]$ зима'!aq1079-'[2]$ зима'!ap1079-'[2]$ зима'!an1079-'[2]$ зима'!am1079-'[2]$ зима'!al1079-'[2]$ зима'!ak1079-'[2]$ зима'!aj1079-'[2]$ зима'!ah1079-'[2]$ зима'!ag1079-'[2]$ зима'!af1079-'[2]$ зима'!ae1079-'[2]$ зима'!ad1079-'[2]$ зима'!ab1079-'[2]$ зима'!aa1079-'[2]$ зима'!z1079-'[2]$ зима'!y1079-'[2]$ зима'!x1079-'[2]$ зима'!v1079-'[2]$ зима'!u1079-'[2]$ зима'!t1079-'[2]$ зима'!s1079-'[2]$ зима'!r1079-'[2]$ зима'!p1079-'[2]$ зима'!o1079-'[2]$ зима'!n1079-'[2]$ зима'!m1079-'[2]$ зима'!l1079+'[2]$ зима'!q1079+'[2]$ зима'!w1079+'[2]$ зима'!ac1079+'[2]$ зима'!ai1079+'[2]$ зима'!ao1079+'[2]$ зима'!k1079</f>
        <v>8</v>
      </c>
      <c r="I1079" s="191" t="n">
        <f aca="false">'[2]$ зима'!ay1079*1.1</f>
        <v>1940.4</v>
      </c>
      <c r="J1079" s="171" t="n">
        <v>2017</v>
      </c>
    </row>
    <row r="1080" customFormat="false" ht="15" hidden="true" customHeight="false" outlineLevel="0" collapsed="false">
      <c r="A1080" s="196" t="s">
        <v>1683</v>
      </c>
      <c r="B1080" s="149" t="s">
        <v>1028</v>
      </c>
      <c r="C1080" s="148" t="s">
        <v>3641</v>
      </c>
      <c r="D1080" s="148"/>
      <c r="E1080" s="148"/>
      <c r="F1080" s="148"/>
      <c r="G1080" s="193"/>
      <c r="H1080" s="105" t="n">
        <f aca="false">'[2]$ зима'!j1080-'[2]$ зима'!au1080-'[2]$ зима'!at1080-'[2]$ зима'!as1080-'[2]$ зима'!ar1080-'[2]$ зима'!aq1080-'[2]$ зима'!ap1080-'[2]$ зима'!an1080-'[2]$ зима'!am1080-'[2]$ зима'!al1080-'[2]$ зима'!ak1080-'[2]$ зима'!aj1080-'[2]$ зима'!ah1080-'[2]$ зима'!ag1080-'[2]$ зима'!af1080-'[2]$ зима'!ae1080-'[2]$ зима'!ad1080-'[2]$ зима'!ab1080-'[2]$ зима'!aa1080-'[2]$ зима'!z1080-'[2]$ зима'!y1080-'[2]$ зима'!x1080-'[2]$ зима'!v1080-'[2]$ зима'!u1080-'[2]$ зима'!t1080-'[2]$ зима'!s1080-'[2]$ зима'!r1080-'[2]$ зима'!p1080-'[2]$ зима'!o1080-'[2]$ зима'!n1080-'[2]$ зима'!m1080-'[2]$ зима'!l1080+'[2]$ зима'!q1080+'[2]$ зима'!w1080+'[2]$ зима'!ac1080+'[2]$ зима'!ai1080+'[2]$ зима'!ao1080+'[2]$ зима'!k1080</f>
        <v>0</v>
      </c>
      <c r="I1080" s="191" t="n">
        <f aca="false">'[2]$ зима'!ay1080*1.1</f>
        <v>2772</v>
      </c>
    </row>
    <row r="1081" customFormat="false" ht="15" hidden="true" customHeight="false" outlineLevel="0" collapsed="false">
      <c r="A1081" s="196" t="s">
        <v>1683</v>
      </c>
      <c r="B1081" s="149" t="s">
        <v>1028</v>
      </c>
      <c r="C1081" s="148" t="s">
        <v>3642</v>
      </c>
      <c r="D1081" s="148"/>
      <c r="E1081" s="148"/>
      <c r="F1081" s="148"/>
      <c r="G1081" s="193"/>
      <c r="H1081" s="105" t="n">
        <f aca="false">'[2]$ зима'!j1081-'[2]$ зима'!au1081-'[2]$ зима'!at1081-'[2]$ зима'!as1081-'[2]$ зима'!ar1081-'[2]$ зима'!aq1081-'[2]$ зима'!ap1081-'[2]$ зима'!an1081-'[2]$ зима'!am1081-'[2]$ зима'!al1081-'[2]$ зима'!ak1081-'[2]$ зима'!aj1081-'[2]$ зима'!ah1081-'[2]$ зима'!ag1081-'[2]$ зима'!af1081-'[2]$ зима'!ae1081-'[2]$ зима'!ad1081-'[2]$ зима'!ab1081-'[2]$ зима'!aa1081-'[2]$ зима'!z1081-'[2]$ зима'!y1081-'[2]$ зима'!x1081-'[2]$ зима'!v1081-'[2]$ зима'!u1081-'[2]$ зима'!t1081-'[2]$ зима'!s1081-'[2]$ зима'!r1081-'[2]$ зима'!p1081-'[2]$ зима'!o1081-'[2]$ зима'!n1081-'[2]$ зима'!m1081-'[2]$ зима'!l1081+'[2]$ зима'!q1081+'[2]$ зима'!w1081+'[2]$ зима'!ac1081+'[2]$ зима'!ai1081+'[2]$ зима'!ao1081+'[2]$ зима'!k1081</f>
        <v>0</v>
      </c>
      <c r="I1081" s="191" t="n">
        <f aca="false">'[2]$ зима'!ay1081*1.1</f>
        <v>2956.8</v>
      </c>
    </row>
    <row r="1082" customFormat="false" ht="15" hidden="true" customHeight="false" outlineLevel="0" collapsed="false">
      <c r="A1082" s="188" t="s">
        <v>1707</v>
      </c>
      <c r="B1082" s="149" t="s">
        <v>844</v>
      </c>
      <c r="C1082" s="148" t="s">
        <v>3603</v>
      </c>
      <c r="D1082" s="148"/>
      <c r="E1082" s="148"/>
      <c r="F1082" s="148"/>
      <c r="G1082" s="193" t="s">
        <v>1037</v>
      </c>
      <c r="H1082" s="105" t="n">
        <f aca="false">'[2]$ зима'!j1082-'[2]$ зима'!au1082-'[2]$ зима'!at1082-'[2]$ зима'!as1082-'[2]$ зима'!ar1082-'[2]$ зима'!aq1082-'[2]$ зима'!ap1082-'[2]$ зима'!an1082-'[2]$ зима'!am1082-'[2]$ зима'!al1082-'[2]$ зима'!ak1082-'[2]$ зима'!aj1082-'[2]$ зима'!ah1082-'[2]$ зима'!ag1082-'[2]$ зима'!af1082-'[2]$ зима'!ae1082-'[2]$ зима'!ad1082-'[2]$ зима'!ab1082-'[2]$ зима'!aa1082-'[2]$ зима'!z1082-'[2]$ зима'!y1082-'[2]$ зима'!x1082-'[2]$ зима'!v1082-'[2]$ зима'!u1082-'[2]$ зима'!t1082-'[2]$ зима'!s1082-'[2]$ зима'!r1082-'[2]$ зима'!p1082-'[2]$ зима'!o1082-'[2]$ зима'!n1082-'[2]$ зима'!m1082-'[2]$ зима'!l1082+'[2]$ зима'!q1082+'[2]$ зима'!w1082+'[2]$ зима'!ac1082+'[2]$ зима'!ai1082+'[2]$ зима'!ao1082+'[2]$ зима'!k1082</f>
        <v>0</v>
      </c>
      <c r="I1082" s="191" t="n">
        <f aca="false">'[2]$ зима'!ay1082*1.1</f>
        <v>4312</v>
      </c>
      <c r="J1082" s="171" t="n">
        <v>2011</v>
      </c>
    </row>
    <row r="1083" customFormat="false" ht="15" hidden="true" customHeight="false" outlineLevel="0" collapsed="false">
      <c r="A1083" s="188" t="s">
        <v>1707</v>
      </c>
      <c r="B1083" s="149" t="s">
        <v>601</v>
      </c>
      <c r="C1083" s="148" t="s">
        <v>3150</v>
      </c>
      <c r="D1083" s="148"/>
      <c r="E1083" s="148"/>
      <c r="F1083" s="148"/>
      <c r="G1083" s="193"/>
      <c r="H1083" s="105" t="n">
        <f aca="false">'[2]$ зима'!j1083-'[2]$ зима'!au1083-'[2]$ зима'!at1083-'[2]$ зима'!as1083-'[2]$ зима'!ar1083-'[2]$ зима'!aq1083-'[2]$ зима'!ap1083-'[2]$ зима'!an1083-'[2]$ зима'!am1083-'[2]$ зима'!al1083-'[2]$ зима'!ak1083-'[2]$ зима'!aj1083-'[2]$ зима'!ah1083-'[2]$ зима'!ag1083-'[2]$ зима'!af1083-'[2]$ зима'!ae1083-'[2]$ зима'!ad1083-'[2]$ зима'!ab1083-'[2]$ зима'!aa1083-'[2]$ зима'!z1083-'[2]$ зима'!y1083-'[2]$ зима'!x1083-'[2]$ зима'!v1083-'[2]$ зима'!u1083-'[2]$ зима'!t1083-'[2]$ зима'!s1083-'[2]$ зима'!r1083-'[2]$ зима'!p1083-'[2]$ зима'!o1083-'[2]$ зима'!n1083-'[2]$ зима'!m1083-'[2]$ зима'!l1083+'[2]$ зима'!q1083+'[2]$ зима'!w1083+'[2]$ зима'!ac1083+'[2]$ зима'!ai1083+'[2]$ зима'!ao1083+'[2]$ зима'!k1083</f>
        <v>0</v>
      </c>
      <c r="I1083" s="191" t="n">
        <f aca="false">'[2]$ зима'!ay1083*1.1</f>
        <v>4312</v>
      </c>
    </row>
    <row r="1084" customFormat="false" ht="15" hidden="true" customHeight="false" outlineLevel="0" collapsed="false">
      <c r="A1084" s="188" t="s">
        <v>1707</v>
      </c>
      <c r="B1084" s="149" t="s">
        <v>1487</v>
      </c>
      <c r="C1084" s="148" t="s">
        <v>3643</v>
      </c>
      <c r="D1084" s="148"/>
      <c r="E1084" s="148"/>
      <c r="F1084" s="148"/>
      <c r="G1084" s="193" t="s">
        <v>3290</v>
      </c>
      <c r="H1084" s="105" t="n">
        <f aca="false">'[2]$ зима'!j1084-'[2]$ зима'!au1084-'[2]$ зима'!at1084-'[2]$ зима'!as1084-'[2]$ зима'!ar1084-'[2]$ зима'!aq1084-'[2]$ зима'!ap1084-'[2]$ зима'!an1084-'[2]$ зима'!am1084-'[2]$ зима'!al1084-'[2]$ зима'!ak1084-'[2]$ зима'!aj1084-'[2]$ зима'!ah1084-'[2]$ зима'!ag1084-'[2]$ зима'!af1084-'[2]$ зима'!ae1084-'[2]$ зима'!ad1084-'[2]$ зима'!ab1084-'[2]$ зима'!aa1084-'[2]$ зима'!z1084-'[2]$ зима'!y1084-'[2]$ зима'!x1084-'[2]$ зима'!v1084-'[2]$ зима'!u1084-'[2]$ зима'!t1084-'[2]$ зима'!s1084-'[2]$ зима'!r1084-'[2]$ зима'!p1084-'[2]$ зима'!o1084-'[2]$ зима'!n1084-'[2]$ зима'!m1084-'[2]$ зима'!l1084+'[2]$ зима'!q1084+'[2]$ зима'!w1084+'[2]$ зима'!ac1084+'[2]$ зима'!ai1084+'[2]$ зима'!ao1084+'[2]$ зима'!k1084</f>
        <v>0</v>
      </c>
      <c r="I1084" s="191" t="n">
        <f aca="false">'[2]$ зима'!ay1084*1.1</f>
        <v>2156</v>
      </c>
    </row>
    <row r="1085" customFormat="false" ht="15" hidden="false" customHeight="false" outlineLevel="0" collapsed="false">
      <c r="A1085" s="188" t="s">
        <v>1707</v>
      </c>
      <c r="B1085" s="149" t="s">
        <v>707</v>
      </c>
      <c r="C1085" s="148" t="s">
        <v>3644</v>
      </c>
      <c r="D1085" s="148"/>
      <c r="E1085" s="192"/>
      <c r="F1085" s="192"/>
      <c r="G1085" s="193" t="s">
        <v>843</v>
      </c>
      <c r="H1085" s="105" t="n">
        <f aca="false">'[2]$ зима'!j1085-'[2]$ зима'!au1085-'[2]$ зима'!at1085-'[2]$ зима'!as1085-'[2]$ зима'!ar1085-'[2]$ зима'!aq1085-'[2]$ зима'!ap1085-'[2]$ зима'!an1085-'[2]$ зима'!am1085-'[2]$ зима'!al1085-'[2]$ зима'!ak1085-'[2]$ зима'!aj1085-'[2]$ зима'!ah1085-'[2]$ зима'!ag1085-'[2]$ зима'!af1085-'[2]$ зима'!ae1085-'[2]$ зима'!ad1085-'[2]$ зима'!ab1085-'[2]$ зима'!aa1085-'[2]$ зима'!z1085-'[2]$ зима'!y1085-'[2]$ зима'!x1085-'[2]$ зима'!v1085-'[2]$ зима'!u1085-'[2]$ зима'!t1085-'[2]$ зима'!s1085-'[2]$ зима'!r1085-'[2]$ зима'!p1085-'[2]$ зима'!o1085-'[2]$ зима'!n1085-'[2]$ зима'!m1085-'[2]$ зима'!l1085+'[2]$ зима'!q1085+'[2]$ зима'!w1085+'[2]$ зима'!ac1085+'[2]$ зима'!ai1085+'[2]$ зима'!ao1085+'[2]$ зима'!k1085</f>
        <v>2</v>
      </c>
      <c r="I1085" s="191" t="n">
        <f aca="false">'[2]$ зима'!ay1085*1.1</f>
        <v>2156</v>
      </c>
      <c r="J1085" s="171" t="n">
        <v>2012</v>
      </c>
    </row>
    <row r="1086" customFormat="false" ht="15" hidden="false" customHeight="false" outlineLevel="0" collapsed="false">
      <c r="A1086" s="188" t="s">
        <v>1707</v>
      </c>
      <c r="B1086" s="149" t="s">
        <v>606</v>
      </c>
      <c r="C1086" s="148" t="s">
        <v>3125</v>
      </c>
      <c r="D1086" s="148"/>
      <c r="E1086" s="192"/>
      <c r="F1086" s="192"/>
      <c r="G1086" s="193" t="s">
        <v>609</v>
      </c>
      <c r="H1086" s="105" t="n">
        <f aca="false">'[2]$ зима'!j1086-'[2]$ зима'!au1086-'[2]$ зима'!at1086-'[2]$ зима'!as1086-'[2]$ зима'!ar1086-'[2]$ зима'!aq1086-'[2]$ зима'!ap1086-'[2]$ зима'!an1086-'[2]$ зима'!am1086-'[2]$ зима'!al1086-'[2]$ зима'!ak1086-'[2]$ зима'!aj1086-'[2]$ зима'!ah1086-'[2]$ зима'!ag1086-'[2]$ зима'!af1086-'[2]$ зима'!ae1086-'[2]$ зима'!ad1086-'[2]$ зима'!ab1086-'[2]$ зима'!aa1086-'[2]$ зима'!z1086-'[2]$ зима'!y1086-'[2]$ зима'!x1086-'[2]$ зима'!v1086-'[2]$ зима'!u1086-'[2]$ зима'!t1086-'[2]$ зима'!s1086-'[2]$ зима'!r1086-'[2]$ зима'!p1086-'[2]$ зима'!o1086-'[2]$ зима'!n1086-'[2]$ зима'!m1086-'[2]$ зима'!l1086+'[2]$ зима'!q1086+'[2]$ зима'!w1086+'[2]$ зима'!ac1086+'[2]$ зима'!ai1086+'[2]$ зима'!ao1086+'[2]$ зима'!k1086</f>
        <v>2</v>
      </c>
      <c r="I1086" s="191" t="n">
        <f aca="false">'[2]$ зима'!ay1086*1.1</f>
        <v>2987.6</v>
      </c>
    </row>
    <row r="1087" customFormat="false" ht="15" hidden="true" customHeight="false" outlineLevel="0" collapsed="false">
      <c r="A1087" s="188" t="s">
        <v>1707</v>
      </c>
      <c r="B1087" s="149" t="s">
        <v>606</v>
      </c>
      <c r="C1087" s="148" t="s">
        <v>3645</v>
      </c>
      <c r="D1087" s="148"/>
      <c r="E1087" s="148" t="n">
        <v>97</v>
      </c>
      <c r="F1087" s="148" t="s">
        <v>562</v>
      </c>
      <c r="G1087" s="193"/>
      <c r="H1087" s="105" t="n">
        <f aca="false">'[2]$ зима'!j1087-'[2]$ зима'!au1087-'[2]$ зима'!at1087-'[2]$ зима'!as1087-'[2]$ зима'!ar1087-'[2]$ зима'!aq1087-'[2]$ зима'!ap1087-'[2]$ зима'!an1087-'[2]$ зима'!am1087-'[2]$ зима'!al1087-'[2]$ зима'!ak1087-'[2]$ зима'!aj1087-'[2]$ зима'!ah1087-'[2]$ зима'!ag1087-'[2]$ зима'!af1087-'[2]$ зима'!ae1087-'[2]$ зима'!ad1087-'[2]$ зима'!ab1087-'[2]$ зима'!aa1087-'[2]$ зима'!z1087-'[2]$ зима'!y1087-'[2]$ зима'!x1087-'[2]$ зима'!v1087-'[2]$ зима'!u1087-'[2]$ зима'!t1087-'[2]$ зима'!s1087-'[2]$ зима'!r1087-'[2]$ зима'!p1087-'[2]$ зима'!o1087-'[2]$ зима'!n1087-'[2]$ зима'!m1087-'[2]$ зима'!l1087+'[2]$ зима'!q1087+'[2]$ зима'!w1087+'[2]$ зима'!ac1087+'[2]$ зима'!ai1087+'[2]$ зима'!ao1087+'[2]$ зима'!k1087</f>
        <v>0</v>
      </c>
      <c r="I1087" s="191" t="n">
        <f aca="false">'[2]$ зима'!ay1087*1.1</f>
        <v>2987.6</v>
      </c>
    </row>
    <row r="1088" customFormat="false" ht="15" hidden="false" customHeight="false" outlineLevel="0" collapsed="false">
      <c r="A1088" s="217" t="s">
        <v>1707</v>
      </c>
      <c r="B1088" s="157" t="s">
        <v>668</v>
      </c>
      <c r="C1088" s="158" t="s">
        <v>3232</v>
      </c>
      <c r="D1088" s="158"/>
      <c r="E1088" s="224"/>
      <c r="F1088" s="224"/>
      <c r="G1088" s="218"/>
      <c r="H1088" s="105" t="n">
        <f aca="false">'[2]$ зима'!j1088-'[2]$ зима'!au1088-'[2]$ зима'!at1088-'[2]$ зима'!as1088-'[2]$ зима'!ar1088-'[2]$ зима'!aq1088-'[2]$ зима'!ap1088-'[2]$ зима'!an1088-'[2]$ зима'!am1088-'[2]$ зима'!al1088-'[2]$ зима'!ak1088-'[2]$ зима'!aj1088-'[2]$ зима'!ah1088-'[2]$ зима'!ag1088-'[2]$ зима'!af1088-'[2]$ зима'!ae1088-'[2]$ зима'!ad1088-'[2]$ зима'!ab1088-'[2]$ зима'!aa1088-'[2]$ зима'!z1088-'[2]$ зима'!y1088-'[2]$ зима'!x1088-'[2]$ зима'!v1088-'[2]$ зима'!u1088-'[2]$ зима'!t1088-'[2]$ зима'!s1088-'[2]$ зима'!r1088-'[2]$ зима'!p1088-'[2]$ зима'!o1088-'[2]$ зима'!n1088-'[2]$ зима'!m1088-'[2]$ зима'!l1088+'[2]$ зима'!q1088+'[2]$ зима'!w1088+'[2]$ зима'!ac1088+'[2]$ зима'!ai1088+'[2]$ зима'!ao1088+'[2]$ зима'!k1088</f>
        <v>3</v>
      </c>
      <c r="I1088" s="219" t="n">
        <f aca="false">'[2]$ зима'!ay1088*1.1</f>
        <v>550</v>
      </c>
    </row>
    <row r="1089" customFormat="false" ht="15" hidden="true" customHeight="false" outlineLevel="0" collapsed="false">
      <c r="A1089" s="188" t="s">
        <v>1707</v>
      </c>
      <c r="B1089" s="149" t="s">
        <v>3142</v>
      </c>
      <c r="C1089" s="148" t="s">
        <v>3646</v>
      </c>
      <c r="D1089" s="148"/>
      <c r="E1089" s="148"/>
      <c r="F1089" s="148"/>
      <c r="G1089" s="193"/>
      <c r="H1089" s="105" t="n">
        <f aca="false">'[2]$ зима'!j1089-'[2]$ зима'!au1089-'[2]$ зима'!at1089-'[2]$ зима'!as1089-'[2]$ зима'!ar1089-'[2]$ зима'!aq1089-'[2]$ зима'!ap1089-'[2]$ зима'!an1089-'[2]$ зима'!am1089-'[2]$ зима'!al1089-'[2]$ зима'!ak1089-'[2]$ зима'!aj1089-'[2]$ зима'!ah1089-'[2]$ зима'!ag1089-'[2]$ зима'!af1089-'[2]$ зима'!ae1089-'[2]$ зима'!ad1089-'[2]$ зима'!ab1089-'[2]$ зима'!aa1089-'[2]$ зима'!z1089-'[2]$ зима'!y1089-'[2]$ зима'!x1089-'[2]$ зима'!v1089-'[2]$ зима'!u1089-'[2]$ зима'!t1089-'[2]$ зима'!s1089-'[2]$ зима'!r1089-'[2]$ зима'!p1089-'[2]$ зима'!o1089-'[2]$ зима'!n1089-'[2]$ зима'!m1089-'[2]$ зима'!l1089+'[2]$ зима'!q1089+'[2]$ зима'!w1089+'[2]$ зима'!ac1089+'[2]$ зима'!ai1089+'[2]$ зима'!ao1089+'[2]$ зима'!k1089</f>
        <v>0</v>
      </c>
      <c r="I1089" s="191" t="n">
        <f aca="false">'[2]$ зима'!ay1089*1.1</f>
        <v>2002</v>
      </c>
    </row>
    <row r="1090" customFormat="false" ht="15" hidden="true" customHeight="false" outlineLevel="0" collapsed="false">
      <c r="A1090" s="188" t="s">
        <v>1707</v>
      </c>
      <c r="B1090" s="149" t="s">
        <v>589</v>
      </c>
      <c r="C1090" s="148" t="s">
        <v>3174</v>
      </c>
      <c r="D1090" s="148"/>
      <c r="E1090" s="148"/>
      <c r="F1090" s="148"/>
      <c r="G1090" s="193" t="s">
        <v>626</v>
      </c>
      <c r="H1090" s="105" t="n">
        <f aca="false">'[2]$ зима'!j1090-'[2]$ зима'!au1090-'[2]$ зима'!at1090-'[2]$ зима'!as1090-'[2]$ зима'!ar1090-'[2]$ зима'!aq1090-'[2]$ зима'!ap1090-'[2]$ зима'!an1090-'[2]$ зима'!am1090-'[2]$ зима'!al1090-'[2]$ зима'!ak1090-'[2]$ зима'!aj1090-'[2]$ зима'!ah1090-'[2]$ зима'!ag1090-'[2]$ зима'!af1090-'[2]$ зима'!ae1090-'[2]$ зима'!ad1090-'[2]$ зима'!ab1090-'[2]$ зима'!aa1090-'[2]$ зима'!z1090-'[2]$ зима'!y1090-'[2]$ зима'!x1090-'[2]$ зима'!v1090-'[2]$ зима'!u1090-'[2]$ зима'!t1090-'[2]$ зима'!s1090-'[2]$ зима'!r1090-'[2]$ зима'!p1090-'[2]$ зима'!o1090-'[2]$ зима'!n1090-'[2]$ зима'!m1090-'[2]$ зима'!l1090+'[2]$ зима'!q1090+'[2]$ зима'!w1090+'[2]$ зима'!ac1090+'[2]$ зима'!ai1090+'[2]$ зима'!ao1090+'[2]$ зима'!k1090</f>
        <v>0</v>
      </c>
      <c r="I1090" s="191" t="n">
        <f aca="false">'[2]$ зима'!ay1090*1.1</f>
        <v>3517.69</v>
      </c>
    </row>
    <row r="1091" customFormat="false" ht="15" hidden="true" customHeight="false" outlineLevel="0" collapsed="false">
      <c r="A1091" s="188" t="s">
        <v>1707</v>
      </c>
      <c r="B1091" s="149" t="s">
        <v>589</v>
      </c>
      <c r="C1091" s="148" t="s">
        <v>3647</v>
      </c>
      <c r="D1091" s="148"/>
      <c r="E1091" s="148"/>
      <c r="F1091" s="148"/>
      <c r="G1091" s="193" t="s">
        <v>626</v>
      </c>
      <c r="H1091" s="105" t="n">
        <f aca="false">'[2]$ зима'!j1091-'[2]$ зима'!au1091-'[2]$ зима'!at1091-'[2]$ зима'!as1091-'[2]$ зима'!ar1091-'[2]$ зима'!aq1091-'[2]$ зима'!ap1091-'[2]$ зима'!an1091-'[2]$ зима'!am1091-'[2]$ зима'!al1091-'[2]$ зима'!ak1091-'[2]$ зима'!aj1091-'[2]$ зима'!ah1091-'[2]$ зима'!ag1091-'[2]$ зима'!af1091-'[2]$ зима'!ae1091-'[2]$ зима'!ad1091-'[2]$ зима'!ab1091-'[2]$ зима'!aa1091-'[2]$ зима'!z1091-'[2]$ зима'!y1091-'[2]$ зима'!x1091-'[2]$ зима'!v1091-'[2]$ зима'!u1091-'[2]$ зима'!t1091-'[2]$ зима'!s1091-'[2]$ зима'!r1091-'[2]$ зима'!p1091-'[2]$ зима'!o1091-'[2]$ зима'!n1091-'[2]$ зима'!m1091-'[2]$ зима'!l1091+'[2]$ зима'!q1091+'[2]$ зима'!w1091+'[2]$ зима'!ac1091+'[2]$ зима'!ai1091+'[2]$ зима'!ao1091+'[2]$ зима'!k1091</f>
        <v>0</v>
      </c>
      <c r="I1091" s="191" t="n">
        <f aca="false">'[2]$ зима'!ay1091*1.1</f>
        <v>3579.95</v>
      </c>
    </row>
    <row r="1092" customFormat="false" ht="15" hidden="true" customHeight="false" outlineLevel="0" collapsed="false">
      <c r="A1092" s="188" t="s">
        <v>1707</v>
      </c>
      <c r="B1092" s="149" t="s">
        <v>1524</v>
      </c>
      <c r="C1092" s="148" t="s">
        <v>3563</v>
      </c>
      <c r="D1092" s="148"/>
      <c r="E1092" s="148"/>
      <c r="F1092" s="148"/>
      <c r="G1092" s="193"/>
      <c r="H1092" s="105" t="n">
        <f aca="false">'[2]$ зима'!j1092-'[2]$ зима'!au1092-'[2]$ зима'!at1092-'[2]$ зима'!as1092-'[2]$ зима'!ar1092-'[2]$ зима'!aq1092-'[2]$ зима'!ap1092-'[2]$ зима'!an1092-'[2]$ зима'!am1092-'[2]$ зима'!al1092-'[2]$ зима'!ak1092-'[2]$ зима'!aj1092-'[2]$ зима'!ah1092-'[2]$ зима'!ag1092-'[2]$ зима'!af1092-'[2]$ зима'!ae1092-'[2]$ зима'!ad1092-'[2]$ зима'!ab1092-'[2]$ зима'!aa1092-'[2]$ зима'!z1092-'[2]$ зима'!y1092-'[2]$ зима'!x1092-'[2]$ зима'!v1092-'[2]$ зима'!u1092-'[2]$ зима'!t1092-'[2]$ зима'!s1092-'[2]$ зима'!r1092-'[2]$ зима'!p1092-'[2]$ зима'!o1092-'[2]$ зима'!n1092-'[2]$ зима'!m1092-'[2]$ зима'!l1092+'[2]$ зима'!q1092+'[2]$ зима'!w1092+'[2]$ зима'!ac1092+'[2]$ зима'!ai1092+'[2]$ зима'!ao1092+'[2]$ зима'!k1092</f>
        <v>0</v>
      </c>
      <c r="I1092" s="191" t="n">
        <f aca="false">'[2]$ зима'!ay1092*1.1</f>
        <v>1540</v>
      </c>
    </row>
    <row r="1093" customFormat="false" ht="15" hidden="true" customHeight="false" outlineLevel="0" collapsed="false">
      <c r="A1093" s="188" t="s">
        <v>1707</v>
      </c>
      <c r="B1093" s="149" t="s">
        <v>1176</v>
      </c>
      <c r="C1093" s="148" t="s">
        <v>3557</v>
      </c>
      <c r="D1093" s="148"/>
      <c r="E1093" s="148"/>
      <c r="F1093" s="148"/>
      <c r="G1093" s="193"/>
      <c r="H1093" s="105" t="n">
        <f aca="false">'[2]$ зима'!j1093-'[2]$ зима'!au1093-'[2]$ зима'!at1093-'[2]$ зима'!as1093-'[2]$ зима'!ar1093-'[2]$ зима'!aq1093-'[2]$ зима'!ap1093-'[2]$ зима'!an1093-'[2]$ зима'!am1093-'[2]$ зима'!al1093-'[2]$ зима'!ak1093-'[2]$ зима'!aj1093-'[2]$ зима'!ah1093-'[2]$ зима'!ag1093-'[2]$ зима'!af1093-'[2]$ зима'!ae1093-'[2]$ зима'!ad1093-'[2]$ зима'!ab1093-'[2]$ зима'!aa1093-'[2]$ зима'!z1093-'[2]$ зима'!y1093-'[2]$ зима'!x1093-'[2]$ зима'!v1093-'[2]$ зима'!u1093-'[2]$ зима'!t1093-'[2]$ зима'!s1093-'[2]$ зима'!r1093-'[2]$ зима'!p1093-'[2]$ зима'!o1093-'[2]$ зима'!n1093-'[2]$ зима'!m1093-'[2]$ зима'!l1093+'[2]$ зима'!q1093+'[2]$ зима'!w1093+'[2]$ зима'!ac1093+'[2]$ зима'!ai1093+'[2]$ зима'!ao1093+'[2]$ зима'!k1093</f>
        <v>0</v>
      </c>
      <c r="I1093" s="191" t="n">
        <f aca="false">'[2]$ зима'!ay1093*1.1</f>
        <v>1755.6</v>
      </c>
    </row>
    <row r="1094" customFormat="false" ht="15" hidden="true" customHeight="false" outlineLevel="0" collapsed="false">
      <c r="A1094" s="196" t="s">
        <v>1723</v>
      </c>
      <c r="B1094" s="149" t="s">
        <v>593</v>
      </c>
      <c r="C1094" s="148" t="s">
        <v>3648</v>
      </c>
      <c r="D1094" s="148"/>
      <c r="E1094" s="148"/>
      <c r="F1094" s="148"/>
      <c r="G1094" s="193"/>
      <c r="H1094" s="105" t="n">
        <f aca="false">'[2]$ зима'!j1094-'[2]$ зима'!au1094-'[2]$ зима'!at1094-'[2]$ зима'!as1094-'[2]$ зима'!ar1094-'[2]$ зима'!aq1094-'[2]$ зима'!ap1094-'[2]$ зима'!an1094-'[2]$ зима'!am1094-'[2]$ зима'!al1094-'[2]$ зима'!ak1094-'[2]$ зима'!aj1094-'[2]$ зима'!ah1094-'[2]$ зима'!ag1094-'[2]$ зима'!af1094-'[2]$ зима'!ae1094-'[2]$ зима'!ad1094-'[2]$ зима'!ab1094-'[2]$ зима'!aa1094-'[2]$ зима'!z1094-'[2]$ зима'!y1094-'[2]$ зима'!x1094-'[2]$ зима'!v1094-'[2]$ зима'!u1094-'[2]$ зима'!t1094-'[2]$ зима'!s1094-'[2]$ зима'!r1094-'[2]$ зима'!p1094-'[2]$ зима'!o1094-'[2]$ зима'!n1094-'[2]$ зима'!m1094-'[2]$ зима'!l1094+'[2]$ зима'!q1094+'[2]$ зима'!w1094+'[2]$ зима'!ac1094+'[2]$ зима'!ai1094+'[2]$ зима'!ao1094+'[2]$ зима'!k1094</f>
        <v>0</v>
      </c>
      <c r="I1094" s="191" t="n">
        <f aca="false">'[2]$ зима'!ay1094*1.1</f>
        <v>3696</v>
      </c>
    </row>
    <row r="1095" customFormat="false" ht="15" hidden="true" customHeight="false" outlineLevel="0" collapsed="false">
      <c r="A1095" s="196" t="s">
        <v>1723</v>
      </c>
      <c r="B1095" s="149" t="s">
        <v>593</v>
      </c>
      <c r="C1095" s="148" t="s">
        <v>3649</v>
      </c>
      <c r="D1095" s="148"/>
      <c r="E1095" s="148" t="n">
        <v>98</v>
      </c>
      <c r="F1095" s="148" t="s">
        <v>832</v>
      </c>
      <c r="G1095" s="193" t="s">
        <v>868</v>
      </c>
      <c r="H1095" s="105" t="n">
        <f aca="false">'[2]$ зима'!j1095-'[2]$ зима'!au1095-'[2]$ зима'!at1095-'[2]$ зима'!as1095-'[2]$ зима'!ar1095-'[2]$ зима'!aq1095-'[2]$ зима'!ap1095-'[2]$ зима'!an1095-'[2]$ зима'!am1095-'[2]$ зима'!al1095-'[2]$ зима'!ak1095-'[2]$ зима'!aj1095-'[2]$ зима'!ah1095-'[2]$ зима'!ag1095-'[2]$ зима'!af1095-'[2]$ зима'!ae1095-'[2]$ зима'!ad1095-'[2]$ зима'!ab1095-'[2]$ зима'!aa1095-'[2]$ зима'!z1095-'[2]$ зима'!y1095-'[2]$ зима'!x1095-'[2]$ зима'!v1095-'[2]$ зима'!u1095-'[2]$ зима'!t1095-'[2]$ зима'!s1095-'[2]$ зима'!r1095-'[2]$ зима'!p1095-'[2]$ зима'!o1095-'[2]$ зима'!n1095-'[2]$ зима'!m1095-'[2]$ зима'!l1095+'[2]$ зима'!q1095+'[2]$ зима'!w1095+'[2]$ зима'!ac1095+'[2]$ зима'!ai1095+'[2]$ зима'!ao1095+'[2]$ зима'!k1095</f>
        <v>0</v>
      </c>
      <c r="I1095" s="191" t="n">
        <f aca="false">'[2]$ зима'!ay1095*1.1</f>
        <v>3326.4</v>
      </c>
    </row>
    <row r="1096" customFormat="false" ht="15" hidden="true" customHeight="false" outlineLevel="0" collapsed="false">
      <c r="A1096" s="196" t="s">
        <v>1733</v>
      </c>
      <c r="B1096" s="149" t="s">
        <v>601</v>
      </c>
      <c r="C1096" s="148" t="s">
        <v>3650</v>
      </c>
      <c r="D1096" s="148"/>
      <c r="E1096" s="148"/>
      <c r="F1096" s="148"/>
      <c r="G1096" s="193"/>
      <c r="H1096" s="105" t="n">
        <f aca="false">'[2]$ зима'!j1096-'[2]$ зима'!au1096-'[2]$ зима'!at1096-'[2]$ зима'!as1096-'[2]$ зима'!ar1096-'[2]$ зима'!aq1096-'[2]$ зима'!ap1096-'[2]$ зима'!an1096-'[2]$ зима'!am1096-'[2]$ зима'!al1096-'[2]$ зима'!ak1096-'[2]$ зима'!aj1096-'[2]$ зима'!ah1096-'[2]$ зима'!ag1096-'[2]$ зима'!af1096-'[2]$ зима'!ae1096-'[2]$ зима'!ad1096-'[2]$ зима'!ab1096-'[2]$ зима'!aa1096-'[2]$ зима'!z1096-'[2]$ зима'!y1096-'[2]$ зима'!x1096-'[2]$ зима'!v1096-'[2]$ зима'!u1096-'[2]$ зима'!t1096-'[2]$ зима'!s1096-'[2]$ зима'!r1096-'[2]$ зима'!p1096-'[2]$ зима'!o1096-'[2]$ зима'!n1096-'[2]$ зима'!m1096-'[2]$ зима'!l1096+'[2]$ зима'!q1096+'[2]$ зима'!w1096+'[2]$ зима'!ac1096+'[2]$ зима'!ai1096+'[2]$ зима'!ao1096+'[2]$ зима'!k1096</f>
        <v>0</v>
      </c>
      <c r="I1096" s="191" t="n">
        <f aca="false">'[2]$ зима'!ay1096*1.1</f>
        <v>3911.6</v>
      </c>
    </row>
    <row r="1097" customFormat="false" ht="15" hidden="true" customHeight="false" outlineLevel="0" collapsed="false">
      <c r="A1097" s="196" t="s">
        <v>1733</v>
      </c>
      <c r="B1097" s="149" t="s">
        <v>557</v>
      </c>
      <c r="C1097" s="148" t="s">
        <v>3196</v>
      </c>
      <c r="D1097" s="148"/>
      <c r="E1097" s="148"/>
      <c r="F1097" s="148"/>
      <c r="G1097" s="193"/>
      <c r="H1097" s="105" t="n">
        <f aca="false">'[2]$ зима'!j1097-'[2]$ зима'!au1097-'[2]$ зима'!at1097-'[2]$ зима'!as1097-'[2]$ зима'!ar1097-'[2]$ зима'!aq1097-'[2]$ зима'!ap1097-'[2]$ зима'!an1097-'[2]$ зима'!am1097-'[2]$ зима'!al1097-'[2]$ зима'!ak1097-'[2]$ зима'!aj1097-'[2]$ зима'!ah1097-'[2]$ зима'!ag1097-'[2]$ зима'!af1097-'[2]$ зима'!ae1097-'[2]$ зима'!ad1097-'[2]$ зима'!ab1097-'[2]$ зима'!aa1097-'[2]$ зима'!z1097-'[2]$ зима'!y1097-'[2]$ зима'!x1097-'[2]$ зима'!v1097-'[2]$ зима'!u1097-'[2]$ зима'!t1097-'[2]$ зима'!s1097-'[2]$ зима'!r1097-'[2]$ зима'!p1097-'[2]$ зима'!o1097-'[2]$ зима'!n1097-'[2]$ зима'!m1097-'[2]$ зима'!l1097+'[2]$ зима'!q1097+'[2]$ зима'!w1097+'[2]$ зима'!ac1097+'[2]$ зима'!ai1097+'[2]$ зима'!ao1097+'[2]$ зима'!k1097</f>
        <v>0</v>
      </c>
      <c r="I1097" s="191" t="n">
        <f aca="false">'[2]$ зима'!ay1097*1.1</f>
        <v>2464</v>
      </c>
    </row>
    <row r="1098" customFormat="false" ht="15" hidden="false" customHeight="false" outlineLevel="0" collapsed="false">
      <c r="A1098" s="196" t="s">
        <v>1733</v>
      </c>
      <c r="B1098" s="149" t="s">
        <v>744</v>
      </c>
      <c r="C1098" s="148" t="s">
        <v>3651</v>
      </c>
      <c r="D1098" s="148" t="s">
        <v>3127</v>
      </c>
      <c r="E1098" s="192"/>
      <c r="F1098" s="192"/>
      <c r="G1098" s="193"/>
      <c r="H1098" s="105" t="n">
        <f aca="false">'[2]$ зима'!j1098-'[2]$ зима'!au1098-'[2]$ зима'!at1098-'[2]$ зима'!as1098-'[2]$ зима'!ar1098-'[2]$ зима'!aq1098-'[2]$ зима'!ap1098-'[2]$ зима'!an1098-'[2]$ зима'!am1098-'[2]$ зима'!al1098-'[2]$ зима'!ak1098-'[2]$ зима'!aj1098-'[2]$ зима'!ah1098-'[2]$ зима'!ag1098-'[2]$ зима'!af1098-'[2]$ зима'!ae1098-'[2]$ зима'!ad1098-'[2]$ зима'!ab1098-'[2]$ зима'!aa1098-'[2]$ зима'!z1098-'[2]$ зима'!y1098-'[2]$ зима'!x1098-'[2]$ зима'!v1098-'[2]$ зима'!u1098-'[2]$ зима'!t1098-'[2]$ зима'!s1098-'[2]$ зима'!r1098-'[2]$ зима'!p1098-'[2]$ зима'!o1098-'[2]$ зима'!n1098-'[2]$ зима'!m1098-'[2]$ зима'!l1098+'[2]$ зима'!q1098+'[2]$ зима'!w1098+'[2]$ зима'!ac1098+'[2]$ зима'!ai1098+'[2]$ зима'!ao1098+'[2]$ зима'!k1098</f>
        <v>4</v>
      </c>
      <c r="I1098" s="191" t="n">
        <f aca="false">'[2]$ зима'!ay1098*1.1</f>
        <v>2772</v>
      </c>
    </row>
    <row r="1099" customFormat="false" ht="15" hidden="false" customHeight="false" outlineLevel="0" collapsed="false">
      <c r="A1099" s="196" t="s">
        <v>1733</v>
      </c>
      <c r="B1099" s="149" t="s">
        <v>3652</v>
      </c>
      <c r="C1099" s="148" t="s">
        <v>3653</v>
      </c>
      <c r="D1099" s="148"/>
      <c r="E1099" s="192"/>
      <c r="F1099" s="192"/>
      <c r="G1099" s="193"/>
      <c r="H1099" s="105" t="n">
        <f aca="false">'[2]$ зима'!j1099-'[2]$ зима'!au1099-'[2]$ зима'!at1099-'[2]$ зима'!as1099-'[2]$ зима'!ar1099-'[2]$ зима'!aq1099-'[2]$ зима'!ap1099-'[2]$ зима'!an1099-'[2]$ зима'!am1099-'[2]$ зима'!al1099-'[2]$ зима'!ak1099-'[2]$ зима'!aj1099-'[2]$ зима'!ah1099-'[2]$ зима'!ag1099-'[2]$ зима'!af1099-'[2]$ зима'!ae1099-'[2]$ зима'!ad1099-'[2]$ зима'!ab1099-'[2]$ зима'!aa1099-'[2]$ зима'!z1099-'[2]$ зима'!y1099-'[2]$ зима'!x1099-'[2]$ зима'!v1099-'[2]$ зима'!u1099-'[2]$ зима'!t1099-'[2]$ зима'!s1099-'[2]$ зима'!r1099-'[2]$ зима'!p1099-'[2]$ зима'!o1099-'[2]$ зима'!n1099-'[2]$ зима'!m1099-'[2]$ зима'!l1099+'[2]$ зима'!q1099+'[2]$ зима'!w1099+'[2]$ зима'!ac1099+'[2]$ зима'!ai1099+'[2]$ зима'!ao1099+'[2]$ зима'!k1099</f>
        <v>2</v>
      </c>
      <c r="I1099" s="191" t="n">
        <f aca="false">'[2]$ зима'!ay1099*1.1</f>
        <v>1848</v>
      </c>
      <c r="J1099" s="171" t="n">
        <v>2016</v>
      </c>
    </row>
    <row r="1100" customFormat="false" ht="15" hidden="false" customHeight="false" outlineLevel="0" collapsed="false">
      <c r="A1100" s="196" t="s">
        <v>1733</v>
      </c>
      <c r="B1100" s="149" t="s">
        <v>606</v>
      </c>
      <c r="C1100" s="148" t="s">
        <v>3125</v>
      </c>
      <c r="D1100" s="148"/>
      <c r="E1100" s="192"/>
      <c r="F1100" s="192" t="s">
        <v>3286</v>
      </c>
      <c r="G1100" s="193"/>
      <c r="H1100" s="105" t="n">
        <f aca="false">'[2]$ зима'!j1100-'[2]$ зима'!au1100-'[2]$ зима'!at1100-'[2]$ зима'!as1100-'[2]$ зима'!ar1100-'[2]$ зима'!aq1100-'[2]$ зима'!ap1100-'[2]$ зима'!an1100-'[2]$ зима'!am1100-'[2]$ зима'!al1100-'[2]$ зима'!ak1100-'[2]$ зима'!aj1100-'[2]$ зима'!ah1100-'[2]$ зима'!ag1100-'[2]$ зима'!af1100-'[2]$ зима'!ae1100-'[2]$ зима'!ad1100-'[2]$ зима'!ab1100-'[2]$ зима'!aa1100-'[2]$ зима'!z1100-'[2]$ зима'!y1100-'[2]$ зима'!x1100-'[2]$ зима'!v1100-'[2]$ зима'!u1100-'[2]$ зима'!t1100-'[2]$ зима'!s1100-'[2]$ зима'!r1100-'[2]$ зима'!p1100-'[2]$ зима'!o1100-'[2]$ зима'!n1100-'[2]$ зима'!m1100-'[2]$ зима'!l1100+'[2]$ зима'!q1100+'[2]$ зима'!w1100+'[2]$ зима'!ac1100+'[2]$ зима'!ai1100+'[2]$ зима'!ao1100+'[2]$ зима'!k1100</f>
        <v>2</v>
      </c>
      <c r="I1100" s="191" t="n">
        <f aca="false">'[2]$ зима'!ay1100*1.1</f>
        <v>2864.4</v>
      </c>
      <c r="J1100" s="171" t="n">
        <v>2017</v>
      </c>
    </row>
    <row r="1101" customFormat="false" ht="15" hidden="false" customHeight="false" outlineLevel="0" collapsed="false">
      <c r="A1101" s="196" t="s">
        <v>1733</v>
      </c>
      <c r="B1101" s="149" t="s">
        <v>606</v>
      </c>
      <c r="C1101" s="148" t="s">
        <v>3156</v>
      </c>
      <c r="D1101" s="148"/>
      <c r="E1101" s="192"/>
      <c r="F1101" s="192" t="s">
        <v>3286</v>
      </c>
      <c r="G1101" s="193"/>
      <c r="H1101" s="105" t="n">
        <f aca="false">'[2]$ зима'!j1101-'[2]$ зима'!au1101-'[2]$ зима'!at1101-'[2]$ зима'!as1101-'[2]$ зима'!ar1101-'[2]$ зима'!aq1101-'[2]$ зима'!ap1101-'[2]$ зима'!an1101-'[2]$ зима'!am1101-'[2]$ зима'!al1101-'[2]$ зима'!ak1101-'[2]$ зима'!aj1101-'[2]$ зима'!ah1101-'[2]$ зима'!ag1101-'[2]$ зима'!af1101-'[2]$ зима'!ae1101-'[2]$ зима'!ad1101-'[2]$ зима'!ab1101-'[2]$ зима'!aa1101-'[2]$ зима'!z1101-'[2]$ зима'!y1101-'[2]$ зима'!x1101-'[2]$ зима'!v1101-'[2]$ зима'!u1101-'[2]$ зима'!t1101-'[2]$ зима'!s1101-'[2]$ зима'!r1101-'[2]$ зима'!p1101-'[2]$ зима'!o1101-'[2]$ зима'!n1101-'[2]$ зима'!m1101-'[2]$ зима'!l1101+'[2]$ зима'!q1101+'[2]$ зима'!w1101+'[2]$ зима'!ac1101+'[2]$ зима'!ai1101+'[2]$ зима'!ao1101+'[2]$ зима'!k1101</f>
        <v>16</v>
      </c>
      <c r="I1101" s="191" t="n">
        <f aca="false">'[2]$ зима'!ay1101*1.1</f>
        <v>2864.4</v>
      </c>
    </row>
    <row r="1102" customFormat="false" ht="15" hidden="false" customHeight="false" outlineLevel="0" collapsed="false">
      <c r="A1102" s="232" t="s">
        <v>1733</v>
      </c>
      <c r="B1102" s="157" t="s">
        <v>668</v>
      </c>
      <c r="C1102" s="158" t="s">
        <v>3654</v>
      </c>
      <c r="D1102" s="158"/>
      <c r="E1102" s="224"/>
      <c r="F1102" s="224"/>
      <c r="G1102" s="218"/>
      <c r="H1102" s="105" t="n">
        <f aca="false">'[2]$ зима'!j1102-'[2]$ зима'!au1102-'[2]$ зима'!at1102-'[2]$ зима'!as1102-'[2]$ зима'!ar1102-'[2]$ зима'!aq1102-'[2]$ зима'!ap1102-'[2]$ зима'!an1102-'[2]$ зима'!am1102-'[2]$ зима'!al1102-'[2]$ зима'!ak1102-'[2]$ зима'!aj1102-'[2]$ зима'!ah1102-'[2]$ зима'!ag1102-'[2]$ зима'!af1102-'[2]$ зима'!ae1102-'[2]$ зима'!ad1102-'[2]$ зима'!ab1102-'[2]$ зима'!aa1102-'[2]$ зима'!z1102-'[2]$ зима'!y1102-'[2]$ зима'!x1102-'[2]$ зима'!v1102-'[2]$ зима'!u1102-'[2]$ зима'!t1102-'[2]$ зима'!s1102-'[2]$ зима'!r1102-'[2]$ зима'!p1102-'[2]$ зима'!o1102-'[2]$ зима'!n1102-'[2]$ зима'!m1102-'[2]$ зима'!l1102+'[2]$ зима'!q1102+'[2]$ зима'!w1102+'[2]$ зима'!ac1102+'[2]$ зима'!ai1102+'[2]$ зима'!ao1102+'[2]$ зима'!k1102</f>
        <v>4</v>
      </c>
      <c r="I1102" s="219" t="n">
        <f aca="false">'[2]$ зима'!ay1102*1.1</f>
        <v>2200</v>
      </c>
    </row>
    <row r="1103" customFormat="false" ht="15" hidden="false" customHeight="false" outlineLevel="0" collapsed="false">
      <c r="A1103" s="196" t="s">
        <v>1733</v>
      </c>
      <c r="B1103" s="149" t="s">
        <v>668</v>
      </c>
      <c r="C1103" s="148" t="s">
        <v>3629</v>
      </c>
      <c r="D1103" s="148"/>
      <c r="E1103" s="192"/>
      <c r="F1103" s="192"/>
      <c r="G1103" s="193" t="s">
        <v>609</v>
      </c>
      <c r="H1103" s="105" t="n">
        <f aca="false">'[2]$ зима'!j1103-'[2]$ зима'!au1103-'[2]$ зима'!at1103-'[2]$ зима'!as1103-'[2]$ зима'!ar1103-'[2]$ зима'!aq1103-'[2]$ зима'!ap1103-'[2]$ зима'!an1103-'[2]$ зима'!am1103-'[2]$ зима'!al1103-'[2]$ зима'!ak1103-'[2]$ зима'!aj1103-'[2]$ зима'!ah1103-'[2]$ зима'!ag1103-'[2]$ зима'!af1103-'[2]$ зима'!ae1103-'[2]$ зима'!ad1103-'[2]$ зима'!ab1103-'[2]$ зима'!aa1103-'[2]$ зима'!z1103-'[2]$ зима'!y1103-'[2]$ зима'!x1103-'[2]$ зима'!v1103-'[2]$ зима'!u1103-'[2]$ зима'!t1103-'[2]$ зима'!s1103-'[2]$ зима'!r1103-'[2]$ зима'!p1103-'[2]$ зима'!o1103-'[2]$ зима'!n1103-'[2]$ зима'!m1103-'[2]$ зима'!l1103+'[2]$ зима'!q1103+'[2]$ зима'!w1103+'[2]$ зима'!ac1103+'[2]$ зима'!ai1103+'[2]$ зима'!ao1103+'[2]$ зима'!k1103</f>
        <v>12</v>
      </c>
      <c r="I1103" s="191" t="n">
        <f aca="false">'[2]$ зима'!ay1103*1.1</f>
        <v>2618</v>
      </c>
      <c r="J1103" s="171" t="n">
        <v>2017</v>
      </c>
    </row>
    <row r="1104" customFormat="false" ht="15" hidden="true" customHeight="false" outlineLevel="0" collapsed="false">
      <c r="A1104" s="196" t="s">
        <v>1733</v>
      </c>
      <c r="B1104" s="149" t="s">
        <v>574</v>
      </c>
      <c r="C1104" s="148" t="s">
        <v>3655</v>
      </c>
      <c r="D1104" s="148"/>
      <c r="E1104" s="148"/>
      <c r="F1104" s="148"/>
      <c r="G1104" s="193" t="s">
        <v>576</v>
      </c>
      <c r="H1104" s="105" t="n">
        <f aca="false">'[2]$ зима'!j1104-'[2]$ зима'!au1104-'[2]$ зима'!at1104-'[2]$ зима'!as1104-'[2]$ зима'!ar1104-'[2]$ зима'!aq1104-'[2]$ зима'!ap1104-'[2]$ зима'!an1104-'[2]$ зима'!am1104-'[2]$ зима'!al1104-'[2]$ зима'!ak1104-'[2]$ зима'!aj1104-'[2]$ зима'!ah1104-'[2]$ зима'!ag1104-'[2]$ зима'!af1104-'[2]$ зима'!ae1104-'[2]$ зима'!ad1104-'[2]$ зима'!ab1104-'[2]$ зима'!aa1104-'[2]$ зима'!z1104-'[2]$ зима'!y1104-'[2]$ зима'!x1104-'[2]$ зима'!v1104-'[2]$ зима'!u1104-'[2]$ зима'!t1104-'[2]$ зима'!s1104-'[2]$ зима'!r1104-'[2]$ зима'!p1104-'[2]$ зима'!o1104-'[2]$ зима'!n1104-'[2]$ зима'!m1104-'[2]$ зима'!l1104+'[2]$ зима'!q1104+'[2]$ зима'!w1104+'[2]$ зима'!ac1104+'[2]$ зима'!ai1104+'[2]$ зима'!ao1104+'[2]$ зима'!k1104</f>
        <v>0</v>
      </c>
      <c r="I1104" s="191" t="n">
        <f aca="false">'[2]$ зима'!ay1104*1.1</f>
        <v>2801.7</v>
      </c>
    </row>
    <row r="1105" customFormat="false" ht="15" hidden="false" customHeight="false" outlineLevel="0" collapsed="false">
      <c r="A1105" s="196" t="s">
        <v>1733</v>
      </c>
      <c r="B1105" s="149" t="s">
        <v>1471</v>
      </c>
      <c r="C1105" s="148" t="s">
        <v>3219</v>
      </c>
      <c r="D1105" s="148"/>
      <c r="E1105" s="192" t="n">
        <v>103</v>
      </c>
      <c r="F1105" s="192" t="s">
        <v>3220</v>
      </c>
      <c r="G1105" s="193" t="s">
        <v>609</v>
      </c>
      <c r="H1105" s="105" t="n">
        <f aca="false">'[2]$ зима'!j1105-'[2]$ зима'!au1105-'[2]$ зима'!at1105-'[2]$ зима'!as1105-'[2]$ зима'!ar1105-'[2]$ зима'!aq1105-'[2]$ зима'!ap1105-'[2]$ зима'!an1105-'[2]$ зима'!am1105-'[2]$ зима'!al1105-'[2]$ зима'!ak1105-'[2]$ зима'!aj1105-'[2]$ зима'!ah1105-'[2]$ зима'!ag1105-'[2]$ зима'!af1105-'[2]$ зима'!ae1105-'[2]$ зима'!ad1105-'[2]$ зима'!ab1105-'[2]$ зима'!aa1105-'[2]$ зима'!z1105-'[2]$ зима'!y1105-'[2]$ зима'!x1105-'[2]$ зима'!v1105-'[2]$ зима'!u1105-'[2]$ зима'!t1105-'[2]$ зима'!s1105-'[2]$ зима'!r1105-'[2]$ зима'!p1105-'[2]$ зима'!o1105-'[2]$ зима'!n1105-'[2]$ зима'!m1105-'[2]$ зима'!l1105+'[2]$ зима'!q1105+'[2]$ зима'!w1105+'[2]$ зима'!ac1105+'[2]$ зима'!ai1105+'[2]$ зима'!ao1105+'[2]$ зима'!k1105</f>
        <v>8</v>
      </c>
      <c r="I1105" s="191" t="n">
        <f aca="false">'[2]$ зима'!ay1105*1.1</f>
        <v>2679.6</v>
      </c>
      <c r="J1105" s="171" t="s">
        <v>1264</v>
      </c>
    </row>
    <row r="1106" customFormat="false" ht="15" hidden="false" customHeight="false" outlineLevel="0" collapsed="false">
      <c r="A1106" s="196" t="s">
        <v>1733</v>
      </c>
      <c r="B1106" s="149" t="s">
        <v>593</v>
      </c>
      <c r="C1106" s="148" t="s">
        <v>3324</v>
      </c>
      <c r="D1106" s="148"/>
      <c r="E1106" s="192" t="n">
        <v>99</v>
      </c>
      <c r="F1106" s="192" t="s">
        <v>634</v>
      </c>
      <c r="G1106" s="193" t="s">
        <v>847</v>
      </c>
      <c r="H1106" s="105" t="n">
        <f aca="false">'[2]$ зима'!j1106-'[2]$ зима'!au1106-'[2]$ зима'!at1106-'[2]$ зима'!as1106-'[2]$ зима'!ar1106-'[2]$ зима'!aq1106-'[2]$ зима'!ap1106-'[2]$ зима'!an1106-'[2]$ зима'!am1106-'[2]$ зима'!al1106-'[2]$ зима'!ak1106-'[2]$ зима'!aj1106-'[2]$ зима'!ah1106-'[2]$ зима'!ag1106-'[2]$ зима'!af1106-'[2]$ зима'!ae1106-'[2]$ зима'!ad1106-'[2]$ зима'!ab1106-'[2]$ зима'!aa1106-'[2]$ зима'!z1106-'[2]$ зима'!y1106-'[2]$ зима'!x1106-'[2]$ зима'!v1106-'[2]$ зима'!u1106-'[2]$ зима'!t1106-'[2]$ зима'!s1106-'[2]$ зима'!r1106-'[2]$ зима'!p1106-'[2]$ зима'!o1106-'[2]$ зима'!n1106-'[2]$ зима'!m1106-'[2]$ зима'!l1106+'[2]$ зима'!q1106+'[2]$ зима'!w1106+'[2]$ зима'!ac1106+'[2]$ зима'!ai1106+'[2]$ зима'!ao1106+'[2]$ зима'!k1106</f>
        <v>4</v>
      </c>
      <c r="I1106" s="191" t="n">
        <f aca="false">'[2]$ зима'!ay1106*1.1</f>
        <v>4312</v>
      </c>
      <c r="J1106" s="171" t="n">
        <v>2017</v>
      </c>
    </row>
    <row r="1107" customFormat="false" ht="15" hidden="false" customHeight="false" outlineLevel="0" collapsed="false">
      <c r="A1107" s="196" t="s">
        <v>1733</v>
      </c>
      <c r="B1107" s="149" t="s">
        <v>593</v>
      </c>
      <c r="C1107" s="148" t="s">
        <v>3656</v>
      </c>
      <c r="D1107" s="148"/>
      <c r="E1107" s="192"/>
      <c r="F1107" s="192" t="s">
        <v>3286</v>
      </c>
      <c r="G1107" s="193" t="s">
        <v>843</v>
      </c>
      <c r="H1107" s="105" t="n">
        <f aca="false">'[2]$ зима'!j1107-'[2]$ зима'!au1107-'[2]$ зима'!at1107-'[2]$ зима'!as1107-'[2]$ зима'!ar1107-'[2]$ зима'!aq1107-'[2]$ зима'!ap1107-'[2]$ зима'!an1107-'[2]$ зима'!am1107-'[2]$ зима'!al1107-'[2]$ зима'!ak1107-'[2]$ зима'!aj1107-'[2]$ зима'!ah1107-'[2]$ зима'!ag1107-'[2]$ зима'!af1107-'[2]$ зима'!ae1107-'[2]$ зима'!ad1107-'[2]$ зима'!ab1107-'[2]$ зима'!aa1107-'[2]$ зима'!z1107-'[2]$ зима'!y1107-'[2]$ зима'!x1107-'[2]$ зима'!v1107-'[2]$ зима'!u1107-'[2]$ зима'!t1107-'[2]$ зима'!s1107-'[2]$ зима'!r1107-'[2]$ зима'!p1107-'[2]$ зима'!o1107-'[2]$ зима'!n1107-'[2]$ зима'!m1107-'[2]$ зима'!l1107+'[2]$ зима'!q1107+'[2]$ зима'!w1107+'[2]$ зима'!ac1107+'[2]$ зима'!ai1107+'[2]$ зима'!ao1107+'[2]$ зима'!k1107</f>
        <v>4</v>
      </c>
      <c r="I1107" s="191" t="n">
        <f aca="false">'[2]$ зима'!ay1107*1.1</f>
        <v>4928</v>
      </c>
      <c r="J1107" s="171" t="n">
        <v>2017</v>
      </c>
    </row>
    <row r="1108" customFormat="false" ht="15" hidden="false" customHeight="false" outlineLevel="0" collapsed="false">
      <c r="A1108" s="196" t="s">
        <v>1733</v>
      </c>
      <c r="B1108" s="149" t="s">
        <v>3142</v>
      </c>
      <c r="C1108" s="148" t="s">
        <v>3369</v>
      </c>
      <c r="D1108" s="148" t="s">
        <v>3127</v>
      </c>
      <c r="E1108" s="192"/>
      <c r="F1108" s="192"/>
      <c r="G1108" s="193"/>
      <c r="H1108" s="105" t="n">
        <f aca="false">'[2]$ зима'!j1108-'[2]$ зима'!au1108-'[2]$ зима'!at1108-'[2]$ зима'!as1108-'[2]$ зима'!ar1108-'[2]$ зима'!aq1108-'[2]$ зима'!ap1108-'[2]$ зима'!an1108-'[2]$ зима'!am1108-'[2]$ зима'!al1108-'[2]$ зима'!ak1108-'[2]$ зима'!aj1108-'[2]$ зима'!ah1108-'[2]$ зима'!ag1108-'[2]$ зима'!af1108-'[2]$ зима'!ae1108-'[2]$ зима'!ad1108-'[2]$ зима'!ab1108-'[2]$ зима'!aa1108-'[2]$ зима'!z1108-'[2]$ зима'!y1108-'[2]$ зима'!x1108-'[2]$ зима'!v1108-'[2]$ зима'!u1108-'[2]$ зима'!t1108-'[2]$ зима'!s1108-'[2]$ зима'!r1108-'[2]$ зима'!p1108-'[2]$ зима'!o1108-'[2]$ зима'!n1108-'[2]$ зима'!m1108-'[2]$ зима'!l1108+'[2]$ зима'!q1108+'[2]$ зима'!w1108+'[2]$ зима'!ac1108+'[2]$ зима'!ai1108+'[2]$ зима'!ao1108+'[2]$ зима'!k1108</f>
        <v>8</v>
      </c>
      <c r="I1108" s="191" t="n">
        <f aca="false">'[2]$ зима'!ay1108*1.1</f>
        <v>2402.4</v>
      </c>
      <c r="J1108" s="171" t="n">
        <v>2017</v>
      </c>
    </row>
    <row r="1109" customFormat="false" ht="15" hidden="true" customHeight="false" outlineLevel="0" collapsed="false">
      <c r="A1109" s="196" t="s">
        <v>1733</v>
      </c>
      <c r="B1109" s="149" t="s">
        <v>1149</v>
      </c>
      <c r="C1109" s="148" t="s">
        <v>3529</v>
      </c>
      <c r="D1109" s="148"/>
      <c r="E1109" s="148"/>
      <c r="F1109" s="148"/>
      <c r="G1109" s="193"/>
      <c r="H1109" s="105" t="n">
        <f aca="false">'[2]$ зима'!j1109-'[2]$ зима'!au1109-'[2]$ зима'!at1109-'[2]$ зима'!as1109-'[2]$ зима'!ar1109-'[2]$ зима'!aq1109-'[2]$ зима'!ap1109-'[2]$ зима'!an1109-'[2]$ зима'!am1109-'[2]$ зима'!al1109-'[2]$ зима'!ak1109-'[2]$ зима'!aj1109-'[2]$ зима'!ah1109-'[2]$ зима'!ag1109-'[2]$ зима'!af1109-'[2]$ зима'!ae1109-'[2]$ зима'!ad1109-'[2]$ зима'!ab1109-'[2]$ зима'!aa1109-'[2]$ зима'!z1109-'[2]$ зима'!y1109-'[2]$ зима'!x1109-'[2]$ зима'!v1109-'[2]$ зима'!u1109-'[2]$ зима'!t1109-'[2]$ зима'!s1109-'[2]$ зима'!r1109-'[2]$ зима'!p1109-'[2]$ зима'!o1109-'[2]$ зима'!n1109-'[2]$ зима'!m1109-'[2]$ зима'!l1109+'[2]$ зима'!q1109+'[2]$ зима'!w1109+'[2]$ зима'!ac1109+'[2]$ зима'!ai1109+'[2]$ зима'!ao1109+'[2]$ зима'!k1109</f>
        <v>0</v>
      </c>
      <c r="I1109" s="191" t="n">
        <f aca="false">'[2]$ зима'!ay1109*1.1</f>
        <v>3080</v>
      </c>
    </row>
    <row r="1110" customFormat="false" ht="15" hidden="false" customHeight="false" outlineLevel="0" collapsed="false">
      <c r="A1110" s="196" t="s">
        <v>1733</v>
      </c>
      <c r="B1110" s="149" t="s">
        <v>677</v>
      </c>
      <c r="C1110" s="148" t="s">
        <v>3347</v>
      </c>
      <c r="D1110" s="148"/>
      <c r="E1110" s="192" t="n">
        <v>103</v>
      </c>
      <c r="F1110" s="192" t="s">
        <v>562</v>
      </c>
      <c r="G1110" s="193"/>
      <c r="H1110" s="105" t="n">
        <f aca="false">'[2]$ зима'!j1110-'[2]$ зима'!au1110-'[2]$ зима'!at1110-'[2]$ зима'!as1110-'[2]$ зима'!ar1110-'[2]$ зима'!aq1110-'[2]$ зима'!ap1110-'[2]$ зима'!an1110-'[2]$ зима'!am1110-'[2]$ зима'!al1110-'[2]$ зима'!ak1110-'[2]$ зима'!aj1110-'[2]$ зима'!ah1110-'[2]$ зима'!ag1110-'[2]$ зима'!af1110-'[2]$ зима'!ae1110-'[2]$ зима'!ad1110-'[2]$ зима'!ab1110-'[2]$ зима'!aa1110-'[2]$ зима'!z1110-'[2]$ зима'!y1110-'[2]$ зима'!x1110-'[2]$ зима'!v1110-'[2]$ зима'!u1110-'[2]$ зима'!t1110-'[2]$ зима'!s1110-'[2]$ зима'!r1110-'[2]$ зима'!p1110-'[2]$ зима'!o1110-'[2]$ зима'!n1110-'[2]$ зима'!m1110-'[2]$ зима'!l1110+'[2]$ зима'!q1110+'[2]$ зима'!w1110+'[2]$ зима'!ac1110+'[2]$ зима'!ai1110+'[2]$ зима'!ao1110+'[2]$ зима'!k1110</f>
        <v>8</v>
      </c>
      <c r="I1110" s="191" t="n">
        <f aca="false">'[2]$ зима'!ay1110*1.1</f>
        <v>1940.4</v>
      </c>
    </row>
    <row r="1111" customFormat="false" ht="15" hidden="false" customHeight="false" outlineLevel="0" collapsed="false">
      <c r="A1111" s="196" t="s">
        <v>1733</v>
      </c>
      <c r="B1111" s="149" t="s">
        <v>564</v>
      </c>
      <c r="C1111" s="148" t="s">
        <v>3308</v>
      </c>
      <c r="D1111" s="148"/>
      <c r="E1111" s="192" t="n">
        <v>99</v>
      </c>
      <c r="F1111" s="192" t="s">
        <v>634</v>
      </c>
      <c r="G1111" s="193"/>
      <c r="H1111" s="105" t="n">
        <f aca="false">'[2]$ зима'!j1111-'[2]$ зима'!au1111-'[2]$ зима'!at1111-'[2]$ зима'!as1111-'[2]$ зима'!ar1111-'[2]$ зима'!aq1111-'[2]$ зима'!ap1111-'[2]$ зима'!an1111-'[2]$ зима'!am1111-'[2]$ зима'!al1111-'[2]$ зима'!ak1111-'[2]$ зима'!aj1111-'[2]$ зима'!ah1111-'[2]$ зима'!ag1111-'[2]$ зима'!af1111-'[2]$ зима'!ae1111-'[2]$ зима'!ad1111-'[2]$ зима'!ab1111-'[2]$ зима'!aa1111-'[2]$ зима'!z1111-'[2]$ зима'!y1111-'[2]$ зима'!x1111-'[2]$ зима'!v1111-'[2]$ зима'!u1111-'[2]$ зима'!t1111-'[2]$ зима'!s1111-'[2]$ зима'!r1111-'[2]$ зима'!p1111-'[2]$ зима'!o1111-'[2]$ зима'!n1111-'[2]$ зима'!m1111-'[2]$ зима'!l1111+'[2]$ зима'!q1111+'[2]$ зима'!w1111+'[2]$ зима'!ac1111+'[2]$ зима'!ai1111+'[2]$ зима'!ao1111+'[2]$ зима'!k1111</f>
        <v>4</v>
      </c>
      <c r="I1111" s="191" t="n">
        <f aca="false">'[2]$ зима'!ay1111*1.1</f>
        <v>1817.2</v>
      </c>
      <c r="J1111" s="171" t="n">
        <v>2017</v>
      </c>
    </row>
    <row r="1112" customFormat="false" ht="15" hidden="false" customHeight="false" outlineLevel="0" collapsed="false">
      <c r="A1112" s="196" t="s">
        <v>1733</v>
      </c>
      <c r="B1112" s="149" t="s">
        <v>589</v>
      </c>
      <c r="C1112" s="148" t="s">
        <v>3224</v>
      </c>
      <c r="D1112" s="148"/>
      <c r="E1112" s="192" t="n">
        <v>103</v>
      </c>
      <c r="F1112" s="192" t="s">
        <v>562</v>
      </c>
      <c r="G1112" s="193" t="s">
        <v>626</v>
      </c>
      <c r="H1112" s="105" t="n">
        <f aca="false">'[2]$ зима'!j1112-'[2]$ зима'!au1112-'[2]$ зима'!at1112-'[2]$ зима'!as1112-'[2]$ зима'!ar1112-'[2]$ зима'!aq1112-'[2]$ зима'!ap1112-'[2]$ зима'!an1112-'[2]$ зима'!am1112-'[2]$ зима'!al1112-'[2]$ зима'!ak1112-'[2]$ зима'!aj1112-'[2]$ зима'!ah1112-'[2]$ зима'!ag1112-'[2]$ зима'!af1112-'[2]$ зима'!ae1112-'[2]$ зима'!ad1112-'[2]$ зима'!ab1112-'[2]$ зима'!aa1112-'[2]$ зима'!z1112-'[2]$ зима'!y1112-'[2]$ зима'!x1112-'[2]$ зима'!v1112-'[2]$ зима'!u1112-'[2]$ зима'!t1112-'[2]$ зима'!s1112-'[2]$ зима'!r1112-'[2]$ зима'!p1112-'[2]$ зима'!o1112-'[2]$ зима'!n1112-'[2]$ зима'!m1112-'[2]$ зима'!l1112+'[2]$ зима'!q1112+'[2]$ зима'!w1112+'[2]$ зима'!ac1112+'[2]$ зима'!ai1112+'[2]$ зима'!ao1112+'[2]$ зима'!k1112</f>
        <v>4</v>
      </c>
      <c r="I1112" s="191" t="n">
        <f aca="false">'[2]$ зима'!ay1112*1.1</f>
        <v>3905</v>
      </c>
      <c r="J1112" s="171" t="n">
        <v>2017</v>
      </c>
    </row>
    <row r="1113" customFormat="false" ht="15" hidden="true" customHeight="false" outlineLevel="0" collapsed="false">
      <c r="A1113" s="196" t="s">
        <v>1733</v>
      </c>
      <c r="B1113" s="149" t="s">
        <v>589</v>
      </c>
      <c r="C1113" s="148" t="s">
        <v>3657</v>
      </c>
      <c r="D1113" s="148"/>
      <c r="E1113" s="148"/>
      <c r="F1113" s="148"/>
      <c r="G1113" s="193" t="s">
        <v>626</v>
      </c>
      <c r="H1113" s="105" t="n">
        <f aca="false">'[2]$ зима'!j1113-'[2]$ зима'!au1113-'[2]$ зима'!at1113-'[2]$ зима'!as1113-'[2]$ зима'!ar1113-'[2]$ зима'!aq1113-'[2]$ зима'!ap1113-'[2]$ зима'!an1113-'[2]$ зима'!am1113-'[2]$ зима'!al1113-'[2]$ зима'!ak1113-'[2]$ зима'!aj1113-'[2]$ зима'!ah1113-'[2]$ зима'!ag1113-'[2]$ зима'!af1113-'[2]$ зима'!ae1113-'[2]$ зима'!ad1113-'[2]$ зима'!ab1113-'[2]$ зима'!aa1113-'[2]$ зима'!z1113-'[2]$ зима'!y1113-'[2]$ зима'!x1113-'[2]$ зима'!v1113-'[2]$ зима'!u1113-'[2]$ зима'!t1113-'[2]$ зима'!s1113-'[2]$ зима'!r1113-'[2]$ зима'!p1113-'[2]$ зима'!o1113-'[2]$ зима'!n1113-'[2]$ зима'!m1113-'[2]$ зима'!l1113+'[2]$ зима'!q1113+'[2]$ зима'!w1113+'[2]$ зима'!ac1113+'[2]$ зима'!ai1113+'[2]$ зима'!ao1113+'[2]$ зима'!k1113</f>
        <v>0</v>
      </c>
      <c r="I1113" s="191" t="n">
        <f aca="false">'[2]$ зима'!ay1113*1.1</f>
        <v>3953.51</v>
      </c>
    </row>
    <row r="1114" customFormat="false" ht="15" hidden="true" customHeight="false" outlineLevel="0" collapsed="false">
      <c r="A1114" s="196" t="s">
        <v>1733</v>
      </c>
      <c r="B1114" s="149" t="s">
        <v>3652</v>
      </c>
      <c r="C1114" s="148" t="s">
        <v>3653</v>
      </c>
      <c r="D1114" s="148"/>
      <c r="E1114" s="148"/>
      <c r="F1114" s="148"/>
      <c r="G1114" s="193"/>
      <c r="H1114" s="105" t="n">
        <f aca="false">'[2]$ зима'!j1114-'[2]$ зима'!au1114-'[2]$ зима'!at1114-'[2]$ зима'!as1114-'[2]$ зима'!ar1114-'[2]$ зима'!aq1114-'[2]$ зима'!ap1114-'[2]$ зима'!an1114-'[2]$ зима'!am1114-'[2]$ зима'!al1114-'[2]$ зима'!ak1114-'[2]$ зима'!aj1114-'[2]$ зима'!ah1114-'[2]$ зима'!ag1114-'[2]$ зима'!af1114-'[2]$ зима'!ae1114-'[2]$ зима'!ad1114-'[2]$ зима'!ab1114-'[2]$ зима'!aa1114-'[2]$ зима'!z1114-'[2]$ зима'!y1114-'[2]$ зима'!x1114-'[2]$ зима'!v1114-'[2]$ зима'!u1114-'[2]$ зима'!t1114-'[2]$ зима'!s1114-'[2]$ зима'!r1114-'[2]$ зима'!p1114-'[2]$ зима'!o1114-'[2]$ зима'!n1114-'[2]$ зима'!m1114-'[2]$ зима'!l1114+'[2]$ зима'!q1114+'[2]$ зима'!w1114+'[2]$ зима'!ac1114+'[2]$ зима'!ai1114+'[2]$ зима'!ao1114+'[2]$ зима'!k1114</f>
        <v>0</v>
      </c>
      <c r="I1114" s="191" t="n">
        <f aca="false">'[2]$ зима'!ay1114*1.1</f>
        <v>1694</v>
      </c>
    </row>
    <row r="1115" customFormat="false" ht="15" hidden="true" customHeight="false" outlineLevel="0" collapsed="false">
      <c r="A1115" s="196" t="s">
        <v>1764</v>
      </c>
      <c r="B1115" s="149" t="s">
        <v>601</v>
      </c>
      <c r="C1115" s="148" t="s">
        <v>3482</v>
      </c>
      <c r="D1115" s="148"/>
      <c r="E1115" s="148"/>
      <c r="F1115" s="148"/>
      <c r="G1115" s="193"/>
      <c r="H1115" s="105" t="n">
        <f aca="false">'[2]$ зима'!j1115-'[2]$ зима'!au1115-'[2]$ зима'!at1115-'[2]$ зима'!as1115-'[2]$ зима'!ar1115-'[2]$ зима'!aq1115-'[2]$ зима'!ap1115-'[2]$ зима'!an1115-'[2]$ зима'!am1115-'[2]$ зима'!al1115-'[2]$ зима'!ak1115-'[2]$ зима'!aj1115-'[2]$ зима'!ah1115-'[2]$ зима'!ag1115-'[2]$ зима'!af1115-'[2]$ зима'!ae1115-'[2]$ зима'!ad1115-'[2]$ зима'!ab1115-'[2]$ зима'!aa1115-'[2]$ зима'!z1115-'[2]$ зима'!y1115-'[2]$ зима'!x1115-'[2]$ зима'!v1115-'[2]$ зима'!u1115-'[2]$ зима'!t1115-'[2]$ зима'!s1115-'[2]$ зима'!r1115-'[2]$ зима'!p1115-'[2]$ зима'!o1115-'[2]$ зима'!n1115-'[2]$ зима'!m1115-'[2]$ зима'!l1115+'[2]$ зима'!q1115+'[2]$ зима'!w1115+'[2]$ зима'!ac1115+'[2]$ зима'!ai1115+'[2]$ зима'!ao1115+'[2]$ зима'!k1115</f>
        <v>0</v>
      </c>
      <c r="I1115" s="191" t="n">
        <f aca="false">'[2]$ зима'!ay1115*1.1</f>
        <v>4004</v>
      </c>
    </row>
    <row r="1116" customFormat="false" ht="15" hidden="true" customHeight="false" outlineLevel="0" collapsed="false">
      <c r="A1116" s="196" t="s">
        <v>1764</v>
      </c>
      <c r="B1116" s="149" t="s">
        <v>606</v>
      </c>
      <c r="C1116" s="148" t="s">
        <v>3658</v>
      </c>
      <c r="D1116" s="148"/>
      <c r="E1116" s="148"/>
      <c r="F1116" s="148"/>
      <c r="G1116" s="193"/>
      <c r="H1116" s="105" t="n">
        <f aca="false">'[2]$ зима'!j1116-'[2]$ зима'!au1116-'[2]$ зима'!at1116-'[2]$ зима'!as1116-'[2]$ зима'!ar1116-'[2]$ зима'!aq1116-'[2]$ зима'!ap1116-'[2]$ зима'!an1116-'[2]$ зима'!am1116-'[2]$ зима'!al1116-'[2]$ зима'!ak1116-'[2]$ зима'!aj1116-'[2]$ зима'!ah1116-'[2]$ зима'!ag1116-'[2]$ зима'!af1116-'[2]$ зима'!ae1116-'[2]$ зима'!ad1116-'[2]$ зима'!ab1116-'[2]$ зима'!aa1116-'[2]$ зима'!z1116-'[2]$ зима'!y1116-'[2]$ зима'!x1116-'[2]$ зима'!v1116-'[2]$ зима'!u1116-'[2]$ зима'!t1116-'[2]$ зима'!s1116-'[2]$ зима'!r1116-'[2]$ зима'!p1116-'[2]$ зима'!o1116-'[2]$ зима'!n1116-'[2]$ зима'!m1116-'[2]$ зима'!l1116+'[2]$ зима'!q1116+'[2]$ зима'!w1116+'[2]$ зима'!ac1116+'[2]$ зима'!ai1116+'[2]$ зима'!ao1116+'[2]$ зима'!k1116</f>
        <v>0</v>
      </c>
      <c r="I1116" s="191" t="n">
        <f aca="false">'[2]$ зима'!ay1116*1.1</f>
        <v>2833.6</v>
      </c>
    </row>
    <row r="1117" customFormat="false" ht="15" hidden="true" customHeight="false" outlineLevel="0" collapsed="false">
      <c r="A1117" s="196" t="s">
        <v>1764</v>
      </c>
      <c r="B1117" s="149" t="s">
        <v>668</v>
      </c>
      <c r="C1117" s="148" t="s">
        <v>3629</v>
      </c>
      <c r="D1117" s="148"/>
      <c r="E1117" s="148"/>
      <c r="F1117" s="148"/>
      <c r="G1117" s="193"/>
      <c r="H1117" s="105" t="n">
        <f aca="false">'[2]$ зима'!j1117-'[2]$ зима'!au1117-'[2]$ зима'!at1117-'[2]$ зима'!as1117-'[2]$ зима'!ar1117-'[2]$ зима'!aq1117-'[2]$ зима'!ap1117-'[2]$ зима'!an1117-'[2]$ зима'!am1117-'[2]$ зима'!al1117-'[2]$ зима'!ak1117-'[2]$ зима'!aj1117-'[2]$ зима'!ah1117-'[2]$ зима'!ag1117-'[2]$ зима'!af1117-'[2]$ зима'!ae1117-'[2]$ зима'!ad1117-'[2]$ зима'!ab1117-'[2]$ зима'!aa1117-'[2]$ зима'!z1117-'[2]$ зима'!y1117-'[2]$ зима'!x1117-'[2]$ зима'!v1117-'[2]$ зима'!u1117-'[2]$ зима'!t1117-'[2]$ зима'!s1117-'[2]$ зима'!r1117-'[2]$ зима'!p1117-'[2]$ зима'!o1117-'[2]$ зима'!n1117-'[2]$ зима'!m1117-'[2]$ зима'!l1117+'[2]$ зима'!q1117+'[2]$ зима'!w1117+'[2]$ зима'!ac1117+'[2]$ зима'!ai1117+'[2]$ зима'!ao1117+'[2]$ зима'!k1117</f>
        <v>0</v>
      </c>
      <c r="I1117" s="191" t="n">
        <f aca="false">'[2]$ зима'!ay1117*1.1</f>
        <v>2248.4</v>
      </c>
    </row>
    <row r="1118" customFormat="false" ht="15" hidden="true" customHeight="false" outlineLevel="0" collapsed="false">
      <c r="A1118" s="196" t="s">
        <v>1764</v>
      </c>
      <c r="B1118" s="149" t="s">
        <v>593</v>
      </c>
      <c r="C1118" s="148" t="s">
        <v>3659</v>
      </c>
      <c r="D1118" s="148"/>
      <c r="E1118" s="148"/>
      <c r="F1118" s="148"/>
      <c r="G1118" s="193"/>
      <c r="H1118" s="105" t="n">
        <f aca="false">'[2]$ зима'!j1118-'[2]$ зима'!au1118-'[2]$ зима'!at1118-'[2]$ зима'!as1118-'[2]$ зима'!ar1118-'[2]$ зима'!aq1118-'[2]$ зима'!ap1118-'[2]$ зима'!an1118-'[2]$ зима'!am1118-'[2]$ зима'!al1118-'[2]$ зима'!ak1118-'[2]$ зима'!aj1118-'[2]$ зима'!ah1118-'[2]$ зима'!ag1118-'[2]$ зима'!af1118-'[2]$ зима'!ae1118-'[2]$ зима'!ad1118-'[2]$ зима'!ab1118-'[2]$ зима'!aa1118-'[2]$ зима'!z1118-'[2]$ зима'!y1118-'[2]$ зима'!x1118-'[2]$ зима'!v1118-'[2]$ зима'!u1118-'[2]$ зима'!t1118-'[2]$ зима'!s1118-'[2]$ зима'!r1118-'[2]$ зима'!p1118-'[2]$ зима'!o1118-'[2]$ зима'!n1118-'[2]$ зима'!m1118-'[2]$ зима'!l1118+'[2]$ зима'!q1118+'[2]$ зима'!w1118+'[2]$ зима'!ac1118+'[2]$ зима'!ai1118+'[2]$ зима'!ao1118+'[2]$ зима'!k1118</f>
        <v>0</v>
      </c>
      <c r="I1118" s="191" t="n">
        <f aca="false">'[2]$ зима'!ay1118*1.1</f>
        <v>3080</v>
      </c>
    </row>
    <row r="1119" customFormat="false" ht="15" hidden="true" customHeight="false" outlineLevel="0" collapsed="false">
      <c r="A1119" s="196" t="s">
        <v>1764</v>
      </c>
      <c r="B1119" s="149" t="s">
        <v>677</v>
      </c>
      <c r="C1119" s="148" t="s">
        <v>3454</v>
      </c>
      <c r="D1119" s="148" t="s">
        <v>3127</v>
      </c>
      <c r="E1119" s="148"/>
      <c r="F1119" s="148"/>
      <c r="G1119" s="193"/>
      <c r="H1119" s="105" t="n">
        <f aca="false">'[2]$ зима'!j1119-'[2]$ зима'!au1119-'[2]$ зима'!at1119-'[2]$ зима'!as1119-'[2]$ зима'!ar1119-'[2]$ зима'!aq1119-'[2]$ зима'!ap1119-'[2]$ зима'!an1119-'[2]$ зима'!am1119-'[2]$ зима'!al1119-'[2]$ зима'!ak1119-'[2]$ зима'!aj1119-'[2]$ зима'!ah1119-'[2]$ зима'!ag1119-'[2]$ зима'!af1119-'[2]$ зима'!ae1119-'[2]$ зима'!ad1119-'[2]$ зима'!ab1119-'[2]$ зима'!aa1119-'[2]$ зима'!z1119-'[2]$ зима'!y1119-'[2]$ зима'!x1119-'[2]$ зима'!v1119-'[2]$ зима'!u1119-'[2]$ зима'!t1119-'[2]$ зима'!s1119-'[2]$ зима'!r1119-'[2]$ зима'!p1119-'[2]$ зима'!o1119-'[2]$ зима'!n1119-'[2]$ зима'!m1119-'[2]$ зима'!l1119+'[2]$ зима'!q1119+'[2]$ зима'!w1119+'[2]$ зима'!ac1119+'[2]$ зима'!ai1119+'[2]$ зима'!ao1119+'[2]$ зима'!k1119</f>
        <v>0</v>
      </c>
      <c r="I1119" s="191" t="n">
        <f aca="false">'[2]$ зима'!ay1119*1.1</f>
        <v>2002</v>
      </c>
    </row>
    <row r="1120" customFormat="false" ht="15" hidden="true" customHeight="false" outlineLevel="0" collapsed="false">
      <c r="A1120" s="196" t="s">
        <v>1764</v>
      </c>
      <c r="B1120" s="149" t="s">
        <v>589</v>
      </c>
      <c r="C1120" s="148" t="s">
        <v>3660</v>
      </c>
      <c r="D1120" s="148"/>
      <c r="E1120" s="148"/>
      <c r="F1120" s="148"/>
      <c r="G1120" s="193" t="s">
        <v>626</v>
      </c>
      <c r="H1120" s="105" t="n">
        <f aca="false">'[2]$ зима'!j1120-'[2]$ зима'!au1120-'[2]$ зима'!at1120-'[2]$ зима'!as1120-'[2]$ зима'!ar1120-'[2]$ зима'!aq1120-'[2]$ зима'!ap1120-'[2]$ зима'!an1120-'[2]$ зима'!am1120-'[2]$ зима'!al1120-'[2]$ зима'!ak1120-'[2]$ зима'!aj1120-'[2]$ зима'!ah1120-'[2]$ зима'!ag1120-'[2]$ зима'!af1120-'[2]$ зима'!ae1120-'[2]$ зима'!ad1120-'[2]$ зима'!ab1120-'[2]$ зима'!aa1120-'[2]$ зима'!z1120-'[2]$ зима'!y1120-'[2]$ зима'!x1120-'[2]$ зима'!v1120-'[2]$ зима'!u1120-'[2]$ зима'!t1120-'[2]$ зима'!s1120-'[2]$ зима'!r1120-'[2]$ зима'!p1120-'[2]$ зима'!o1120-'[2]$ зима'!n1120-'[2]$ зима'!m1120-'[2]$ зима'!l1120+'[2]$ зима'!q1120+'[2]$ зима'!w1120+'[2]$ зима'!ac1120+'[2]$ зима'!ai1120+'[2]$ зима'!ao1120+'[2]$ зима'!k1120</f>
        <v>0</v>
      </c>
      <c r="I1120" s="191" t="n">
        <f aca="false">'[2]$ зима'!ay1120*1.1</f>
        <v>3735.6</v>
      </c>
    </row>
    <row r="1121" customFormat="false" ht="15" hidden="true" customHeight="false" outlineLevel="0" collapsed="false">
      <c r="A1121" s="196" t="s">
        <v>1769</v>
      </c>
      <c r="B1121" s="149" t="s">
        <v>568</v>
      </c>
      <c r="C1121" s="148" t="s">
        <v>3480</v>
      </c>
      <c r="D1121" s="148"/>
      <c r="E1121" s="148"/>
      <c r="F1121" s="148"/>
      <c r="G1121" s="193"/>
      <c r="H1121" s="105" t="n">
        <f aca="false">'[2]$ зима'!j1121-'[2]$ зима'!au1121-'[2]$ зима'!at1121-'[2]$ зима'!as1121-'[2]$ зима'!ar1121-'[2]$ зима'!aq1121-'[2]$ зима'!ap1121-'[2]$ зима'!an1121-'[2]$ зима'!am1121-'[2]$ зима'!al1121-'[2]$ зима'!ak1121-'[2]$ зима'!aj1121-'[2]$ зима'!ah1121-'[2]$ зима'!ag1121-'[2]$ зима'!af1121-'[2]$ зима'!ae1121-'[2]$ зима'!ad1121-'[2]$ зима'!ab1121-'[2]$ зима'!aa1121-'[2]$ зима'!z1121-'[2]$ зима'!y1121-'[2]$ зима'!x1121-'[2]$ зима'!v1121-'[2]$ зима'!u1121-'[2]$ зима'!t1121-'[2]$ зима'!s1121-'[2]$ зима'!r1121-'[2]$ зима'!p1121-'[2]$ зима'!o1121-'[2]$ зима'!n1121-'[2]$ зима'!m1121-'[2]$ зима'!l1121+'[2]$ зима'!q1121+'[2]$ зима'!w1121+'[2]$ зима'!ac1121+'[2]$ зима'!ai1121+'[2]$ зима'!ao1121+'[2]$ зима'!k1121</f>
        <v>0</v>
      </c>
      <c r="I1121" s="191" t="n">
        <f aca="false">'[2]$ зима'!ay1121*1.1</f>
        <v>3542</v>
      </c>
    </row>
    <row r="1122" customFormat="false" ht="15" hidden="false" customHeight="false" outlineLevel="0" collapsed="false">
      <c r="A1122" s="196" t="s">
        <v>1769</v>
      </c>
      <c r="B1122" s="149" t="s">
        <v>601</v>
      </c>
      <c r="C1122" s="148" t="s">
        <v>3482</v>
      </c>
      <c r="D1122" s="148"/>
      <c r="E1122" s="192"/>
      <c r="F1122" s="192"/>
      <c r="G1122" s="193"/>
      <c r="H1122" s="105" t="n">
        <f aca="false">'[2]$ зима'!j1122-'[2]$ зима'!au1122-'[2]$ зима'!at1122-'[2]$ зима'!as1122-'[2]$ зима'!ar1122-'[2]$ зима'!aq1122-'[2]$ зима'!ap1122-'[2]$ зима'!an1122-'[2]$ зима'!am1122-'[2]$ зима'!al1122-'[2]$ зима'!ak1122-'[2]$ зима'!aj1122-'[2]$ зима'!ah1122-'[2]$ зима'!ag1122-'[2]$ зима'!af1122-'[2]$ зима'!ae1122-'[2]$ зима'!ad1122-'[2]$ зима'!ab1122-'[2]$ зима'!aa1122-'[2]$ зима'!z1122-'[2]$ зима'!y1122-'[2]$ зима'!x1122-'[2]$ зима'!v1122-'[2]$ зима'!u1122-'[2]$ зима'!t1122-'[2]$ зима'!s1122-'[2]$ зима'!r1122-'[2]$ зима'!p1122-'[2]$ зима'!o1122-'[2]$ зима'!n1122-'[2]$ зима'!m1122-'[2]$ зима'!l1122+'[2]$ зима'!q1122+'[2]$ зима'!w1122+'[2]$ зима'!ac1122+'[2]$ зима'!ai1122+'[2]$ зима'!ao1122+'[2]$ зима'!k1122</f>
        <v>8</v>
      </c>
      <c r="I1122" s="191" t="n">
        <f aca="false">'[2]$ зима'!ay1122*1.1</f>
        <v>4219.6</v>
      </c>
    </row>
    <row r="1123" customFormat="false" ht="15" hidden="true" customHeight="false" outlineLevel="0" collapsed="false">
      <c r="A1123" s="196" t="s">
        <v>1769</v>
      </c>
      <c r="B1123" s="149" t="s">
        <v>557</v>
      </c>
      <c r="C1123" s="148" t="s">
        <v>3661</v>
      </c>
      <c r="D1123" s="148"/>
      <c r="E1123" s="148"/>
      <c r="F1123" s="148"/>
      <c r="G1123" s="193"/>
      <c r="H1123" s="105" t="n">
        <f aca="false">'[2]$ зима'!j1123-'[2]$ зима'!au1123-'[2]$ зима'!at1123-'[2]$ зима'!as1123-'[2]$ зима'!ar1123-'[2]$ зима'!aq1123-'[2]$ зима'!ap1123-'[2]$ зима'!an1123-'[2]$ зима'!am1123-'[2]$ зима'!al1123-'[2]$ зима'!ak1123-'[2]$ зима'!aj1123-'[2]$ зима'!ah1123-'[2]$ зима'!ag1123-'[2]$ зима'!af1123-'[2]$ зима'!ae1123-'[2]$ зима'!ad1123-'[2]$ зима'!ab1123-'[2]$ зима'!aa1123-'[2]$ зима'!z1123-'[2]$ зима'!y1123-'[2]$ зима'!x1123-'[2]$ зима'!v1123-'[2]$ зима'!u1123-'[2]$ зима'!t1123-'[2]$ зима'!s1123-'[2]$ зима'!r1123-'[2]$ зима'!p1123-'[2]$ зима'!o1123-'[2]$ зима'!n1123-'[2]$ зима'!m1123-'[2]$ зима'!l1123+'[2]$ зима'!q1123+'[2]$ зима'!w1123+'[2]$ зима'!ac1123+'[2]$ зима'!ai1123+'[2]$ зима'!ao1123+'[2]$ зима'!k1123</f>
        <v>0</v>
      </c>
      <c r="I1123" s="191" t="n">
        <f aca="false">'[2]$ зима'!ay1123*1.1</f>
        <v>3234</v>
      </c>
    </row>
    <row r="1124" customFormat="false" ht="15" hidden="true" customHeight="false" outlineLevel="0" collapsed="false">
      <c r="A1124" s="188" t="s">
        <v>1769</v>
      </c>
      <c r="B1124" s="149" t="s">
        <v>2480</v>
      </c>
      <c r="C1124" s="148" t="s">
        <v>3587</v>
      </c>
      <c r="D1124" s="148"/>
      <c r="E1124" s="148"/>
      <c r="F1124" s="148"/>
      <c r="G1124" s="193"/>
      <c r="H1124" s="105" t="n">
        <f aca="false">'[2]$ зима'!j1124-'[2]$ зима'!au1124-'[2]$ зима'!at1124-'[2]$ зима'!as1124-'[2]$ зима'!ar1124-'[2]$ зима'!aq1124-'[2]$ зима'!ap1124-'[2]$ зима'!an1124-'[2]$ зима'!am1124-'[2]$ зима'!al1124-'[2]$ зима'!ak1124-'[2]$ зима'!aj1124-'[2]$ зима'!ah1124-'[2]$ зима'!ag1124-'[2]$ зима'!af1124-'[2]$ зима'!ae1124-'[2]$ зима'!ad1124-'[2]$ зима'!ab1124-'[2]$ зима'!aa1124-'[2]$ зима'!z1124-'[2]$ зима'!y1124-'[2]$ зима'!x1124-'[2]$ зима'!v1124-'[2]$ зима'!u1124-'[2]$ зима'!t1124-'[2]$ зима'!s1124-'[2]$ зима'!r1124-'[2]$ зима'!p1124-'[2]$ зима'!o1124-'[2]$ зима'!n1124-'[2]$ зима'!m1124-'[2]$ зима'!l1124+'[2]$ зима'!q1124+'[2]$ зима'!w1124+'[2]$ зима'!ac1124+'[2]$ зима'!ai1124+'[2]$ зима'!ao1124+'[2]$ зима'!k1124</f>
        <v>0</v>
      </c>
      <c r="I1124" s="191" t="n">
        <f aca="false">'[2]$ зима'!ay1124*1.1</f>
        <v>3080</v>
      </c>
    </row>
    <row r="1125" customFormat="false" ht="15" hidden="true" customHeight="false" outlineLevel="0" collapsed="false">
      <c r="A1125" s="188" t="s">
        <v>1769</v>
      </c>
      <c r="B1125" s="149" t="s">
        <v>948</v>
      </c>
      <c r="C1125" s="148" t="s">
        <v>3662</v>
      </c>
      <c r="D1125" s="148"/>
      <c r="E1125" s="148"/>
      <c r="F1125" s="148"/>
      <c r="G1125" s="193"/>
      <c r="H1125" s="105" t="n">
        <f aca="false">'[2]$ зима'!j1125-'[2]$ зима'!au1125-'[2]$ зима'!at1125-'[2]$ зима'!as1125-'[2]$ зима'!ar1125-'[2]$ зима'!aq1125-'[2]$ зима'!ap1125-'[2]$ зима'!an1125-'[2]$ зима'!am1125-'[2]$ зима'!al1125-'[2]$ зима'!ak1125-'[2]$ зима'!aj1125-'[2]$ зима'!ah1125-'[2]$ зима'!ag1125-'[2]$ зима'!af1125-'[2]$ зима'!ae1125-'[2]$ зима'!ad1125-'[2]$ зима'!ab1125-'[2]$ зима'!aa1125-'[2]$ зима'!z1125-'[2]$ зима'!y1125-'[2]$ зима'!x1125-'[2]$ зима'!v1125-'[2]$ зима'!u1125-'[2]$ зима'!t1125-'[2]$ зима'!s1125-'[2]$ зима'!r1125-'[2]$ зима'!p1125-'[2]$ зима'!o1125-'[2]$ зима'!n1125-'[2]$ зима'!m1125-'[2]$ зима'!l1125+'[2]$ зима'!q1125+'[2]$ зима'!w1125+'[2]$ зима'!ac1125+'[2]$ зима'!ai1125+'[2]$ зима'!ao1125+'[2]$ зима'!k1125</f>
        <v>0</v>
      </c>
      <c r="I1125" s="191" t="n">
        <f aca="false">'[2]$ зима'!ay1125*1.1</f>
        <v>3850</v>
      </c>
    </row>
    <row r="1126" customFormat="false" ht="15" hidden="true" customHeight="false" outlineLevel="0" collapsed="false">
      <c r="A1126" s="188" t="s">
        <v>1769</v>
      </c>
      <c r="B1126" s="149" t="s">
        <v>606</v>
      </c>
      <c r="C1126" s="148" t="s">
        <v>3663</v>
      </c>
      <c r="D1126" s="148"/>
      <c r="E1126" s="148"/>
      <c r="F1126" s="148"/>
      <c r="G1126" s="193"/>
      <c r="H1126" s="105" t="n">
        <f aca="false">'[2]$ зима'!j1126-'[2]$ зима'!au1126-'[2]$ зима'!at1126-'[2]$ зима'!as1126-'[2]$ зима'!ar1126-'[2]$ зима'!aq1126-'[2]$ зима'!ap1126-'[2]$ зима'!an1126-'[2]$ зима'!am1126-'[2]$ зима'!al1126-'[2]$ зима'!ak1126-'[2]$ зима'!aj1126-'[2]$ зима'!ah1126-'[2]$ зима'!ag1126-'[2]$ зима'!af1126-'[2]$ зима'!ae1126-'[2]$ зима'!ad1126-'[2]$ зима'!ab1126-'[2]$ зима'!aa1126-'[2]$ зима'!z1126-'[2]$ зима'!y1126-'[2]$ зима'!x1126-'[2]$ зима'!v1126-'[2]$ зима'!u1126-'[2]$ зима'!t1126-'[2]$ зима'!s1126-'[2]$ зима'!r1126-'[2]$ зима'!p1126-'[2]$ зима'!o1126-'[2]$ зима'!n1126-'[2]$ зима'!m1126-'[2]$ зима'!l1126+'[2]$ зима'!q1126+'[2]$ зима'!w1126+'[2]$ зима'!ac1126+'[2]$ зима'!ai1126+'[2]$ зима'!ao1126+'[2]$ зима'!k1126</f>
        <v>0</v>
      </c>
      <c r="I1126" s="191" t="n">
        <f aca="false">'[2]$ зима'!ay1126*1.1</f>
        <v>2864.4</v>
      </c>
      <c r="J1126" s="171" t="n">
        <v>2017</v>
      </c>
    </row>
    <row r="1127" customFormat="false" ht="15" hidden="false" customHeight="false" outlineLevel="0" collapsed="false">
      <c r="A1127" s="188" t="s">
        <v>1769</v>
      </c>
      <c r="B1127" s="149" t="s">
        <v>606</v>
      </c>
      <c r="C1127" s="148" t="s">
        <v>3459</v>
      </c>
      <c r="D1127" s="148"/>
      <c r="E1127" s="192"/>
      <c r="F1127" s="192" t="s">
        <v>3286</v>
      </c>
      <c r="G1127" s="193"/>
      <c r="H1127" s="105" t="n">
        <f aca="false">'[2]$ зима'!j1127-'[2]$ зима'!au1127-'[2]$ зима'!at1127-'[2]$ зима'!as1127-'[2]$ зима'!ar1127-'[2]$ зима'!aq1127-'[2]$ зима'!ap1127-'[2]$ зима'!an1127-'[2]$ зима'!am1127-'[2]$ зима'!al1127-'[2]$ зима'!ak1127-'[2]$ зима'!aj1127-'[2]$ зима'!ah1127-'[2]$ зима'!ag1127-'[2]$ зима'!af1127-'[2]$ зима'!ae1127-'[2]$ зима'!ad1127-'[2]$ зима'!ab1127-'[2]$ зима'!aa1127-'[2]$ зима'!z1127-'[2]$ зима'!y1127-'[2]$ зима'!x1127-'[2]$ зима'!v1127-'[2]$ зима'!u1127-'[2]$ зима'!t1127-'[2]$ зима'!s1127-'[2]$ зима'!r1127-'[2]$ зима'!p1127-'[2]$ зима'!o1127-'[2]$ зима'!n1127-'[2]$ зима'!m1127-'[2]$ зима'!l1127+'[2]$ зима'!q1127+'[2]$ зима'!w1127+'[2]$ зима'!ac1127+'[2]$ зима'!ai1127+'[2]$ зима'!ao1127+'[2]$ зима'!k1127</f>
        <v>4</v>
      </c>
      <c r="I1127" s="191" t="n">
        <f aca="false">'[2]$ зима'!ay1127*1.1</f>
        <v>2679.6</v>
      </c>
    </row>
    <row r="1128" customFormat="false" ht="15" hidden="false" customHeight="false" outlineLevel="0" collapsed="false">
      <c r="A1128" s="188" t="s">
        <v>1769</v>
      </c>
      <c r="B1128" s="149" t="s">
        <v>668</v>
      </c>
      <c r="C1128" s="148" t="s">
        <v>3664</v>
      </c>
      <c r="D1128" s="148"/>
      <c r="E1128" s="192"/>
      <c r="F1128" s="192"/>
      <c r="G1128" s="193"/>
      <c r="H1128" s="105" t="n">
        <f aca="false">'[2]$ зима'!j1128-'[2]$ зима'!au1128-'[2]$ зима'!at1128-'[2]$ зима'!as1128-'[2]$ зима'!ar1128-'[2]$ зима'!aq1128-'[2]$ зима'!ap1128-'[2]$ зима'!an1128-'[2]$ зима'!am1128-'[2]$ зима'!al1128-'[2]$ зима'!ak1128-'[2]$ зима'!aj1128-'[2]$ зима'!ah1128-'[2]$ зима'!ag1128-'[2]$ зима'!af1128-'[2]$ зима'!ae1128-'[2]$ зима'!ad1128-'[2]$ зима'!ab1128-'[2]$ зима'!aa1128-'[2]$ зима'!z1128-'[2]$ зима'!y1128-'[2]$ зима'!x1128-'[2]$ зима'!v1128-'[2]$ зима'!u1128-'[2]$ зима'!t1128-'[2]$ зима'!s1128-'[2]$ зима'!r1128-'[2]$ зима'!p1128-'[2]$ зима'!o1128-'[2]$ зима'!n1128-'[2]$ зима'!m1128-'[2]$ зима'!l1128+'[2]$ зима'!q1128+'[2]$ зима'!w1128+'[2]$ зима'!ac1128+'[2]$ зима'!ai1128+'[2]$ зима'!ao1128+'[2]$ зима'!k1128</f>
        <v>2</v>
      </c>
      <c r="I1128" s="191" t="n">
        <f aca="false">'[2]$ зима'!ay1128*1.1</f>
        <v>2156</v>
      </c>
    </row>
    <row r="1129" customFormat="false" ht="15" hidden="false" customHeight="false" outlineLevel="0" collapsed="false">
      <c r="A1129" s="188" t="s">
        <v>1769</v>
      </c>
      <c r="B1129" s="149" t="s">
        <v>668</v>
      </c>
      <c r="C1129" s="194" t="s">
        <v>3402</v>
      </c>
      <c r="D1129" s="148"/>
      <c r="E1129" s="192"/>
      <c r="F1129" s="192" t="s">
        <v>3286</v>
      </c>
      <c r="G1129" s="193"/>
      <c r="H1129" s="105" t="n">
        <f aca="false">'[2]$ зима'!j1129-'[2]$ зима'!au1129-'[2]$ зима'!at1129-'[2]$ зима'!as1129-'[2]$ зима'!ar1129-'[2]$ зима'!aq1129-'[2]$ зима'!ap1129-'[2]$ зима'!an1129-'[2]$ зима'!am1129-'[2]$ зима'!al1129-'[2]$ зима'!ak1129-'[2]$ зима'!aj1129-'[2]$ зима'!ah1129-'[2]$ зима'!ag1129-'[2]$ зима'!af1129-'[2]$ зима'!ae1129-'[2]$ зима'!ad1129-'[2]$ зима'!ab1129-'[2]$ зима'!aa1129-'[2]$ зима'!z1129-'[2]$ зима'!y1129-'[2]$ зима'!x1129-'[2]$ зима'!v1129-'[2]$ зима'!u1129-'[2]$ зима'!t1129-'[2]$ зима'!s1129-'[2]$ зима'!r1129-'[2]$ зима'!p1129-'[2]$ зима'!o1129-'[2]$ зима'!n1129-'[2]$ зима'!m1129-'[2]$ зима'!l1129+'[2]$ зима'!q1129+'[2]$ зима'!w1129+'[2]$ зима'!ac1129+'[2]$ зима'!ai1129+'[2]$ зима'!ao1129+'[2]$ зима'!k1129</f>
        <v>8</v>
      </c>
      <c r="I1129" s="191" t="n">
        <f aca="false">'[2]$ зима'!ay1129*1.1</f>
        <v>2464</v>
      </c>
      <c r="J1129" s="171" t="n">
        <v>2017</v>
      </c>
    </row>
    <row r="1130" customFormat="false" ht="15" hidden="false" customHeight="false" outlineLevel="0" collapsed="false">
      <c r="A1130" s="188" t="s">
        <v>1769</v>
      </c>
      <c r="B1130" s="149" t="s">
        <v>577</v>
      </c>
      <c r="C1130" s="148" t="s">
        <v>3234</v>
      </c>
      <c r="D1130" s="148"/>
      <c r="E1130" s="192" t="n">
        <v>108</v>
      </c>
      <c r="F1130" s="192" t="s">
        <v>562</v>
      </c>
      <c r="G1130" s="193" t="s">
        <v>563</v>
      </c>
      <c r="H1130" s="105" t="n">
        <f aca="false">'[2]$ зима'!j1130-'[2]$ зима'!au1130-'[2]$ зима'!at1130-'[2]$ зима'!as1130-'[2]$ зима'!ar1130-'[2]$ зима'!aq1130-'[2]$ зима'!ap1130-'[2]$ зима'!an1130-'[2]$ зима'!am1130-'[2]$ зима'!al1130-'[2]$ зима'!ak1130-'[2]$ зима'!aj1130-'[2]$ зима'!ah1130-'[2]$ зима'!ag1130-'[2]$ зима'!af1130-'[2]$ зима'!ae1130-'[2]$ зима'!ad1130-'[2]$ зима'!ab1130-'[2]$ зима'!aa1130-'[2]$ зима'!z1130-'[2]$ зима'!y1130-'[2]$ зима'!x1130-'[2]$ зима'!v1130-'[2]$ зима'!u1130-'[2]$ зима'!t1130-'[2]$ зима'!s1130-'[2]$ зима'!r1130-'[2]$ зима'!p1130-'[2]$ зима'!o1130-'[2]$ зима'!n1130-'[2]$ зима'!m1130-'[2]$ зима'!l1130+'[2]$ зима'!q1130+'[2]$ зима'!w1130+'[2]$ зима'!ac1130+'[2]$ зима'!ai1130+'[2]$ зима'!ao1130+'[2]$ зима'!k1130</f>
        <v>8</v>
      </c>
      <c r="I1130" s="191" t="n">
        <f aca="false">'[2]$ зима'!ay1130*1.1</f>
        <v>2340.8</v>
      </c>
      <c r="J1130" s="171" t="n">
        <v>2017</v>
      </c>
    </row>
    <row r="1131" customFormat="false" ht="15" hidden="true" customHeight="false" outlineLevel="0" collapsed="false">
      <c r="A1131" s="188" t="s">
        <v>1769</v>
      </c>
      <c r="B1131" s="149" t="s">
        <v>1471</v>
      </c>
      <c r="C1131" s="148" t="s">
        <v>3665</v>
      </c>
      <c r="D1131" s="148"/>
      <c r="E1131" s="148" t="n">
        <v>108</v>
      </c>
      <c r="F1131" s="148" t="s">
        <v>3220</v>
      </c>
      <c r="G1131" s="193" t="s">
        <v>857</v>
      </c>
      <c r="H1131" s="105" t="n">
        <f aca="false">'[2]$ зима'!j1131-'[2]$ зима'!au1131-'[2]$ зима'!at1131-'[2]$ зима'!as1131-'[2]$ зима'!ar1131-'[2]$ зима'!aq1131-'[2]$ зима'!ap1131-'[2]$ зима'!an1131-'[2]$ зима'!am1131-'[2]$ зима'!al1131-'[2]$ зима'!ak1131-'[2]$ зима'!aj1131-'[2]$ зима'!ah1131-'[2]$ зима'!ag1131-'[2]$ зима'!af1131-'[2]$ зима'!ae1131-'[2]$ зима'!ad1131-'[2]$ зима'!ab1131-'[2]$ зима'!aa1131-'[2]$ зима'!z1131-'[2]$ зима'!y1131-'[2]$ зима'!x1131-'[2]$ зима'!v1131-'[2]$ зима'!u1131-'[2]$ зима'!t1131-'[2]$ зима'!s1131-'[2]$ зима'!r1131-'[2]$ зима'!p1131-'[2]$ зима'!o1131-'[2]$ зима'!n1131-'[2]$ зима'!m1131-'[2]$ зима'!l1131+'[2]$ зима'!q1131+'[2]$ зима'!w1131+'[2]$ зима'!ac1131+'[2]$ зима'!ai1131+'[2]$ зима'!ao1131+'[2]$ зима'!k1131</f>
        <v>0</v>
      </c>
      <c r="I1131" s="191" t="n">
        <f aca="false">'[2]$ зима'!ay1131*1.1</f>
        <v>2618</v>
      </c>
      <c r="J1131" s="171" t="n">
        <v>2017</v>
      </c>
    </row>
    <row r="1132" customFormat="false" ht="15" hidden="true" customHeight="false" outlineLevel="0" collapsed="false">
      <c r="A1132" s="188" t="s">
        <v>1769</v>
      </c>
      <c r="B1132" s="149" t="s">
        <v>583</v>
      </c>
      <c r="C1132" s="148" t="s">
        <v>3313</v>
      </c>
      <c r="D1132" s="148"/>
      <c r="E1132" s="148"/>
      <c r="F1132" s="148"/>
      <c r="G1132" s="193"/>
      <c r="H1132" s="105" t="n">
        <f aca="false">'[2]$ зима'!j1132-'[2]$ зима'!au1132-'[2]$ зима'!at1132-'[2]$ зима'!as1132-'[2]$ зима'!ar1132-'[2]$ зима'!aq1132-'[2]$ зима'!ap1132-'[2]$ зима'!an1132-'[2]$ зима'!am1132-'[2]$ зима'!al1132-'[2]$ зима'!ak1132-'[2]$ зима'!aj1132-'[2]$ зима'!ah1132-'[2]$ зима'!ag1132-'[2]$ зима'!af1132-'[2]$ зима'!ae1132-'[2]$ зима'!ad1132-'[2]$ зима'!ab1132-'[2]$ зима'!aa1132-'[2]$ зима'!z1132-'[2]$ зима'!y1132-'[2]$ зима'!x1132-'[2]$ зима'!v1132-'[2]$ зима'!u1132-'[2]$ зима'!t1132-'[2]$ зима'!s1132-'[2]$ зима'!r1132-'[2]$ зима'!p1132-'[2]$ зима'!o1132-'[2]$ зима'!n1132-'[2]$ зима'!m1132-'[2]$ зима'!l1132+'[2]$ зима'!q1132+'[2]$ зима'!w1132+'[2]$ зима'!ac1132+'[2]$ зима'!ai1132+'[2]$ зима'!ao1132+'[2]$ зима'!k1132</f>
        <v>0</v>
      </c>
      <c r="I1132" s="191" t="n">
        <f aca="false">'[2]$ зима'!ay1132*1.1</f>
        <v>2464</v>
      </c>
    </row>
    <row r="1133" customFormat="false" ht="15" hidden="true" customHeight="false" outlineLevel="0" collapsed="false">
      <c r="A1133" s="196" t="s">
        <v>1769</v>
      </c>
      <c r="B1133" s="149" t="s">
        <v>593</v>
      </c>
      <c r="C1133" s="148" t="s">
        <v>3659</v>
      </c>
      <c r="D1133" s="148"/>
      <c r="E1133" s="148"/>
      <c r="F1133" s="148"/>
      <c r="G1133" s="193"/>
      <c r="H1133" s="105" t="n">
        <f aca="false">'[2]$ зима'!j1133-'[2]$ зима'!au1133-'[2]$ зима'!at1133-'[2]$ зима'!as1133-'[2]$ зима'!ar1133-'[2]$ зима'!aq1133-'[2]$ зима'!ap1133-'[2]$ зима'!an1133-'[2]$ зима'!am1133-'[2]$ зима'!al1133-'[2]$ зима'!ak1133-'[2]$ зима'!aj1133-'[2]$ зима'!ah1133-'[2]$ зима'!ag1133-'[2]$ зима'!af1133-'[2]$ зима'!ae1133-'[2]$ зима'!ad1133-'[2]$ зима'!ab1133-'[2]$ зима'!aa1133-'[2]$ зима'!z1133-'[2]$ зима'!y1133-'[2]$ зима'!x1133-'[2]$ зима'!v1133-'[2]$ зима'!u1133-'[2]$ зима'!t1133-'[2]$ зима'!s1133-'[2]$ зима'!r1133-'[2]$ зима'!p1133-'[2]$ зима'!o1133-'[2]$ зима'!n1133-'[2]$ зима'!m1133-'[2]$ зима'!l1133+'[2]$ зима'!q1133+'[2]$ зима'!w1133+'[2]$ зима'!ac1133+'[2]$ зима'!ai1133+'[2]$ зима'!ao1133+'[2]$ зима'!k1133</f>
        <v>0</v>
      </c>
      <c r="I1133" s="191" t="n">
        <f aca="false">'[2]$ зима'!ay1133*1.1</f>
        <v>3080</v>
      </c>
    </row>
    <row r="1134" customFormat="false" ht="15" hidden="false" customHeight="false" outlineLevel="0" collapsed="false">
      <c r="A1134" s="188" t="s">
        <v>1769</v>
      </c>
      <c r="B1134" s="149" t="s">
        <v>593</v>
      </c>
      <c r="C1134" s="148" t="s">
        <v>3666</v>
      </c>
      <c r="D1134" s="148" t="s">
        <v>3667</v>
      </c>
      <c r="E1134" s="192" t="n">
        <v>108</v>
      </c>
      <c r="F1134" s="192" t="s">
        <v>634</v>
      </c>
      <c r="G1134" s="193" t="s">
        <v>933</v>
      </c>
      <c r="H1134" s="105" t="n">
        <f aca="false">'[2]$ зима'!j1134-'[2]$ зима'!au1134-'[2]$ зима'!at1134-'[2]$ зима'!as1134-'[2]$ зима'!ar1134-'[2]$ зима'!aq1134-'[2]$ зима'!ap1134-'[2]$ зима'!an1134-'[2]$ зима'!am1134-'[2]$ зима'!al1134-'[2]$ зима'!ak1134-'[2]$ зима'!aj1134-'[2]$ зима'!ah1134-'[2]$ зима'!ag1134-'[2]$ зима'!af1134-'[2]$ зима'!ae1134-'[2]$ зима'!ad1134-'[2]$ зима'!ab1134-'[2]$ зима'!aa1134-'[2]$ зима'!z1134-'[2]$ зима'!y1134-'[2]$ зима'!x1134-'[2]$ зима'!v1134-'[2]$ зима'!u1134-'[2]$ зима'!t1134-'[2]$ зима'!s1134-'[2]$ зима'!r1134-'[2]$ зима'!p1134-'[2]$ зима'!o1134-'[2]$ зима'!n1134-'[2]$ зима'!m1134-'[2]$ зима'!l1134+'[2]$ зима'!q1134+'[2]$ зима'!w1134+'[2]$ зима'!ac1134+'[2]$ зима'!ai1134+'[2]$ зима'!ao1134+'[2]$ зима'!k1134</f>
        <v>4</v>
      </c>
      <c r="I1134" s="191" t="n">
        <f aca="false">'[2]$ зима'!ay1134*1.1</f>
        <v>3911.6</v>
      </c>
      <c r="J1134" s="171" t="n">
        <v>2015</v>
      </c>
    </row>
    <row r="1135" customFormat="false" ht="15" hidden="false" customHeight="false" outlineLevel="0" collapsed="false">
      <c r="A1135" s="188" t="s">
        <v>1769</v>
      </c>
      <c r="B1135" s="149" t="s">
        <v>593</v>
      </c>
      <c r="C1135" s="148" t="s">
        <v>3666</v>
      </c>
      <c r="D1135" s="148" t="s">
        <v>3667</v>
      </c>
      <c r="E1135" s="192" t="n">
        <v>108</v>
      </c>
      <c r="F1135" s="192" t="s">
        <v>634</v>
      </c>
      <c r="G1135" s="193" t="s">
        <v>933</v>
      </c>
      <c r="H1135" s="105" t="n">
        <f aca="false">'[2]$ зима'!j1135-'[2]$ зима'!au1135-'[2]$ зима'!at1135-'[2]$ зима'!as1135-'[2]$ зима'!ar1135-'[2]$ зима'!aq1135-'[2]$ зима'!ap1135-'[2]$ зима'!an1135-'[2]$ зима'!am1135-'[2]$ зима'!al1135-'[2]$ зима'!ak1135-'[2]$ зима'!aj1135-'[2]$ зима'!ah1135-'[2]$ зима'!ag1135-'[2]$ зима'!af1135-'[2]$ зима'!ae1135-'[2]$ зима'!ad1135-'[2]$ зима'!ab1135-'[2]$ зима'!aa1135-'[2]$ зима'!z1135-'[2]$ зима'!y1135-'[2]$ зима'!x1135-'[2]$ зима'!v1135-'[2]$ зима'!u1135-'[2]$ зима'!t1135-'[2]$ зима'!s1135-'[2]$ зима'!r1135-'[2]$ зима'!p1135-'[2]$ зима'!o1135-'[2]$ зима'!n1135-'[2]$ зима'!m1135-'[2]$ зима'!l1135+'[2]$ зима'!q1135+'[2]$ зима'!w1135+'[2]$ зима'!ac1135+'[2]$ зима'!ai1135+'[2]$ зима'!ao1135+'[2]$ зима'!k1135</f>
        <v>8</v>
      </c>
      <c r="I1135" s="191" t="n">
        <f aca="false">'[2]$ зима'!ay1135*1.1</f>
        <v>4065.6</v>
      </c>
      <c r="J1135" s="171" t="n">
        <v>2017</v>
      </c>
    </row>
    <row r="1136" customFormat="false" ht="15" hidden="false" customHeight="false" outlineLevel="0" collapsed="false">
      <c r="A1136" s="188" t="s">
        <v>1769</v>
      </c>
      <c r="B1136" s="149" t="s">
        <v>3142</v>
      </c>
      <c r="C1136" s="148" t="s">
        <v>3668</v>
      </c>
      <c r="D1136" s="148" t="s">
        <v>3127</v>
      </c>
      <c r="E1136" s="192"/>
      <c r="F1136" s="192"/>
      <c r="G1136" s="193"/>
      <c r="H1136" s="105" t="n">
        <f aca="false">'[2]$ зима'!j1136-'[2]$ зима'!au1136-'[2]$ зима'!at1136-'[2]$ зима'!as1136-'[2]$ зима'!ar1136-'[2]$ зима'!aq1136-'[2]$ зима'!ap1136-'[2]$ зима'!an1136-'[2]$ зима'!am1136-'[2]$ зима'!al1136-'[2]$ зима'!ak1136-'[2]$ зима'!aj1136-'[2]$ зима'!ah1136-'[2]$ зима'!ag1136-'[2]$ зима'!af1136-'[2]$ зима'!ae1136-'[2]$ зима'!ad1136-'[2]$ зима'!ab1136-'[2]$ зима'!aa1136-'[2]$ зима'!z1136-'[2]$ зима'!y1136-'[2]$ зима'!x1136-'[2]$ зима'!v1136-'[2]$ зима'!u1136-'[2]$ зима'!t1136-'[2]$ зима'!s1136-'[2]$ зима'!r1136-'[2]$ зима'!p1136-'[2]$ зима'!o1136-'[2]$ зима'!n1136-'[2]$ зима'!m1136-'[2]$ зима'!l1136+'[2]$ зима'!q1136+'[2]$ зима'!w1136+'[2]$ зима'!ac1136+'[2]$ зима'!ai1136+'[2]$ зима'!ao1136+'[2]$ зима'!k1136</f>
        <v>4</v>
      </c>
      <c r="I1136" s="191" t="n">
        <f aca="false">'[2]$ зима'!ay1136*1.1</f>
        <v>2371.6</v>
      </c>
      <c r="J1136" s="171" t="n">
        <v>2017</v>
      </c>
    </row>
    <row r="1137" customFormat="false" ht="15" hidden="true" customHeight="false" outlineLevel="0" collapsed="false">
      <c r="A1137" s="188" t="s">
        <v>1769</v>
      </c>
      <c r="B1137" s="149" t="s">
        <v>3142</v>
      </c>
      <c r="C1137" s="148" t="s">
        <v>3669</v>
      </c>
      <c r="D1137" s="148" t="s">
        <v>3127</v>
      </c>
      <c r="E1137" s="148"/>
      <c r="F1137" s="148"/>
      <c r="G1137" s="193"/>
      <c r="H1137" s="105" t="n">
        <f aca="false">'[2]$ зима'!j1137-'[2]$ зима'!au1137-'[2]$ зима'!at1137-'[2]$ зима'!as1137-'[2]$ зима'!ar1137-'[2]$ зима'!aq1137-'[2]$ зима'!ap1137-'[2]$ зима'!an1137-'[2]$ зима'!am1137-'[2]$ зима'!al1137-'[2]$ зима'!ak1137-'[2]$ зима'!aj1137-'[2]$ зима'!ah1137-'[2]$ зима'!ag1137-'[2]$ зима'!af1137-'[2]$ зима'!ae1137-'[2]$ зима'!ad1137-'[2]$ зима'!ab1137-'[2]$ зима'!aa1137-'[2]$ зима'!z1137-'[2]$ зима'!y1137-'[2]$ зима'!x1137-'[2]$ зима'!v1137-'[2]$ зима'!u1137-'[2]$ зима'!t1137-'[2]$ зима'!s1137-'[2]$ зима'!r1137-'[2]$ зима'!p1137-'[2]$ зима'!o1137-'[2]$ зима'!n1137-'[2]$ зима'!m1137-'[2]$ зима'!l1137+'[2]$ зима'!q1137+'[2]$ зима'!w1137+'[2]$ зима'!ac1137+'[2]$ зима'!ai1137+'[2]$ зима'!ao1137+'[2]$ зима'!k1137</f>
        <v>0</v>
      </c>
      <c r="I1137" s="191" t="n">
        <f aca="false">'[2]$ зима'!ay1137*1.1</f>
        <v>2310</v>
      </c>
    </row>
    <row r="1138" customFormat="false" ht="15" hidden="true" customHeight="false" outlineLevel="0" collapsed="false">
      <c r="A1138" s="188" t="s">
        <v>1769</v>
      </c>
      <c r="B1138" s="149" t="s">
        <v>3500</v>
      </c>
      <c r="C1138" s="148" t="s">
        <v>3670</v>
      </c>
      <c r="D1138" s="148"/>
      <c r="E1138" s="148"/>
      <c r="F1138" s="148"/>
      <c r="G1138" s="193"/>
      <c r="H1138" s="105" t="n">
        <f aca="false">'[2]$ зима'!j1138-'[2]$ зима'!au1138-'[2]$ зима'!at1138-'[2]$ зима'!as1138-'[2]$ зима'!ar1138-'[2]$ зима'!aq1138-'[2]$ зима'!ap1138-'[2]$ зима'!an1138-'[2]$ зима'!am1138-'[2]$ зима'!al1138-'[2]$ зима'!ak1138-'[2]$ зима'!aj1138-'[2]$ зима'!ah1138-'[2]$ зима'!ag1138-'[2]$ зима'!af1138-'[2]$ зима'!ae1138-'[2]$ зима'!ad1138-'[2]$ зима'!ab1138-'[2]$ зима'!aa1138-'[2]$ зима'!z1138-'[2]$ зима'!y1138-'[2]$ зима'!x1138-'[2]$ зима'!v1138-'[2]$ зима'!u1138-'[2]$ зима'!t1138-'[2]$ зима'!s1138-'[2]$ зима'!r1138-'[2]$ зима'!p1138-'[2]$ зима'!o1138-'[2]$ зима'!n1138-'[2]$ зима'!m1138-'[2]$ зима'!l1138+'[2]$ зима'!q1138+'[2]$ зима'!w1138+'[2]$ зима'!ac1138+'[2]$ зима'!ai1138+'[2]$ зима'!ao1138+'[2]$ зима'!k1138</f>
        <v>0</v>
      </c>
      <c r="I1138" s="191" t="n">
        <f aca="false">'[2]$ зима'!ay1138*1.1</f>
        <v>1848</v>
      </c>
    </row>
    <row r="1139" customFormat="false" ht="15" hidden="true" customHeight="false" outlineLevel="0" collapsed="false">
      <c r="A1139" s="188" t="s">
        <v>1769</v>
      </c>
      <c r="B1139" s="149" t="s">
        <v>589</v>
      </c>
      <c r="C1139" s="148" t="s">
        <v>3455</v>
      </c>
      <c r="D1139" s="148"/>
      <c r="E1139" s="148"/>
      <c r="F1139" s="148"/>
      <c r="G1139" s="193" t="s">
        <v>626</v>
      </c>
      <c r="H1139" s="105" t="n">
        <f aca="false">'[2]$ зима'!j1139-'[2]$ зима'!au1139-'[2]$ зима'!at1139-'[2]$ зима'!as1139-'[2]$ зима'!ar1139-'[2]$ зима'!aq1139-'[2]$ зима'!ap1139-'[2]$ зима'!an1139-'[2]$ зима'!am1139-'[2]$ зима'!al1139-'[2]$ зима'!ak1139-'[2]$ зима'!aj1139-'[2]$ зима'!ah1139-'[2]$ зима'!ag1139-'[2]$ зима'!af1139-'[2]$ зима'!ae1139-'[2]$ зима'!ad1139-'[2]$ зима'!ab1139-'[2]$ зима'!aa1139-'[2]$ зима'!z1139-'[2]$ зима'!y1139-'[2]$ зима'!x1139-'[2]$ зима'!v1139-'[2]$ зима'!u1139-'[2]$ зима'!t1139-'[2]$ зима'!s1139-'[2]$ зима'!r1139-'[2]$ зима'!p1139-'[2]$ зима'!o1139-'[2]$ зима'!n1139-'[2]$ зима'!m1139-'[2]$ зима'!l1139+'[2]$ зима'!q1139+'[2]$ зима'!w1139+'[2]$ зима'!ac1139+'[2]$ зима'!ai1139+'[2]$ зима'!ao1139+'[2]$ зима'!k1139</f>
        <v>0</v>
      </c>
      <c r="I1139" s="191" t="n">
        <f aca="false">'[2]$ зима'!ay1139*1.1</f>
        <v>2490.4</v>
      </c>
      <c r="J1139" s="171" t="n">
        <v>2013</v>
      </c>
    </row>
    <row r="1140" customFormat="false" ht="15" hidden="true" customHeight="false" outlineLevel="0" collapsed="false">
      <c r="A1140" s="188" t="s">
        <v>1769</v>
      </c>
      <c r="B1140" s="149" t="s">
        <v>589</v>
      </c>
      <c r="C1140" s="148" t="s">
        <v>3671</v>
      </c>
      <c r="D1140" s="148"/>
      <c r="E1140" s="148"/>
      <c r="F1140" s="148"/>
      <c r="G1140" s="193" t="s">
        <v>626</v>
      </c>
      <c r="H1140" s="105" t="n">
        <f aca="false">'[2]$ зима'!j1140-'[2]$ зима'!au1140-'[2]$ зима'!at1140-'[2]$ зима'!as1140-'[2]$ зима'!ar1140-'[2]$ зима'!aq1140-'[2]$ зима'!ap1140-'[2]$ зима'!an1140-'[2]$ зима'!am1140-'[2]$ зима'!al1140-'[2]$ зима'!ak1140-'[2]$ зима'!aj1140-'[2]$ зима'!ah1140-'[2]$ зима'!ag1140-'[2]$ зима'!af1140-'[2]$ зима'!ae1140-'[2]$ зима'!ad1140-'[2]$ зима'!ab1140-'[2]$ зима'!aa1140-'[2]$ зима'!z1140-'[2]$ зима'!y1140-'[2]$ зима'!x1140-'[2]$ зима'!v1140-'[2]$ зима'!u1140-'[2]$ зима'!t1140-'[2]$ зима'!s1140-'[2]$ зима'!r1140-'[2]$ зима'!p1140-'[2]$ зима'!o1140-'[2]$ зима'!n1140-'[2]$ зима'!m1140-'[2]$ зима'!l1140+'[2]$ зима'!q1140+'[2]$ зима'!w1140+'[2]$ зима'!ac1140+'[2]$ зима'!ai1140+'[2]$ зима'!ao1140+'[2]$ зима'!k1140</f>
        <v>0</v>
      </c>
      <c r="I1140" s="191" t="n">
        <f aca="false">'[2]$ зима'!ay1140*1.1</f>
        <v>3268.65</v>
      </c>
    </row>
    <row r="1141" customFormat="false" ht="15" hidden="false" customHeight="false" outlineLevel="0" collapsed="false">
      <c r="A1141" s="188" t="s">
        <v>1769</v>
      </c>
      <c r="B1141" s="149" t="s">
        <v>589</v>
      </c>
      <c r="C1141" s="148" t="s">
        <v>3259</v>
      </c>
      <c r="D1141" s="148"/>
      <c r="E1141" s="192" t="n">
        <v>104</v>
      </c>
      <c r="F1141" s="192" t="s">
        <v>3207</v>
      </c>
      <c r="G1141" s="193" t="s">
        <v>626</v>
      </c>
      <c r="H1141" s="105" t="n">
        <f aca="false">'[2]$ зима'!j1141-'[2]$ зима'!au1141-'[2]$ зима'!at1141-'[2]$ зима'!as1141-'[2]$ зима'!ar1141-'[2]$ зима'!aq1141-'[2]$ зима'!ap1141-'[2]$ зима'!an1141-'[2]$ зима'!am1141-'[2]$ зима'!al1141-'[2]$ зима'!ak1141-'[2]$ зима'!aj1141-'[2]$ зима'!ah1141-'[2]$ зима'!ag1141-'[2]$ зима'!af1141-'[2]$ зима'!ae1141-'[2]$ зима'!ad1141-'[2]$ зима'!ab1141-'[2]$ зима'!aa1141-'[2]$ зима'!z1141-'[2]$ зима'!y1141-'[2]$ зима'!x1141-'[2]$ зима'!v1141-'[2]$ зима'!u1141-'[2]$ зима'!t1141-'[2]$ зима'!s1141-'[2]$ зима'!r1141-'[2]$ зима'!p1141-'[2]$ зима'!o1141-'[2]$ зима'!n1141-'[2]$ зима'!m1141-'[2]$ зима'!l1141+'[2]$ зима'!q1141+'[2]$ зима'!w1141+'[2]$ зима'!ac1141+'[2]$ зима'!ai1141+'[2]$ зима'!ao1141+'[2]$ зима'!k1141</f>
        <v>8</v>
      </c>
      <c r="I1141" s="191" t="n">
        <f aca="false">'[2]$ зима'!ay1141*1.1</f>
        <v>3373.92</v>
      </c>
      <c r="J1141" s="171" t="n">
        <v>2018</v>
      </c>
    </row>
    <row r="1142" customFormat="false" ht="15" hidden="false" customHeight="false" outlineLevel="0" collapsed="false">
      <c r="A1142" s="188" t="s">
        <v>1769</v>
      </c>
      <c r="B1142" s="149" t="s">
        <v>564</v>
      </c>
      <c r="C1142" s="148" t="s">
        <v>3438</v>
      </c>
      <c r="D1142" s="148"/>
      <c r="E1142" s="192" t="n">
        <v>108</v>
      </c>
      <c r="F1142" s="192" t="s">
        <v>832</v>
      </c>
      <c r="G1142" s="193" t="s">
        <v>520</v>
      </c>
      <c r="H1142" s="105" t="n">
        <f aca="false">'[2]$ зима'!j1142-'[2]$ зима'!au1142-'[2]$ зима'!at1142-'[2]$ зима'!as1142-'[2]$ зима'!ar1142-'[2]$ зима'!aq1142-'[2]$ зима'!ap1142-'[2]$ зима'!an1142-'[2]$ зима'!am1142-'[2]$ зима'!al1142-'[2]$ зима'!ak1142-'[2]$ зима'!aj1142-'[2]$ зима'!ah1142-'[2]$ зима'!ag1142-'[2]$ зима'!af1142-'[2]$ зима'!ae1142-'[2]$ зима'!ad1142-'[2]$ зима'!ab1142-'[2]$ зима'!aa1142-'[2]$ зима'!z1142-'[2]$ зима'!y1142-'[2]$ зима'!x1142-'[2]$ зима'!v1142-'[2]$ зима'!u1142-'[2]$ зима'!t1142-'[2]$ зима'!s1142-'[2]$ зима'!r1142-'[2]$ зима'!p1142-'[2]$ зима'!o1142-'[2]$ зима'!n1142-'[2]$ зима'!m1142-'[2]$ зима'!l1142+'[2]$ зима'!q1142+'[2]$ зима'!w1142+'[2]$ зима'!ac1142+'[2]$ зима'!ai1142+'[2]$ зима'!ao1142+'[2]$ зима'!k1142</f>
        <v>4</v>
      </c>
      <c r="I1142" s="191" t="n">
        <f aca="false">'[2]$ зима'!ay1142*1.1</f>
        <v>2063.6</v>
      </c>
      <c r="J1142" s="171" t="n">
        <v>2017</v>
      </c>
    </row>
    <row r="1143" customFormat="false" ht="15" hidden="true" customHeight="false" outlineLevel="0" collapsed="false">
      <c r="A1143" s="188" t="s">
        <v>1769</v>
      </c>
      <c r="B1143" s="149" t="s">
        <v>1028</v>
      </c>
      <c r="C1143" s="148" t="s">
        <v>3672</v>
      </c>
      <c r="D1143" s="148"/>
      <c r="E1143" s="148"/>
      <c r="F1143" s="148"/>
      <c r="G1143" s="193"/>
      <c r="H1143" s="105" t="n">
        <f aca="false">'[2]$ зима'!j1143-'[2]$ зима'!au1143-'[2]$ зима'!at1143-'[2]$ зима'!as1143-'[2]$ зима'!ar1143-'[2]$ зима'!aq1143-'[2]$ зима'!ap1143-'[2]$ зима'!an1143-'[2]$ зима'!am1143-'[2]$ зима'!al1143-'[2]$ зима'!ak1143-'[2]$ зима'!aj1143-'[2]$ зима'!ah1143-'[2]$ зима'!ag1143-'[2]$ зима'!af1143-'[2]$ зима'!ae1143-'[2]$ зима'!ad1143-'[2]$ зима'!ab1143-'[2]$ зима'!aa1143-'[2]$ зима'!z1143-'[2]$ зима'!y1143-'[2]$ зима'!x1143-'[2]$ зима'!v1143-'[2]$ зима'!u1143-'[2]$ зима'!t1143-'[2]$ зима'!s1143-'[2]$ зима'!r1143-'[2]$ зима'!p1143-'[2]$ зима'!o1143-'[2]$ зима'!n1143-'[2]$ зима'!m1143-'[2]$ зима'!l1143+'[2]$ зима'!q1143+'[2]$ зима'!w1143+'[2]$ зима'!ac1143+'[2]$ зима'!ai1143+'[2]$ зима'!ao1143+'[2]$ зима'!k1143</f>
        <v>0</v>
      </c>
      <c r="I1143" s="191" t="n">
        <f aca="false">'[2]$ зима'!ay1143*1.1</f>
        <v>3080</v>
      </c>
    </row>
    <row r="1144" customFormat="false" ht="15" hidden="true" customHeight="false" outlineLevel="0" collapsed="false">
      <c r="A1144" s="188" t="s">
        <v>1769</v>
      </c>
      <c r="B1144" s="149" t="s">
        <v>1028</v>
      </c>
      <c r="C1144" s="148" t="s">
        <v>3177</v>
      </c>
      <c r="D1144" s="148"/>
      <c r="E1144" s="148"/>
      <c r="F1144" s="148"/>
      <c r="G1144" s="193"/>
      <c r="H1144" s="105" t="n">
        <f aca="false">'[2]$ зима'!j1144-'[2]$ зима'!au1144-'[2]$ зима'!at1144-'[2]$ зима'!as1144-'[2]$ зима'!ar1144-'[2]$ зима'!aq1144-'[2]$ зима'!ap1144-'[2]$ зима'!an1144-'[2]$ зима'!am1144-'[2]$ зима'!al1144-'[2]$ зима'!ak1144-'[2]$ зима'!aj1144-'[2]$ зима'!ah1144-'[2]$ зима'!ag1144-'[2]$ зима'!af1144-'[2]$ зима'!ae1144-'[2]$ зима'!ad1144-'[2]$ зима'!ab1144-'[2]$ зима'!aa1144-'[2]$ зима'!z1144-'[2]$ зима'!y1144-'[2]$ зима'!x1144-'[2]$ зима'!v1144-'[2]$ зима'!u1144-'[2]$ зима'!t1144-'[2]$ зима'!s1144-'[2]$ зима'!r1144-'[2]$ зима'!p1144-'[2]$ зима'!o1144-'[2]$ зима'!n1144-'[2]$ зима'!m1144-'[2]$ зима'!l1144+'[2]$ зима'!q1144+'[2]$ зима'!w1144+'[2]$ зима'!ac1144+'[2]$ зима'!ai1144+'[2]$ зима'!ao1144+'[2]$ зима'!k1144</f>
        <v>0</v>
      </c>
      <c r="I1144" s="191" t="n">
        <f aca="false">'[2]$ зима'!ay1144*1.1</f>
        <v>2956.8</v>
      </c>
    </row>
    <row r="1145" customFormat="false" ht="15" hidden="true" customHeight="false" outlineLevel="0" collapsed="false">
      <c r="A1145" s="188" t="s">
        <v>1802</v>
      </c>
      <c r="B1145" s="149" t="s">
        <v>601</v>
      </c>
      <c r="C1145" s="148" t="s">
        <v>3650</v>
      </c>
      <c r="D1145" s="148"/>
      <c r="E1145" s="148"/>
      <c r="F1145" s="148"/>
      <c r="G1145" s="193"/>
      <c r="H1145" s="105" t="n">
        <f aca="false">'[2]$ зима'!j1145-'[2]$ зима'!au1145-'[2]$ зима'!at1145-'[2]$ зима'!as1145-'[2]$ зима'!ar1145-'[2]$ зима'!aq1145-'[2]$ зима'!ap1145-'[2]$ зима'!an1145-'[2]$ зима'!am1145-'[2]$ зима'!al1145-'[2]$ зима'!ak1145-'[2]$ зима'!aj1145-'[2]$ зима'!ah1145-'[2]$ зима'!ag1145-'[2]$ зима'!af1145-'[2]$ зима'!ae1145-'[2]$ зима'!ad1145-'[2]$ зима'!ab1145-'[2]$ зима'!aa1145-'[2]$ зима'!z1145-'[2]$ зима'!y1145-'[2]$ зима'!x1145-'[2]$ зима'!v1145-'[2]$ зима'!u1145-'[2]$ зима'!t1145-'[2]$ зима'!s1145-'[2]$ зима'!r1145-'[2]$ зима'!p1145-'[2]$ зима'!o1145-'[2]$ зима'!n1145-'[2]$ зима'!m1145-'[2]$ зима'!l1145+'[2]$ зима'!q1145+'[2]$ зима'!w1145+'[2]$ зима'!ac1145+'[2]$ зима'!ai1145+'[2]$ зима'!ao1145+'[2]$ зима'!k1145</f>
        <v>0</v>
      </c>
      <c r="I1145" s="191" t="n">
        <f aca="false">'[2]$ зима'!ay1145*1.1</f>
        <v>4065.6</v>
      </c>
    </row>
    <row r="1146" customFormat="false" ht="15" hidden="true" customHeight="false" outlineLevel="0" collapsed="false">
      <c r="A1146" s="188" t="s">
        <v>1802</v>
      </c>
      <c r="B1146" s="149" t="s">
        <v>1487</v>
      </c>
      <c r="C1146" s="148" t="s">
        <v>3643</v>
      </c>
      <c r="D1146" s="148"/>
      <c r="E1146" s="148"/>
      <c r="F1146" s="148"/>
      <c r="G1146" s="193" t="s">
        <v>3290</v>
      </c>
      <c r="H1146" s="105" t="n">
        <f aca="false">'[2]$ зима'!j1146-'[2]$ зима'!au1146-'[2]$ зима'!at1146-'[2]$ зима'!as1146-'[2]$ зима'!ar1146-'[2]$ зима'!aq1146-'[2]$ зима'!ap1146-'[2]$ зима'!an1146-'[2]$ зима'!am1146-'[2]$ зима'!al1146-'[2]$ зима'!ak1146-'[2]$ зима'!aj1146-'[2]$ зима'!ah1146-'[2]$ зима'!ag1146-'[2]$ зима'!af1146-'[2]$ зима'!ae1146-'[2]$ зима'!ad1146-'[2]$ зима'!ab1146-'[2]$ зима'!aa1146-'[2]$ зима'!z1146-'[2]$ зима'!y1146-'[2]$ зима'!x1146-'[2]$ зима'!v1146-'[2]$ зима'!u1146-'[2]$ зима'!t1146-'[2]$ зима'!s1146-'[2]$ зима'!r1146-'[2]$ зима'!p1146-'[2]$ зима'!o1146-'[2]$ зима'!n1146-'[2]$ зима'!m1146-'[2]$ зима'!l1146+'[2]$ зима'!q1146+'[2]$ зима'!w1146+'[2]$ зима'!ac1146+'[2]$ зима'!ai1146+'[2]$ зима'!ao1146+'[2]$ зима'!k1146</f>
        <v>0</v>
      </c>
      <c r="I1146" s="191" t="n">
        <f aca="false">'[2]$ зима'!ay1146*1.1</f>
        <v>2464</v>
      </c>
    </row>
    <row r="1147" customFormat="false" ht="15" hidden="false" customHeight="false" outlineLevel="0" collapsed="false">
      <c r="A1147" s="188" t="s">
        <v>1802</v>
      </c>
      <c r="B1147" s="149" t="s">
        <v>707</v>
      </c>
      <c r="C1147" s="148" t="s">
        <v>3673</v>
      </c>
      <c r="D1147" s="148"/>
      <c r="E1147" s="192"/>
      <c r="F1147" s="192"/>
      <c r="G1147" s="193"/>
      <c r="H1147" s="105" t="n">
        <f aca="false">'[2]$ зима'!j1147-'[2]$ зима'!au1147-'[2]$ зима'!at1147-'[2]$ зима'!as1147-'[2]$ зима'!ar1147-'[2]$ зима'!aq1147-'[2]$ зима'!ap1147-'[2]$ зима'!an1147-'[2]$ зима'!am1147-'[2]$ зима'!al1147-'[2]$ зима'!ak1147-'[2]$ зима'!aj1147-'[2]$ зима'!ah1147-'[2]$ зима'!ag1147-'[2]$ зима'!af1147-'[2]$ зима'!ae1147-'[2]$ зима'!ad1147-'[2]$ зима'!ab1147-'[2]$ зима'!aa1147-'[2]$ зима'!z1147-'[2]$ зима'!y1147-'[2]$ зима'!x1147-'[2]$ зима'!v1147-'[2]$ зима'!u1147-'[2]$ зима'!t1147-'[2]$ зима'!s1147-'[2]$ зима'!r1147-'[2]$ зима'!p1147-'[2]$ зима'!o1147-'[2]$ зима'!n1147-'[2]$ зима'!m1147-'[2]$ зима'!l1147+'[2]$ зима'!q1147+'[2]$ зима'!w1147+'[2]$ зима'!ac1147+'[2]$ зима'!ai1147+'[2]$ зима'!ao1147+'[2]$ зима'!k1147</f>
        <v>4</v>
      </c>
      <c r="I1147" s="191" t="n">
        <f aca="false">'[2]$ зима'!ay1147*1.1</f>
        <v>3388</v>
      </c>
    </row>
    <row r="1148" customFormat="false" ht="15" hidden="false" customHeight="false" outlineLevel="0" collapsed="false">
      <c r="A1148" s="188" t="s">
        <v>1802</v>
      </c>
      <c r="B1148" s="149" t="s">
        <v>606</v>
      </c>
      <c r="C1148" s="148" t="s">
        <v>3125</v>
      </c>
      <c r="D1148" s="148"/>
      <c r="E1148" s="192"/>
      <c r="F1148" s="192"/>
      <c r="G1148" s="193"/>
      <c r="H1148" s="105" t="n">
        <f aca="false">'[2]$ зима'!j1148-'[2]$ зима'!au1148-'[2]$ зима'!at1148-'[2]$ зима'!as1148-'[2]$ зима'!ar1148-'[2]$ зима'!aq1148-'[2]$ зима'!ap1148-'[2]$ зима'!an1148-'[2]$ зима'!am1148-'[2]$ зима'!al1148-'[2]$ зима'!ak1148-'[2]$ зима'!aj1148-'[2]$ зима'!ah1148-'[2]$ зима'!ag1148-'[2]$ зима'!af1148-'[2]$ зима'!ae1148-'[2]$ зима'!ad1148-'[2]$ зима'!ab1148-'[2]$ зима'!aa1148-'[2]$ зима'!z1148-'[2]$ зима'!y1148-'[2]$ зима'!x1148-'[2]$ зима'!v1148-'[2]$ зима'!u1148-'[2]$ зима'!t1148-'[2]$ зима'!s1148-'[2]$ зима'!r1148-'[2]$ зима'!p1148-'[2]$ зима'!o1148-'[2]$ зима'!n1148-'[2]$ зима'!m1148-'[2]$ зима'!l1148+'[2]$ зима'!q1148+'[2]$ зима'!w1148+'[2]$ зима'!ac1148+'[2]$ зима'!ai1148+'[2]$ зима'!ao1148+'[2]$ зима'!k1148</f>
        <v>8</v>
      </c>
      <c r="I1148" s="191" t="n">
        <f aca="false">'[2]$ зима'!ay1148*1.1</f>
        <v>3080</v>
      </c>
      <c r="J1148" s="171" t="n">
        <v>2014</v>
      </c>
    </row>
    <row r="1149" customFormat="false" ht="15" hidden="true" customHeight="false" outlineLevel="0" collapsed="false">
      <c r="A1149" s="188" t="s">
        <v>1802</v>
      </c>
      <c r="B1149" s="149" t="s">
        <v>606</v>
      </c>
      <c r="C1149" s="148" t="s">
        <v>3674</v>
      </c>
      <c r="D1149" s="148"/>
      <c r="E1149" s="148" t="n">
        <v>99</v>
      </c>
      <c r="F1149" s="148" t="s">
        <v>562</v>
      </c>
      <c r="G1149" s="193"/>
      <c r="H1149" s="105" t="n">
        <f aca="false">'[2]$ зима'!j1149-'[2]$ зима'!au1149-'[2]$ зима'!at1149-'[2]$ зима'!as1149-'[2]$ зима'!ar1149-'[2]$ зима'!aq1149-'[2]$ зима'!ap1149-'[2]$ зима'!an1149-'[2]$ зима'!am1149-'[2]$ зима'!al1149-'[2]$ зима'!ak1149-'[2]$ зима'!aj1149-'[2]$ зима'!ah1149-'[2]$ зима'!ag1149-'[2]$ зима'!af1149-'[2]$ зима'!ae1149-'[2]$ зима'!ad1149-'[2]$ зима'!ab1149-'[2]$ зима'!aa1149-'[2]$ зима'!z1149-'[2]$ зима'!y1149-'[2]$ зима'!x1149-'[2]$ зима'!v1149-'[2]$ зима'!u1149-'[2]$ зима'!t1149-'[2]$ зима'!s1149-'[2]$ зима'!r1149-'[2]$ зима'!p1149-'[2]$ зима'!o1149-'[2]$ зима'!n1149-'[2]$ зима'!m1149-'[2]$ зима'!l1149+'[2]$ зима'!q1149+'[2]$ зима'!w1149+'[2]$ зима'!ac1149+'[2]$ зима'!ai1149+'[2]$ зима'!ao1149+'[2]$ зима'!k1149</f>
        <v>0</v>
      </c>
      <c r="I1149" s="191" t="n">
        <f aca="false">'[2]$ зима'!ay1149*1.1</f>
        <v>3326.4</v>
      </c>
      <c r="J1149" s="171" t="n">
        <v>2017</v>
      </c>
    </row>
    <row r="1150" customFormat="false" ht="15" hidden="false" customHeight="false" outlineLevel="0" collapsed="false">
      <c r="A1150" s="188" t="s">
        <v>1802</v>
      </c>
      <c r="B1150" s="149" t="s">
        <v>668</v>
      </c>
      <c r="C1150" s="148" t="s">
        <v>3367</v>
      </c>
      <c r="D1150" s="148"/>
      <c r="E1150" s="192"/>
      <c r="F1150" s="192"/>
      <c r="G1150" s="193"/>
      <c r="H1150" s="105" t="n">
        <f aca="false">'[2]$ зима'!j1150-'[2]$ зима'!au1150-'[2]$ зима'!at1150-'[2]$ зима'!as1150-'[2]$ зима'!ar1150-'[2]$ зима'!aq1150-'[2]$ зима'!ap1150-'[2]$ зима'!an1150-'[2]$ зима'!am1150-'[2]$ зима'!al1150-'[2]$ зима'!ak1150-'[2]$ зима'!aj1150-'[2]$ зима'!ah1150-'[2]$ зима'!ag1150-'[2]$ зима'!af1150-'[2]$ зима'!ae1150-'[2]$ зима'!ad1150-'[2]$ зима'!ab1150-'[2]$ зима'!aa1150-'[2]$ зима'!z1150-'[2]$ зима'!y1150-'[2]$ зима'!x1150-'[2]$ зима'!v1150-'[2]$ зима'!u1150-'[2]$ зима'!t1150-'[2]$ зима'!s1150-'[2]$ зима'!r1150-'[2]$ зима'!p1150-'[2]$ зима'!o1150-'[2]$ зима'!n1150-'[2]$ зима'!m1150-'[2]$ зима'!l1150+'[2]$ зима'!q1150+'[2]$ зима'!w1150+'[2]$ зима'!ac1150+'[2]$ зима'!ai1150+'[2]$ зима'!ao1150+'[2]$ зима'!k1150</f>
        <v>4</v>
      </c>
      <c r="I1150" s="191" t="n">
        <f aca="false">'[2]$ зима'!ay1150*1.1</f>
        <v>2833.6</v>
      </c>
    </row>
    <row r="1151" customFormat="false" ht="15" hidden="true" customHeight="false" outlineLevel="0" collapsed="false">
      <c r="A1151" s="188" t="s">
        <v>1802</v>
      </c>
      <c r="B1151" s="149" t="s">
        <v>574</v>
      </c>
      <c r="C1151" s="148" t="s">
        <v>3199</v>
      </c>
      <c r="D1151" s="148"/>
      <c r="E1151" s="148"/>
      <c r="F1151" s="148"/>
      <c r="G1151" s="193" t="s">
        <v>576</v>
      </c>
      <c r="H1151" s="105" t="n">
        <f aca="false">'[2]$ зима'!j1151-'[2]$ зима'!au1151-'[2]$ зима'!at1151-'[2]$ зима'!as1151-'[2]$ зима'!ar1151-'[2]$ зима'!aq1151-'[2]$ зима'!ap1151-'[2]$ зима'!an1151-'[2]$ зима'!am1151-'[2]$ зима'!al1151-'[2]$ зима'!ak1151-'[2]$ зима'!aj1151-'[2]$ зима'!ah1151-'[2]$ зима'!ag1151-'[2]$ зима'!af1151-'[2]$ зима'!ae1151-'[2]$ зима'!ad1151-'[2]$ зима'!ab1151-'[2]$ зима'!aa1151-'[2]$ зима'!z1151-'[2]$ зима'!y1151-'[2]$ зима'!x1151-'[2]$ зима'!v1151-'[2]$ зима'!u1151-'[2]$ зима'!t1151-'[2]$ зима'!s1151-'[2]$ зима'!r1151-'[2]$ зима'!p1151-'[2]$ зима'!o1151-'[2]$ зима'!n1151-'[2]$ зима'!m1151-'[2]$ зима'!l1151+'[2]$ зима'!q1151+'[2]$ зима'!w1151+'[2]$ зима'!ac1151+'[2]$ зима'!ai1151+'[2]$ зима'!ao1151+'[2]$ зима'!k1151</f>
        <v>0</v>
      </c>
      <c r="I1151" s="191" t="n">
        <f aca="false">'[2]$ зима'!ay1151*1.1</f>
        <v>1556.5</v>
      </c>
    </row>
    <row r="1152" customFormat="false" ht="15" hidden="false" customHeight="false" outlineLevel="0" collapsed="false">
      <c r="A1152" s="188" t="s">
        <v>1802</v>
      </c>
      <c r="B1152" s="149" t="s">
        <v>574</v>
      </c>
      <c r="C1152" s="148" t="s">
        <v>3200</v>
      </c>
      <c r="D1152" s="148"/>
      <c r="E1152" s="192"/>
      <c r="F1152" s="192"/>
      <c r="G1152" s="193" t="s">
        <v>576</v>
      </c>
      <c r="H1152" s="105" t="n">
        <f aca="false">'[2]$ зима'!j1152-'[2]$ зима'!au1152-'[2]$ зима'!at1152-'[2]$ зима'!as1152-'[2]$ зима'!ar1152-'[2]$ зима'!aq1152-'[2]$ зима'!ap1152-'[2]$ зима'!an1152-'[2]$ зима'!am1152-'[2]$ зима'!al1152-'[2]$ зима'!ak1152-'[2]$ зима'!aj1152-'[2]$ зима'!ah1152-'[2]$ зима'!ag1152-'[2]$ зима'!af1152-'[2]$ зима'!ae1152-'[2]$ зима'!ad1152-'[2]$ зима'!ab1152-'[2]$ зима'!aa1152-'[2]$ зима'!z1152-'[2]$ зима'!y1152-'[2]$ зима'!x1152-'[2]$ зима'!v1152-'[2]$ зима'!u1152-'[2]$ зима'!t1152-'[2]$ зима'!s1152-'[2]$ зима'!r1152-'[2]$ зима'!p1152-'[2]$ зима'!o1152-'[2]$ зима'!n1152-'[2]$ зима'!m1152-'[2]$ зима'!l1152+'[2]$ зима'!q1152+'[2]$ зима'!w1152+'[2]$ зима'!ac1152+'[2]$ зима'!ai1152+'[2]$ зима'!ao1152+'[2]$ зима'!k1152</f>
        <v>4</v>
      </c>
      <c r="I1152" s="191" t="n">
        <f aca="false">'[2]$ зима'!ay1152*1.1</f>
        <v>2749.12</v>
      </c>
    </row>
    <row r="1153" customFormat="false" ht="15" hidden="true" customHeight="false" outlineLevel="0" collapsed="false">
      <c r="A1153" s="188" t="s">
        <v>1802</v>
      </c>
      <c r="B1153" s="149" t="s">
        <v>593</v>
      </c>
      <c r="C1153" s="148" t="s">
        <v>3675</v>
      </c>
      <c r="D1153" s="148"/>
      <c r="E1153" s="148" t="n">
        <v>99</v>
      </c>
      <c r="F1153" s="148" t="s">
        <v>814</v>
      </c>
      <c r="G1153" s="193" t="s">
        <v>1954</v>
      </c>
      <c r="H1153" s="105" t="n">
        <f aca="false">'[2]$ зима'!j1153-'[2]$ зима'!au1153-'[2]$ зима'!at1153-'[2]$ зима'!as1153-'[2]$ зима'!ar1153-'[2]$ зима'!aq1153-'[2]$ зима'!ap1153-'[2]$ зима'!an1153-'[2]$ зима'!am1153-'[2]$ зима'!al1153-'[2]$ зима'!ak1153-'[2]$ зима'!aj1153-'[2]$ зима'!ah1153-'[2]$ зима'!ag1153-'[2]$ зима'!af1153-'[2]$ зима'!ae1153-'[2]$ зима'!ad1153-'[2]$ зима'!ab1153-'[2]$ зима'!aa1153-'[2]$ зима'!z1153-'[2]$ зима'!y1153-'[2]$ зима'!x1153-'[2]$ зима'!v1153-'[2]$ зима'!u1153-'[2]$ зима'!t1153-'[2]$ зима'!s1153-'[2]$ зима'!r1153-'[2]$ зима'!p1153-'[2]$ зима'!o1153-'[2]$ зима'!n1153-'[2]$ зима'!m1153-'[2]$ зима'!l1153+'[2]$ зима'!q1153+'[2]$ зима'!w1153+'[2]$ зима'!ac1153+'[2]$ зима'!ai1153+'[2]$ зима'!ao1153+'[2]$ зима'!k1153</f>
        <v>0</v>
      </c>
      <c r="I1153" s="191" t="n">
        <f aca="false">'[2]$ зима'!ay1153*1.1</f>
        <v>4620</v>
      </c>
    </row>
    <row r="1154" customFormat="false" ht="15" hidden="false" customHeight="false" outlineLevel="0" collapsed="false">
      <c r="A1154" s="188" t="s">
        <v>1802</v>
      </c>
      <c r="B1154" s="149" t="s">
        <v>593</v>
      </c>
      <c r="C1154" s="148" t="s">
        <v>3188</v>
      </c>
      <c r="D1154" s="148"/>
      <c r="E1154" s="192"/>
      <c r="F1154" s="192"/>
      <c r="G1154" s="193"/>
      <c r="H1154" s="105" t="n">
        <f aca="false">'[2]$ зима'!j1154-'[2]$ зима'!au1154-'[2]$ зима'!at1154-'[2]$ зима'!as1154-'[2]$ зима'!ar1154-'[2]$ зима'!aq1154-'[2]$ зима'!ap1154-'[2]$ зима'!an1154-'[2]$ зима'!am1154-'[2]$ зима'!al1154-'[2]$ зима'!ak1154-'[2]$ зима'!aj1154-'[2]$ зима'!ah1154-'[2]$ зима'!ag1154-'[2]$ зима'!af1154-'[2]$ зима'!ae1154-'[2]$ зима'!ad1154-'[2]$ зима'!ab1154-'[2]$ зима'!aa1154-'[2]$ зима'!z1154-'[2]$ зима'!y1154-'[2]$ зима'!x1154-'[2]$ зима'!v1154-'[2]$ зима'!u1154-'[2]$ зима'!t1154-'[2]$ зима'!s1154-'[2]$ зима'!r1154-'[2]$ зима'!p1154-'[2]$ зима'!o1154-'[2]$ зима'!n1154-'[2]$ зима'!m1154-'[2]$ зима'!l1154+'[2]$ зима'!q1154+'[2]$ зима'!w1154+'[2]$ зима'!ac1154+'[2]$ зима'!ai1154+'[2]$ зима'!ao1154+'[2]$ зима'!k1154</f>
        <v>4</v>
      </c>
      <c r="I1154" s="191" t="n">
        <f aca="false">'[2]$ зима'!ay1154*1.1</f>
        <v>4620</v>
      </c>
    </row>
    <row r="1155" customFormat="false" ht="15" hidden="false" customHeight="false" outlineLevel="0" collapsed="false">
      <c r="A1155" s="188" t="s">
        <v>1802</v>
      </c>
      <c r="B1155" s="149" t="s">
        <v>1149</v>
      </c>
      <c r="C1155" s="148" t="s">
        <v>3529</v>
      </c>
      <c r="D1155" s="148"/>
      <c r="E1155" s="192"/>
      <c r="F1155" s="192"/>
      <c r="G1155" s="193"/>
      <c r="H1155" s="105" t="n">
        <f aca="false">'[2]$ зима'!j1155-'[2]$ зима'!au1155-'[2]$ зима'!at1155-'[2]$ зима'!as1155-'[2]$ зима'!ar1155-'[2]$ зима'!aq1155-'[2]$ зима'!ap1155-'[2]$ зима'!an1155-'[2]$ зима'!am1155-'[2]$ зима'!al1155-'[2]$ зима'!ak1155-'[2]$ зима'!aj1155-'[2]$ зима'!ah1155-'[2]$ зима'!ag1155-'[2]$ зима'!af1155-'[2]$ зима'!ae1155-'[2]$ зима'!ad1155-'[2]$ зима'!ab1155-'[2]$ зима'!aa1155-'[2]$ зима'!z1155-'[2]$ зима'!y1155-'[2]$ зима'!x1155-'[2]$ зима'!v1155-'[2]$ зима'!u1155-'[2]$ зима'!t1155-'[2]$ зима'!s1155-'[2]$ зима'!r1155-'[2]$ зима'!p1155-'[2]$ зима'!o1155-'[2]$ зима'!n1155-'[2]$ зима'!m1155-'[2]$ зима'!l1155+'[2]$ зима'!q1155+'[2]$ зима'!w1155+'[2]$ зима'!ac1155+'[2]$ зима'!ai1155+'[2]$ зима'!ao1155+'[2]$ зима'!k1155</f>
        <v>4</v>
      </c>
      <c r="I1155" s="191" t="n">
        <f aca="false">'[2]$ зима'!ay1155*1.1</f>
        <v>2464</v>
      </c>
    </row>
    <row r="1156" customFormat="false" ht="15" hidden="false" customHeight="false" outlineLevel="0" collapsed="false">
      <c r="A1156" s="188" t="s">
        <v>1802</v>
      </c>
      <c r="B1156" s="149" t="s">
        <v>589</v>
      </c>
      <c r="C1156" s="148" t="s">
        <v>3259</v>
      </c>
      <c r="D1156" s="148"/>
      <c r="E1156" s="192" t="n">
        <v>95</v>
      </c>
      <c r="F1156" s="192" t="s">
        <v>3207</v>
      </c>
      <c r="G1156" s="193" t="s">
        <v>626</v>
      </c>
      <c r="H1156" s="105" t="n">
        <f aca="false">'[2]$ зима'!j1156-'[2]$ зима'!au1156-'[2]$ зима'!at1156-'[2]$ зима'!as1156-'[2]$ зима'!ar1156-'[2]$ зима'!aq1156-'[2]$ зима'!ap1156-'[2]$ зима'!an1156-'[2]$ зима'!am1156-'[2]$ зима'!al1156-'[2]$ зима'!ak1156-'[2]$ зима'!aj1156-'[2]$ зима'!ah1156-'[2]$ зима'!ag1156-'[2]$ зима'!af1156-'[2]$ зима'!ae1156-'[2]$ зима'!ad1156-'[2]$ зима'!ab1156-'[2]$ зима'!aa1156-'[2]$ зима'!z1156-'[2]$ зима'!y1156-'[2]$ зима'!x1156-'[2]$ зима'!v1156-'[2]$ зима'!u1156-'[2]$ зима'!t1156-'[2]$ зима'!s1156-'[2]$ зима'!r1156-'[2]$ зима'!p1156-'[2]$ зима'!o1156-'[2]$ зима'!n1156-'[2]$ зима'!m1156-'[2]$ зима'!l1156+'[2]$ зима'!q1156+'[2]$ зима'!w1156+'[2]$ зима'!ac1156+'[2]$ зима'!ai1156+'[2]$ зима'!ao1156+'[2]$ зима'!k1156</f>
        <v>4</v>
      </c>
      <c r="I1156" s="191" t="n">
        <f aca="false">'[2]$ зима'!ay1156*1.1</f>
        <v>4061.2</v>
      </c>
      <c r="J1156" s="171" t="n">
        <v>2018</v>
      </c>
    </row>
    <row r="1157" customFormat="false" ht="15" hidden="false" customHeight="false" outlineLevel="0" collapsed="false">
      <c r="A1157" s="188" t="s">
        <v>1802</v>
      </c>
      <c r="B1157" s="149" t="s">
        <v>589</v>
      </c>
      <c r="C1157" s="148" t="s">
        <v>3208</v>
      </c>
      <c r="D1157" s="148"/>
      <c r="E1157" s="192" t="n">
        <v>99</v>
      </c>
      <c r="F1157" s="192" t="s">
        <v>3216</v>
      </c>
      <c r="G1157" s="193" t="s">
        <v>626</v>
      </c>
      <c r="H1157" s="105" t="n">
        <f aca="false">'[2]$ зима'!j1157-'[2]$ зима'!au1157-'[2]$ зима'!at1157-'[2]$ зима'!as1157-'[2]$ зима'!ar1157-'[2]$ зима'!aq1157-'[2]$ зима'!ap1157-'[2]$ зима'!an1157-'[2]$ зима'!am1157-'[2]$ зима'!al1157-'[2]$ зима'!ak1157-'[2]$ зима'!aj1157-'[2]$ зима'!ah1157-'[2]$ зима'!ag1157-'[2]$ зима'!af1157-'[2]$ зима'!ae1157-'[2]$ зима'!ad1157-'[2]$ зима'!ab1157-'[2]$ зима'!aa1157-'[2]$ зима'!z1157-'[2]$ зима'!y1157-'[2]$ зима'!x1157-'[2]$ зима'!v1157-'[2]$ зима'!u1157-'[2]$ зима'!t1157-'[2]$ зима'!s1157-'[2]$ зима'!r1157-'[2]$ зима'!p1157-'[2]$ зима'!o1157-'[2]$ зима'!n1157-'[2]$ зима'!m1157-'[2]$ зима'!l1157+'[2]$ зима'!q1157+'[2]$ зима'!w1157+'[2]$ зима'!ac1157+'[2]$ зима'!ai1157+'[2]$ зима'!ao1157+'[2]$ зима'!k1157</f>
        <v>4</v>
      </c>
      <c r="I1157" s="191" t="n">
        <f aca="false">'[2]$ зима'!ay1157*1.1</f>
        <v>3748.8</v>
      </c>
    </row>
    <row r="1158" customFormat="false" ht="15" hidden="true" customHeight="false" outlineLevel="0" collapsed="false">
      <c r="A1158" s="188" t="s">
        <v>1802</v>
      </c>
      <c r="B1158" s="149" t="s">
        <v>564</v>
      </c>
      <c r="C1158" s="148" t="s">
        <v>3676</v>
      </c>
      <c r="D1158" s="148"/>
      <c r="E1158" s="148"/>
      <c r="F1158" s="148"/>
      <c r="G1158" s="193"/>
      <c r="H1158" s="105" t="n">
        <f aca="false">'[2]$ зима'!j1158-'[2]$ зима'!au1158-'[2]$ зима'!at1158-'[2]$ зима'!as1158-'[2]$ зима'!ar1158-'[2]$ зима'!aq1158-'[2]$ зима'!ap1158-'[2]$ зима'!an1158-'[2]$ зима'!am1158-'[2]$ зима'!al1158-'[2]$ зима'!ak1158-'[2]$ зима'!aj1158-'[2]$ зима'!ah1158-'[2]$ зима'!ag1158-'[2]$ зима'!af1158-'[2]$ зима'!ae1158-'[2]$ зима'!ad1158-'[2]$ зима'!ab1158-'[2]$ зима'!aa1158-'[2]$ зима'!z1158-'[2]$ зима'!y1158-'[2]$ зима'!x1158-'[2]$ зима'!v1158-'[2]$ зима'!u1158-'[2]$ зима'!t1158-'[2]$ зима'!s1158-'[2]$ зима'!r1158-'[2]$ зима'!p1158-'[2]$ зима'!o1158-'[2]$ зима'!n1158-'[2]$ зима'!m1158-'[2]$ зима'!l1158+'[2]$ зима'!q1158+'[2]$ зима'!w1158+'[2]$ зима'!ac1158+'[2]$ зима'!ai1158+'[2]$ зима'!ao1158+'[2]$ зима'!k1158</f>
        <v>0</v>
      </c>
      <c r="I1158" s="191" t="n">
        <f aca="false">'[2]$ зима'!ay1158*1.1</f>
        <v>2002</v>
      </c>
      <c r="J1158" s="171" t="n">
        <v>2017</v>
      </c>
    </row>
    <row r="1159" customFormat="false" ht="15" hidden="true" customHeight="false" outlineLevel="0" collapsed="false">
      <c r="A1159" s="188" t="s">
        <v>1802</v>
      </c>
      <c r="B1159" s="149" t="s">
        <v>1524</v>
      </c>
      <c r="C1159" s="148" t="s">
        <v>3563</v>
      </c>
      <c r="D1159" s="148"/>
      <c r="E1159" s="148"/>
      <c r="F1159" s="148"/>
      <c r="G1159" s="193"/>
      <c r="H1159" s="105" t="n">
        <f aca="false">'[2]$ зима'!j1159-'[2]$ зима'!au1159-'[2]$ зима'!at1159-'[2]$ зима'!as1159-'[2]$ зима'!ar1159-'[2]$ зима'!aq1159-'[2]$ зима'!ap1159-'[2]$ зима'!an1159-'[2]$ зима'!am1159-'[2]$ зима'!al1159-'[2]$ зима'!ak1159-'[2]$ зима'!aj1159-'[2]$ зима'!ah1159-'[2]$ зима'!ag1159-'[2]$ зима'!af1159-'[2]$ зима'!ae1159-'[2]$ зима'!ad1159-'[2]$ зима'!ab1159-'[2]$ зима'!aa1159-'[2]$ зима'!z1159-'[2]$ зима'!y1159-'[2]$ зима'!x1159-'[2]$ зима'!v1159-'[2]$ зима'!u1159-'[2]$ зима'!t1159-'[2]$ зима'!s1159-'[2]$ зима'!r1159-'[2]$ зима'!p1159-'[2]$ зима'!o1159-'[2]$ зима'!n1159-'[2]$ зима'!m1159-'[2]$ зима'!l1159+'[2]$ зима'!q1159+'[2]$ зима'!w1159+'[2]$ зима'!ac1159+'[2]$ зима'!ai1159+'[2]$ зима'!ao1159+'[2]$ зима'!k1159</f>
        <v>0</v>
      </c>
      <c r="I1159" s="191" t="n">
        <f aca="false">'[2]$ зима'!ay1159*1.1</f>
        <v>2156</v>
      </c>
    </row>
    <row r="1160" customFormat="false" ht="15" hidden="true" customHeight="false" outlineLevel="0" collapsed="false">
      <c r="A1160" s="188" t="s">
        <v>3677</v>
      </c>
      <c r="B1160" s="149" t="s">
        <v>707</v>
      </c>
      <c r="C1160" s="148" t="s">
        <v>3678</v>
      </c>
      <c r="D1160" s="148"/>
      <c r="E1160" s="148"/>
      <c r="F1160" s="148"/>
      <c r="G1160" s="193"/>
      <c r="H1160" s="105" t="n">
        <f aca="false">'[2]$ зима'!j1160-'[2]$ зима'!au1160-'[2]$ зима'!at1160-'[2]$ зима'!as1160-'[2]$ зима'!ar1160-'[2]$ зима'!aq1160-'[2]$ зима'!ap1160-'[2]$ зима'!an1160-'[2]$ зима'!am1160-'[2]$ зима'!al1160-'[2]$ зима'!ak1160-'[2]$ зима'!aj1160-'[2]$ зима'!ah1160-'[2]$ зима'!ag1160-'[2]$ зима'!af1160-'[2]$ зима'!ae1160-'[2]$ зима'!ad1160-'[2]$ зима'!ab1160-'[2]$ зима'!aa1160-'[2]$ зима'!z1160-'[2]$ зима'!y1160-'[2]$ зима'!x1160-'[2]$ зима'!v1160-'[2]$ зима'!u1160-'[2]$ зима'!t1160-'[2]$ зима'!s1160-'[2]$ зима'!r1160-'[2]$ зима'!p1160-'[2]$ зима'!o1160-'[2]$ зима'!n1160-'[2]$ зима'!m1160-'[2]$ зима'!l1160+'[2]$ зима'!q1160+'[2]$ зима'!w1160+'[2]$ зима'!ac1160+'[2]$ зима'!ai1160+'[2]$ зима'!ao1160+'[2]$ зима'!k1160</f>
        <v>0</v>
      </c>
      <c r="I1160" s="191" t="n">
        <f aca="false">'[2]$ зима'!ay1160*1.1</f>
        <v>2464</v>
      </c>
    </row>
    <row r="1161" customFormat="false" ht="15" hidden="true" customHeight="false" outlineLevel="0" collapsed="false">
      <c r="A1161" s="188" t="s">
        <v>1823</v>
      </c>
      <c r="B1161" s="198" t="s">
        <v>606</v>
      </c>
      <c r="C1161" s="148" t="s">
        <v>3400</v>
      </c>
      <c r="D1161" s="194"/>
      <c r="E1161" s="194" t="n">
        <v>112</v>
      </c>
      <c r="F1161" s="194" t="s">
        <v>3207</v>
      </c>
      <c r="G1161" s="193"/>
      <c r="H1161" s="105" t="n">
        <f aca="false">'[2]$ зима'!j1161-'[2]$ зима'!au1161-'[2]$ зима'!at1161-'[2]$ зима'!as1161-'[2]$ зима'!ar1161-'[2]$ зима'!aq1161-'[2]$ зима'!ap1161-'[2]$ зима'!an1161-'[2]$ зима'!am1161-'[2]$ зима'!al1161-'[2]$ зима'!ak1161-'[2]$ зима'!aj1161-'[2]$ зима'!ah1161-'[2]$ зима'!ag1161-'[2]$ зима'!af1161-'[2]$ зима'!ae1161-'[2]$ зима'!ad1161-'[2]$ зима'!ab1161-'[2]$ зима'!aa1161-'[2]$ зима'!z1161-'[2]$ зима'!y1161-'[2]$ зима'!x1161-'[2]$ зима'!v1161-'[2]$ зима'!u1161-'[2]$ зима'!t1161-'[2]$ зима'!s1161-'[2]$ зима'!r1161-'[2]$ зима'!p1161-'[2]$ зима'!o1161-'[2]$ зима'!n1161-'[2]$ зима'!m1161-'[2]$ зима'!l1161+'[2]$ зима'!q1161+'[2]$ зима'!w1161+'[2]$ зима'!ac1161+'[2]$ зима'!ai1161+'[2]$ зима'!ao1161+'[2]$ зима'!k1161</f>
        <v>0</v>
      </c>
      <c r="I1161" s="191" t="n">
        <f aca="false">'[2]$ зима'!ay1161*1.1</f>
        <v>2772</v>
      </c>
    </row>
    <row r="1162" customFormat="false" ht="15" hidden="false" customHeight="false" outlineLevel="0" collapsed="false">
      <c r="A1162" s="196" t="s">
        <v>1823</v>
      </c>
      <c r="B1162" s="149" t="s">
        <v>601</v>
      </c>
      <c r="C1162" s="148" t="s">
        <v>3482</v>
      </c>
      <c r="D1162" s="148"/>
      <c r="E1162" s="192"/>
      <c r="F1162" s="192"/>
      <c r="G1162" s="193"/>
      <c r="H1162" s="105" t="n">
        <f aca="false">'[2]$ зима'!j1162-'[2]$ зима'!au1162-'[2]$ зима'!at1162-'[2]$ зима'!as1162-'[2]$ зима'!ar1162-'[2]$ зима'!aq1162-'[2]$ зима'!ap1162-'[2]$ зима'!an1162-'[2]$ зима'!am1162-'[2]$ зима'!al1162-'[2]$ зима'!ak1162-'[2]$ зима'!aj1162-'[2]$ зима'!ah1162-'[2]$ зима'!ag1162-'[2]$ зима'!af1162-'[2]$ зима'!ae1162-'[2]$ зима'!ad1162-'[2]$ зима'!ab1162-'[2]$ зима'!aa1162-'[2]$ зима'!z1162-'[2]$ зима'!y1162-'[2]$ зима'!x1162-'[2]$ зима'!v1162-'[2]$ зима'!u1162-'[2]$ зима'!t1162-'[2]$ зима'!s1162-'[2]$ зима'!r1162-'[2]$ зима'!p1162-'[2]$ зима'!o1162-'[2]$ зима'!n1162-'[2]$ зима'!m1162-'[2]$ зима'!l1162+'[2]$ зима'!q1162+'[2]$ зима'!w1162+'[2]$ зима'!ac1162+'[2]$ зима'!ai1162+'[2]$ зима'!ao1162+'[2]$ зима'!k1162</f>
        <v>4</v>
      </c>
      <c r="I1162" s="191" t="n">
        <f aca="false">'[2]$ зима'!ay1162*1.1</f>
        <v>4620</v>
      </c>
    </row>
    <row r="1163" customFormat="false" ht="15" hidden="true" customHeight="false" outlineLevel="0" collapsed="false">
      <c r="A1163" s="196" t="s">
        <v>1823</v>
      </c>
      <c r="B1163" s="149" t="s">
        <v>658</v>
      </c>
      <c r="C1163" s="148" t="s">
        <v>3679</v>
      </c>
      <c r="D1163" s="148"/>
      <c r="E1163" s="148"/>
      <c r="F1163" s="148"/>
      <c r="G1163" s="193"/>
      <c r="H1163" s="105" t="n">
        <f aca="false">'[2]$ зима'!j1163-'[2]$ зима'!au1163-'[2]$ зима'!at1163-'[2]$ зима'!as1163-'[2]$ зима'!ar1163-'[2]$ зима'!aq1163-'[2]$ зима'!ap1163-'[2]$ зима'!an1163-'[2]$ зима'!am1163-'[2]$ зима'!al1163-'[2]$ зима'!ak1163-'[2]$ зима'!aj1163-'[2]$ зима'!ah1163-'[2]$ зима'!ag1163-'[2]$ зима'!af1163-'[2]$ зима'!ae1163-'[2]$ зима'!ad1163-'[2]$ зима'!ab1163-'[2]$ зима'!aa1163-'[2]$ зима'!z1163-'[2]$ зима'!y1163-'[2]$ зима'!x1163-'[2]$ зима'!v1163-'[2]$ зима'!u1163-'[2]$ зима'!t1163-'[2]$ зима'!s1163-'[2]$ зима'!r1163-'[2]$ зима'!p1163-'[2]$ зима'!o1163-'[2]$ зима'!n1163-'[2]$ зима'!m1163-'[2]$ зима'!l1163+'[2]$ зима'!q1163+'[2]$ зима'!w1163+'[2]$ зима'!ac1163+'[2]$ зима'!ai1163+'[2]$ зима'!ao1163+'[2]$ зима'!k1163</f>
        <v>0</v>
      </c>
      <c r="I1163" s="191" t="n">
        <f aca="false">'[2]$ зима'!ay1163*1.1</f>
        <v>4620</v>
      </c>
    </row>
    <row r="1164" customFormat="false" ht="15" hidden="true" customHeight="false" outlineLevel="0" collapsed="false">
      <c r="A1164" s="196" t="s">
        <v>1823</v>
      </c>
      <c r="B1164" s="149" t="s">
        <v>606</v>
      </c>
      <c r="C1164" s="148" t="s">
        <v>3680</v>
      </c>
      <c r="D1164" s="148"/>
      <c r="E1164" s="148" t="n">
        <v>107</v>
      </c>
      <c r="F1164" s="148" t="s">
        <v>562</v>
      </c>
      <c r="G1164" s="193"/>
      <c r="H1164" s="105" t="n">
        <f aca="false">'[2]$ зима'!j1164-'[2]$ зима'!au1164-'[2]$ зима'!at1164-'[2]$ зима'!as1164-'[2]$ зима'!ar1164-'[2]$ зима'!aq1164-'[2]$ зима'!ap1164-'[2]$ зима'!an1164-'[2]$ зима'!am1164-'[2]$ зима'!al1164-'[2]$ зима'!ak1164-'[2]$ зима'!aj1164-'[2]$ зима'!ah1164-'[2]$ зима'!ag1164-'[2]$ зима'!af1164-'[2]$ зима'!ae1164-'[2]$ зима'!ad1164-'[2]$ зима'!ab1164-'[2]$ зима'!aa1164-'[2]$ зима'!z1164-'[2]$ зима'!y1164-'[2]$ зима'!x1164-'[2]$ зима'!v1164-'[2]$ зима'!u1164-'[2]$ зима'!t1164-'[2]$ зима'!s1164-'[2]$ зима'!r1164-'[2]$ зима'!p1164-'[2]$ зима'!o1164-'[2]$ зима'!n1164-'[2]$ зима'!m1164-'[2]$ зима'!l1164+'[2]$ зима'!q1164+'[2]$ зима'!w1164+'[2]$ зима'!ac1164+'[2]$ зима'!ai1164+'[2]$ зима'!ao1164+'[2]$ зима'!k1164</f>
        <v>0</v>
      </c>
      <c r="I1164" s="191" t="n">
        <f aca="false">'[2]$ зима'!ay1164*1.1</f>
        <v>2802.8</v>
      </c>
      <c r="J1164" s="171" t="n">
        <v>2017</v>
      </c>
    </row>
    <row r="1165" customFormat="false" ht="15" hidden="false" customHeight="false" outlineLevel="0" collapsed="false">
      <c r="A1165" s="196" t="s">
        <v>1823</v>
      </c>
      <c r="B1165" s="149" t="s">
        <v>668</v>
      </c>
      <c r="C1165" s="148" t="s">
        <v>3629</v>
      </c>
      <c r="D1165" s="148"/>
      <c r="E1165" s="192"/>
      <c r="F1165" s="192"/>
      <c r="G1165" s="193"/>
      <c r="H1165" s="105" t="n">
        <f aca="false">'[2]$ зима'!j1165-'[2]$ зима'!au1165-'[2]$ зима'!at1165-'[2]$ зима'!as1165-'[2]$ зима'!ar1165-'[2]$ зима'!aq1165-'[2]$ зима'!ap1165-'[2]$ зима'!an1165-'[2]$ зима'!am1165-'[2]$ зима'!al1165-'[2]$ зима'!ak1165-'[2]$ зима'!aj1165-'[2]$ зима'!ah1165-'[2]$ зима'!ag1165-'[2]$ зима'!af1165-'[2]$ зима'!ae1165-'[2]$ зима'!ad1165-'[2]$ зима'!ab1165-'[2]$ зима'!aa1165-'[2]$ зима'!z1165-'[2]$ зима'!y1165-'[2]$ зима'!x1165-'[2]$ зима'!v1165-'[2]$ зима'!u1165-'[2]$ зима'!t1165-'[2]$ зима'!s1165-'[2]$ зима'!r1165-'[2]$ зима'!p1165-'[2]$ зима'!o1165-'[2]$ зима'!n1165-'[2]$ зима'!m1165-'[2]$ зима'!l1165+'[2]$ зима'!q1165+'[2]$ зима'!w1165+'[2]$ зима'!ac1165+'[2]$ зима'!ai1165+'[2]$ зима'!ao1165+'[2]$ зима'!k1165</f>
        <v>4</v>
      </c>
      <c r="I1165" s="191" t="n">
        <f aca="false">'[2]$ зима'!ay1165*1.1</f>
        <v>2618</v>
      </c>
    </row>
    <row r="1166" customFormat="false" ht="15" hidden="true" customHeight="false" outlineLevel="0" collapsed="false">
      <c r="A1166" s="196" t="s">
        <v>1823</v>
      </c>
      <c r="B1166" s="149" t="s">
        <v>574</v>
      </c>
      <c r="C1166" s="148" t="s">
        <v>3681</v>
      </c>
      <c r="D1166" s="148"/>
      <c r="E1166" s="148" t="n">
        <v>111</v>
      </c>
      <c r="F1166" s="148" t="s">
        <v>832</v>
      </c>
      <c r="G1166" s="193" t="s">
        <v>576</v>
      </c>
      <c r="H1166" s="105" t="n">
        <f aca="false">'[2]$ зима'!j1166-'[2]$ зима'!au1166-'[2]$ зима'!at1166-'[2]$ зима'!as1166-'[2]$ зима'!ar1166-'[2]$ зима'!aq1166-'[2]$ зима'!ap1166-'[2]$ зима'!an1166-'[2]$ зима'!am1166-'[2]$ зима'!al1166-'[2]$ зима'!ak1166-'[2]$ зима'!aj1166-'[2]$ зима'!ah1166-'[2]$ зима'!ag1166-'[2]$ зима'!af1166-'[2]$ зима'!ae1166-'[2]$ зима'!ad1166-'[2]$ зима'!ab1166-'[2]$ зима'!aa1166-'[2]$ зима'!z1166-'[2]$ зима'!y1166-'[2]$ зима'!x1166-'[2]$ зима'!v1166-'[2]$ зима'!u1166-'[2]$ зима'!t1166-'[2]$ зима'!s1166-'[2]$ зима'!r1166-'[2]$ зима'!p1166-'[2]$ зима'!o1166-'[2]$ зима'!n1166-'[2]$ зима'!m1166-'[2]$ зима'!l1166+'[2]$ зима'!q1166+'[2]$ зима'!w1166+'[2]$ зима'!ac1166+'[2]$ зима'!ai1166+'[2]$ зима'!ao1166+'[2]$ зима'!k1166</f>
        <v>0</v>
      </c>
      <c r="I1166" s="191" t="n">
        <f aca="false">'[2]$ зима'!ay1166*1.1</f>
        <v>3050.74</v>
      </c>
    </row>
    <row r="1167" customFormat="false" ht="15" hidden="true" customHeight="false" outlineLevel="0" collapsed="false">
      <c r="A1167" s="196" t="s">
        <v>1823</v>
      </c>
      <c r="B1167" s="149" t="s">
        <v>586</v>
      </c>
      <c r="C1167" s="148" t="s">
        <v>3682</v>
      </c>
      <c r="D1167" s="148"/>
      <c r="E1167" s="148" t="n">
        <v>107</v>
      </c>
      <c r="F1167" s="148" t="s">
        <v>562</v>
      </c>
      <c r="G1167" s="193"/>
      <c r="H1167" s="105" t="n">
        <f aca="false">'[2]$ зима'!j1167-'[2]$ зима'!au1167-'[2]$ зима'!at1167-'[2]$ зима'!as1167-'[2]$ зима'!ar1167-'[2]$ зима'!aq1167-'[2]$ зима'!ap1167-'[2]$ зима'!an1167-'[2]$ зима'!am1167-'[2]$ зима'!al1167-'[2]$ зима'!ak1167-'[2]$ зима'!aj1167-'[2]$ зима'!ah1167-'[2]$ зима'!ag1167-'[2]$ зима'!af1167-'[2]$ зима'!ae1167-'[2]$ зима'!ad1167-'[2]$ зима'!ab1167-'[2]$ зима'!aa1167-'[2]$ зима'!z1167-'[2]$ зима'!y1167-'[2]$ зима'!x1167-'[2]$ зима'!v1167-'[2]$ зима'!u1167-'[2]$ зима'!t1167-'[2]$ зима'!s1167-'[2]$ зима'!r1167-'[2]$ зима'!p1167-'[2]$ зима'!o1167-'[2]$ зима'!n1167-'[2]$ зима'!m1167-'[2]$ зима'!l1167+'[2]$ зима'!q1167+'[2]$ зима'!w1167+'[2]$ зима'!ac1167+'[2]$ зима'!ai1167+'[2]$ зима'!ao1167+'[2]$ зима'!k1167</f>
        <v>0</v>
      </c>
      <c r="I1167" s="191" t="n">
        <f aca="false">'[2]$ зима'!ay1167*1.1</f>
        <v>1848</v>
      </c>
    </row>
    <row r="1168" customFormat="false" ht="15" hidden="false" customHeight="false" outlineLevel="0" collapsed="false">
      <c r="A1168" s="196" t="s">
        <v>1823</v>
      </c>
      <c r="B1168" s="149" t="s">
        <v>1149</v>
      </c>
      <c r="C1168" s="148" t="s">
        <v>3554</v>
      </c>
      <c r="D1168" s="148" t="s">
        <v>3147</v>
      </c>
      <c r="E1168" s="192"/>
      <c r="F1168" s="192"/>
      <c r="G1168" s="193"/>
      <c r="H1168" s="105" t="n">
        <f aca="false">'[2]$ зима'!j1168-'[2]$ зима'!au1168-'[2]$ зима'!at1168-'[2]$ зима'!as1168-'[2]$ зима'!ar1168-'[2]$ зима'!aq1168-'[2]$ зима'!ap1168-'[2]$ зима'!an1168-'[2]$ зима'!am1168-'[2]$ зима'!al1168-'[2]$ зима'!ak1168-'[2]$ зима'!aj1168-'[2]$ зима'!ah1168-'[2]$ зима'!ag1168-'[2]$ зима'!af1168-'[2]$ зима'!ae1168-'[2]$ зима'!ad1168-'[2]$ зима'!ab1168-'[2]$ зима'!aa1168-'[2]$ зима'!z1168-'[2]$ зима'!y1168-'[2]$ зима'!x1168-'[2]$ зима'!v1168-'[2]$ зима'!u1168-'[2]$ зима'!t1168-'[2]$ зима'!s1168-'[2]$ зима'!r1168-'[2]$ зима'!p1168-'[2]$ зима'!o1168-'[2]$ зима'!n1168-'[2]$ зима'!m1168-'[2]$ зима'!l1168+'[2]$ зима'!q1168+'[2]$ зима'!w1168+'[2]$ зима'!ac1168+'[2]$ зима'!ai1168+'[2]$ зима'!ao1168+'[2]$ зима'!k1168</f>
        <v>4</v>
      </c>
      <c r="I1168" s="191" t="n">
        <f aca="false">'[2]$ зима'!ay1168*1.1</f>
        <v>2772</v>
      </c>
      <c r="J1168" s="171" t="n">
        <v>2007</v>
      </c>
    </row>
    <row r="1169" customFormat="false" ht="15" hidden="true" customHeight="false" outlineLevel="0" collapsed="false">
      <c r="A1169" s="196" t="s">
        <v>1823</v>
      </c>
      <c r="B1169" s="149" t="s">
        <v>677</v>
      </c>
      <c r="C1169" s="148" t="s">
        <v>3454</v>
      </c>
      <c r="D1169" s="148" t="s">
        <v>3127</v>
      </c>
      <c r="E1169" s="148"/>
      <c r="F1169" s="148"/>
      <c r="G1169" s="193"/>
      <c r="H1169" s="105" t="n">
        <f aca="false">'[2]$ зима'!j1169-'[2]$ зима'!au1169-'[2]$ зима'!at1169-'[2]$ зима'!as1169-'[2]$ зима'!ar1169-'[2]$ зима'!aq1169-'[2]$ зима'!ap1169-'[2]$ зима'!an1169-'[2]$ зима'!am1169-'[2]$ зима'!al1169-'[2]$ зима'!ak1169-'[2]$ зима'!aj1169-'[2]$ зима'!ah1169-'[2]$ зима'!ag1169-'[2]$ зима'!af1169-'[2]$ зима'!ae1169-'[2]$ зима'!ad1169-'[2]$ зима'!ab1169-'[2]$ зима'!aa1169-'[2]$ зима'!z1169-'[2]$ зима'!y1169-'[2]$ зима'!x1169-'[2]$ зима'!v1169-'[2]$ зима'!u1169-'[2]$ зима'!t1169-'[2]$ зима'!s1169-'[2]$ зима'!r1169-'[2]$ зима'!p1169-'[2]$ зима'!o1169-'[2]$ зима'!n1169-'[2]$ зима'!m1169-'[2]$ зима'!l1169+'[2]$ зима'!q1169+'[2]$ зима'!w1169+'[2]$ зима'!ac1169+'[2]$ зима'!ai1169+'[2]$ зима'!ao1169+'[2]$ зима'!k1169</f>
        <v>0</v>
      </c>
      <c r="I1169" s="191" t="n">
        <f aca="false">'[2]$ зима'!ay1169*1.1</f>
        <v>2310</v>
      </c>
    </row>
    <row r="1170" customFormat="false" ht="15" hidden="true" customHeight="false" outlineLevel="0" collapsed="false">
      <c r="A1170" s="196" t="s">
        <v>1823</v>
      </c>
      <c r="B1170" s="149" t="s">
        <v>589</v>
      </c>
      <c r="C1170" s="148" t="s">
        <v>3269</v>
      </c>
      <c r="D1170" s="148"/>
      <c r="E1170" s="148"/>
      <c r="F1170" s="148"/>
      <c r="G1170" s="193" t="s">
        <v>626</v>
      </c>
      <c r="H1170" s="105" t="n">
        <f aca="false">'[2]$ зима'!j1170-'[2]$ зима'!au1170-'[2]$ зима'!at1170-'[2]$ зима'!as1170-'[2]$ зима'!ar1170-'[2]$ зима'!aq1170-'[2]$ зима'!ap1170-'[2]$ зима'!an1170-'[2]$ зима'!am1170-'[2]$ зима'!al1170-'[2]$ зима'!ak1170-'[2]$ зима'!aj1170-'[2]$ зима'!ah1170-'[2]$ зима'!ag1170-'[2]$ зима'!af1170-'[2]$ зима'!ae1170-'[2]$ зима'!ad1170-'[2]$ зима'!ab1170-'[2]$ зима'!aa1170-'[2]$ зима'!z1170-'[2]$ зима'!y1170-'[2]$ зима'!x1170-'[2]$ зима'!v1170-'[2]$ зима'!u1170-'[2]$ зима'!t1170-'[2]$ зима'!s1170-'[2]$ зима'!r1170-'[2]$ зима'!p1170-'[2]$ зима'!o1170-'[2]$ зима'!n1170-'[2]$ зима'!m1170-'[2]$ зима'!l1170+'[2]$ зима'!q1170+'[2]$ зима'!w1170+'[2]$ зима'!ac1170+'[2]$ зима'!ai1170+'[2]$ зима'!ao1170+'[2]$ зима'!k1170</f>
        <v>0</v>
      </c>
      <c r="I1170" s="191" t="n">
        <f aca="false">'[2]$ зима'!ay1170*1.1</f>
        <v>4202.55</v>
      </c>
    </row>
    <row r="1171" customFormat="false" ht="15" hidden="true" customHeight="false" outlineLevel="0" collapsed="false">
      <c r="A1171" s="196" t="s">
        <v>3683</v>
      </c>
      <c r="B1171" s="149" t="s">
        <v>606</v>
      </c>
      <c r="C1171" s="148" t="s">
        <v>3684</v>
      </c>
      <c r="D1171" s="148"/>
      <c r="E1171" s="148" t="n">
        <v>98</v>
      </c>
      <c r="F1171" s="148" t="s">
        <v>970</v>
      </c>
      <c r="G1171" s="193"/>
      <c r="H1171" s="105" t="n">
        <f aca="false">'[2]$ зима'!j1171-'[2]$ зима'!au1171-'[2]$ зима'!at1171-'[2]$ зима'!as1171-'[2]$ зима'!ar1171-'[2]$ зима'!aq1171-'[2]$ зима'!ap1171-'[2]$ зима'!an1171-'[2]$ зима'!am1171-'[2]$ зима'!al1171-'[2]$ зима'!ak1171-'[2]$ зима'!aj1171-'[2]$ зима'!ah1171-'[2]$ зима'!ag1171-'[2]$ зима'!af1171-'[2]$ зима'!ae1171-'[2]$ зима'!ad1171-'[2]$ зима'!ab1171-'[2]$ зима'!aa1171-'[2]$ зима'!z1171-'[2]$ зима'!y1171-'[2]$ зима'!x1171-'[2]$ зима'!v1171-'[2]$ зима'!u1171-'[2]$ зима'!t1171-'[2]$ зима'!s1171-'[2]$ зима'!r1171-'[2]$ зима'!p1171-'[2]$ зима'!o1171-'[2]$ зима'!n1171-'[2]$ зима'!m1171-'[2]$ зима'!l1171+'[2]$ зима'!q1171+'[2]$ зима'!w1171+'[2]$ зима'!ac1171+'[2]$ зима'!ai1171+'[2]$ зима'!ao1171+'[2]$ зима'!k1171</f>
        <v>0</v>
      </c>
      <c r="I1171" s="191" t="n">
        <f aca="false">'[2]$ зима'!ay1171*1.1</f>
        <v>5020.4</v>
      </c>
    </row>
    <row r="1172" customFormat="false" ht="15" hidden="false" customHeight="false" outlineLevel="0" collapsed="false">
      <c r="A1172" s="196" t="s">
        <v>3685</v>
      </c>
      <c r="B1172" s="149" t="s">
        <v>1149</v>
      </c>
      <c r="C1172" s="148" t="s">
        <v>3686</v>
      </c>
      <c r="D1172" s="148" t="s">
        <v>3127</v>
      </c>
      <c r="E1172" s="192"/>
      <c r="F1172" s="192"/>
      <c r="G1172" s="193"/>
      <c r="H1172" s="105" t="n">
        <f aca="false">'[2]$ зима'!j1172-'[2]$ зима'!au1172-'[2]$ зима'!at1172-'[2]$ зима'!as1172-'[2]$ зима'!ar1172-'[2]$ зима'!aq1172-'[2]$ зима'!ap1172-'[2]$ зима'!an1172-'[2]$ зима'!am1172-'[2]$ зима'!al1172-'[2]$ зима'!ak1172-'[2]$ зима'!aj1172-'[2]$ зима'!ah1172-'[2]$ зима'!ag1172-'[2]$ зима'!af1172-'[2]$ зима'!ae1172-'[2]$ зима'!ad1172-'[2]$ зима'!ab1172-'[2]$ зима'!aa1172-'[2]$ зима'!z1172-'[2]$ зима'!y1172-'[2]$ зима'!x1172-'[2]$ зима'!v1172-'[2]$ зима'!u1172-'[2]$ зима'!t1172-'[2]$ зима'!s1172-'[2]$ зима'!r1172-'[2]$ зима'!p1172-'[2]$ зима'!o1172-'[2]$ зима'!n1172-'[2]$ зима'!m1172-'[2]$ зима'!l1172+'[2]$ зима'!q1172+'[2]$ зима'!w1172+'[2]$ зима'!ac1172+'[2]$ зима'!ai1172+'[2]$ зима'!ao1172+'[2]$ зима'!k1172</f>
        <v>6</v>
      </c>
      <c r="I1172" s="191" t="n">
        <f aca="false">'[2]$ зима'!ay1172*1.1</f>
        <v>3080</v>
      </c>
    </row>
    <row r="1173" customFormat="false" ht="15" hidden="true" customHeight="false" outlineLevel="0" collapsed="false">
      <c r="A1173" s="196" t="s">
        <v>3685</v>
      </c>
      <c r="B1173" s="149" t="s">
        <v>1149</v>
      </c>
      <c r="C1173" s="148" t="s">
        <v>3687</v>
      </c>
      <c r="D1173" s="148" t="s">
        <v>3127</v>
      </c>
      <c r="E1173" s="148"/>
      <c r="F1173" s="148"/>
      <c r="G1173" s="193"/>
      <c r="H1173" s="105" t="n">
        <f aca="false">'[2]$ зима'!j1173-'[2]$ зима'!au1173-'[2]$ зима'!at1173-'[2]$ зима'!as1173-'[2]$ зима'!ar1173-'[2]$ зима'!aq1173-'[2]$ зима'!ap1173-'[2]$ зима'!an1173-'[2]$ зима'!am1173-'[2]$ зима'!al1173-'[2]$ зима'!ak1173-'[2]$ зима'!aj1173-'[2]$ зима'!ah1173-'[2]$ зима'!ag1173-'[2]$ зима'!af1173-'[2]$ зима'!ae1173-'[2]$ зима'!ad1173-'[2]$ зима'!ab1173-'[2]$ зима'!aa1173-'[2]$ зима'!z1173-'[2]$ зима'!y1173-'[2]$ зима'!x1173-'[2]$ зима'!v1173-'[2]$ зима'!u1173-'[2]$ зима'!t1173-'[2]$ зима'!s1173-'[2]$ зима'!r1173-'[2]$ зима'!p1173-'[2]$ зима'!o1173-'[2]$ зима'!n1173-'[2]$ зима'!m1173-'[2]$ зима'!l1173+'[2]$ зима'!q1173+'[2]$ зима'!w1173+'[2]$ зима'!ac1173+'[2]$ зима'!ai1173+'[2]$ зима'!ao1173+'[2]$ зима'!k1173</f>
        <v>0</v>
      </c>
      <c r="I1173" s="191" t="n">
        <f aca="false">'[2]$ зима'!ay1173*1.1</f>
        <v>2464</v>
      </c>
    </row>
    <row r="1174" customFormat="false" ht="15" hidden="true" customHeight="false" outlineLevel="0" collapsed="false">
      <c r="A1174" s="196" t="s">
        <v>3685</v>
      </c>
      <c r="B1174" s="149" t="s">
        <v>1149</v>
      </c>
      <c r="C1174" s="233" t="s">
        <v>3240</v>
      </c>
      <c r="D1174" s="233"/>
      <c r="E1174" s="233"/>
      <c r="F1174" s="233"/>
      <c r="G1174" s="193"/>
      <c r="H1174" s="105" t="n">
        <f aca="false">'[2]$ зима'!j1174-'[2]$ зима'!au1174-'[2]$ зима'!at1174-'[2]$ зима'!as1174-'[2]$ зима'!ar1174-'[2]$ зима'!aq1174-'[2]$ зима'!ap1174-'[2]$ зима'!an1174-'[2]$ зима'!am1174-'[2]$ зима'!al1174-'[2]$ зима'!ak1174-'[2]$ зима'!aj1174-'[2]$ зима'!ah1174-'[2]$ зима'!ag1174-'[2]$ зима'!af1174-'[2]$ зима'!ae1174-'[2]$ зима'!ad1174-'[2]$ зима'!ab1174-'[2]$ зима'!aa1174-'[2]$ зима'!z1174-'[2]$ зима'!y1174-'[2]$ зима'!x1174-'[2]$ зима'!v1174-'[2]$ зима'!u1174-'[2]$ зима'!t1174-'[2]$ зима'!s1174-'[2]$ зима'!r1174-'[2]$ зима'!p1174-'[2]$ зима'!o1174-'[2]$ зима'!n1174-'[2]$ зима'!m1174-'[2]$ зима'!l1174+'[2]$ зима'!q1174+'[2]$ зима'!w1174+'[2]$ зима'!ac1174+'[2]$ зима'!ai1174+'[2]$ зима'!ao1174+'[2]$ зима'!k1174</f>
        <v>0</v>
      </c>
      <c r="I1174" s="191" t="n">
        <f aca="false">'[2]$ зима'!ay1174*1.1</f>
        <v>3080</v>
      </c>
    </row>
    <row r="1175" customFormat="false" ht="15" hidden="false" customHeight="false" outlineLevel="0" collapsed="false">
      <c r="A1175" s="196" t="s">
        <v>1835</v>
      </c>
      <c r="B1175" s="149" t="s">
        <v>601</v>
      </c>
      <c r="C1175" s="148" t="s">
        <v>3482</v>
      </c>
      <c r="D1175" s="148"/>
      <c r="E1175" s="192"/>
      <c r="F1175" s="192"/>
      <c r="G1175" s="193"/>
      <c r="H1175" s="105" t="n">
        <f aca="false">'[2]$ зима'!j1175-'[2]$ зима'!au1175-'[2]$ зима'!at1175-'[2]$ зима'!as1175-'[2]$ зима'!ar1175-'[2]$ зима'!aq1175-'[2]$ зима'!ap1175-'[2]$ зима'!an1175-'[2]$ зима'!am1175-'[2]$ зима'!al1175-'[2]$ зима'!ak1175-'[2]$ зима'!aj1175-'[2]$ зима'!ah1175-'[2]$ зима'!ag1175-'[2]$ зима'!af1175-'[2]$ зима'!ae1175-'[2]$ зима'!ad1175-'[2]$ зима'!ab1175-'[2]$ зима'!aa1175-'[2]$ зима'!z1175-'[2]$ зима'!y1175-'[2]$ зима'!x1175-'[2]$ зима'!v1175-'[2]$ зима'!u1175-'[2]$ зима'!t1175-'[2]$ зима'!s1175-'[2]$ зима'!r1175-'[2]$ зима'!p1175-'[2]$ зима'!o1175-'[2]$ зима'!n1175-'[2]$ зима'!m1175-'[2]$ зима'!l1175+'[2]$ зима'!q1175+'[2]$ зима'!w1175+'[2]$ зима'!ac1175+'[2]$ зима'!ai1175+'[2]$ зима'!ao1175+'[2]$ зима'!k1175</f>
        <v>4</v>
      </c>
      <c r="I1175" s="191" t="n">
        <f aca="false">'[2]$ зима'!ay1175*1.1</f>
        <v>4620</v>
      </c>
    </row>
    <row r="1176" customFormat="false" ht="15" hidden="false" customHeight="false" outlineLevel="0" collapsed="false">
      <c r="A1176" s="196" t="s">
        <v>1835</v>
      </c>
      <c r="B1176" s="149" t="s">
        <v>606</v>
      </c>
      <c r="C1176" s="148" t="s">
        <v>3688</v>
      </c>
      <c r="D1176" s="148"/>
      <c r="E1176" s="192"/>
      <c r="F1176" s="192"/>
      <c r="G1176" s="193"/>
      <c r="H1176" s="105" t="n">
        <f aca="false">'[2]$ зима'!j1176-'[2]$ зима'!au1176-'[2]$ зима'!at1176-'[2]$ зима'!as1176-'[2]$ зима'!ar1176-'[2]$ зима'!aq1176-'[2]$ зима'!ap1176-'[2]$ зима'!an1176-'[2]$ зима'!am1176-'[2]$ зима'!al1176-'[2]$ зима'!ak1176-'[2]$ зима'!aj1176-'[2]$ зима'!ah1176-'[2]$ зима'!ag1176-'[2]$ зима'!af1176-'[2]$ зима'!ae1176-'[2]$ зима'!ad1176-'[2]$ зима'!ab1176-'[2]$ зима'!aa1176-'[2]$ зима'!z1176-'[2]$ зима'!y1176-'[2]$ зима'!x1176-'[2]$ зима'!v1176-'[2]$ зима'!u1176-'[2]$ зима'!t1176-'[2]$ зима'!s1176-'[2]$ зима'!r1176-'[2]$ зима'!p1176-'[2]$ зима'!o1176-'[2]$ зима'!n1176-'[2]$ зима'!m1176-'[2]$ зима'!l1176+'[2]$ зима'!q1176+'[2]$ зима'!w1176+'[2]$ зима'!ac1176+'[2]$ зима'!ai1176+'[2]$ зима'!ao1176+'[2]$ зима'!k1176</f>
        <v>4</v>
      </c>
      <c r="I1176" s="191" t="n">
        <f aca="false">'[2]$ зима'!ay1176*1.1</f>
        <v>2464</v>
      </c>
    </row>
    <row r="1177" customFormat="false" ht="15" hidden="true" customHeight="false" outlineLevel="0" collapsed="false">
      <c r="A1177" s="196" t="s">
        <v>1835</v>
      </c>
      <c r="B1177" s="149" t="s">
        <v>668</v>
      </c>
      <c r="C1177" s="148" t="s">
        <v>3664</v>
      </c>
      <c r="D1177" s="148"/>
      <c r="E1177" s="148"/>
      <c r="F1177" s="148"/>
      <c r="G1177" s="193"/>
      <c r="H1177" s="105" t="n">
        <f aca="false">'[2]$ зима'!j1177-'[2]$ зима'!au1177-'[2]$ зима'!at1177-'[2]$ зима'!as1177-'[2]$ зима'!ar1177-'[2]$ зима'!aq1177-'[2]$ зима'!ap1177-'[2]$ зима'!an1177-'[2]$ зима'!am1177-'[2]$ зима'!al1177-'[2]$ зима'!ak1177-'[2]$ зима'!aj1177-'[2]$ зима'!ah1177-'[2]$ зима'!ag1177-'[2]$ зима'!af1177-'[2]$ зима'!ae1177-'[2]$ зима'!ad1177-'[2]$ зима'!ab1177-'[2]$ зима'!aa1177-'[2]$ зима'!z1177-'[2]$ зима'!y1177-'[2]$ зима'!x1177-'[2]$ зима'!v1177-'[2]$ зима'!u1177-'[2]$ зима'!t1177-'[2]$ зима'!s1177-'[2]$ зима'!r1177-'[2]$ зима'!p1177-'[2]$ зима'!o1177-'[2]$ зима'!n1177-'[2]$ зима'!m1177-'[2]$ зима'!l1177+'[2]$ зима'!q1177+'[2]$ зима'!w1177+'[2]$ зима'!ac1177+'[2]$ зима'!ai1177+'[2]$ зима'!ao1177+'[2]$ зима'!k1177</f>
        <v>0</v>
      </c>
      <c r="I1177" s="191" t="n">
        <f aca="false">'[2]$ зима'!ay1177*1.1</f>
        <v>2802.8</v>
      </c>
    </row>
    <row r="1178" customFormat="false" ht="15" hidden="false" customHeight="false" outlineLevel="0" collapsed="false">
      <c r="A1178" s="196" t="s">
        <v>1835</v>
      </c>
      <c r="B1178" s="149" t="s">
        <v>593</v>
      </c>
      <c r="C1178" s="148" t="s">
        <v>3632</v>
      </c>
      <c r="D1178" s="148"/>
      <c r="E1178" s="192" t="n">
        <v>110</v>
      </c>
      <c r="F1178" s="192" t="s">
        <v>634</v>
      </c>
      <c r="G1178" s="193"/>
      <c r="H1178" s="105" t="n">
        <f aca="false">'[2]$ зима'!j1178-'[2]$ зима'!au1178-'[2]$ зима'!at1178-'[2]$ зима'!as1178-'[2]$ зима'!ar1178-'[2]$ зима'!aq1178-'[2]$ зима'!ap1178-'[2]$ зима'!an1178-'[2]$ зима'!am1178-'[2]$ зима'!al1178-'[2]$ зима'!ak1178-'[2]$ зима'!aj1178-'[2]$ зима'!ah1178-'[2]$ зима'!ag1178-'[2]$ зима'!af1178-'[2]$ зима'!ae1178-'[2]$ зима'!ad1178-'[2]$ зима'!ab1178-'[2]$ зима'!aa1178-'[2]$ зима'!z1178-'[2]$ зима'!y1178-'[2]$ зима'!x1178-'[2]$ зима'!v1178-'[2]$ зима'!u1178-'[2]$ зима'!t1178-'[2]$ зима'!s1178-'[2]$ зима'!r1178-'[2]$ зима'!p1178-'[2]$ зима'!o1178-'[2]$ зима'!n1178-'[2]$ зима'!m1178-'[2]$ зима'!l1178+'[2]$ зима'!q1178+'[2]$ зима'!w1178+'[2]$ зима'!ac1178+'[2]$ зима'!ai1178+'[2]$ зима'!ao1178+'[2]$ зима'!k1178</f>
        <v>4</v>
      </c>
      <c r="I1178" s="191" t="n">
        <f aca="false">'[2]$ зима'!ay1178*1.1</f>
        <v>4774</v>
      </c>
    </row>
    <row r="1179" customFormat="false" ht="15" hidden="true" customHeight="false" outlineLevel="0" collapsed="false">
      <c r="A1179" s="196" t="s">
        <v>1835</v>
      </c>
      <c r="B1179" s="149" t="s">
        <v>3142</v>
      </c>
      <c r="C1179" s="148" t="s">
        <v>3382</v>
      </c>
      <c r="D1179" s="148"/>
      <c r="E1179" s="148"/>
      <c r="F1179" s="148"/>
      <c r="G1179" s="193"/>
      <c r="H1179" s="105" t="n">
        <f aca="false">'[2]$ зима'!j1179-'[2]$ зима'!au1179-'[2]$ зима'!at1179-'[2]$ зима'!as1179-'[2]$ зима'!ar1179-'[2]$ зима'!aq1179-'[2]$ зима'!ap1179-'[2]$ зима'!an1179-'[2]$ зима'!am1179-'[2]$ зима'!al1179-'[2]$ зима'!ak1179-'[2]$ зима'!aj1179-'[2]$ зима'!ah1179-'[2]$ зима'!ag1179-'[2]$ зима'!af1179-'[2]$ зима'!ae1179-'[2]$ зима'!ad1179-'[2]$ зима'!ab1179-'[2]$ зима'!aa1179-'[2]$ зима'!z1179-'[2]$ зима'!y1179-'[2]$ зима'!x1179-'[2]$ зима'!v1179-'[2]$ зима'!u1179-'[2]$ зима'!t1179-'[2]$ зима'!s1179-'[2]$ зима'!r1179-'[2]$ зима'!p1179-'[2]$ зима'!o1179-'[2]$ зима'!n1179-'[2]$ зима'!m1179-'[2]$ зима'!l1179+'[2]$ зима'!q1179+'[2]$ зима'!w1179+'[2]$ зима'!ac1179+'[2]$ зима'!ai1179+'[2]$ зима'!ao1179+'[2]$ зима'!k1179</f>
        <v>0</v>
      </c>
      <c r="I1179" s="191" t="n">
        <f aca="false">'[2]$ зима'!ay1179*1.1</f>
        <v>2464</v>
      </c>
    </row>
    <row r="1180" customFormat="false" ht="15" hidden="true" customHeight="false" outlineLevel="0" collapsed="false">
      <c r="A1180" s="196" t="s">
        <v>1835</v>
      </c>
      <c r="B1180" s="149" t="s">
        <v>589</v>
      </c>
      <c r="C1180" s="148" t="s">
        <v>3269</v>
      </c>
      <c r="D1180" s="148"/>
      <c r="E1180" s="148"/>
      <c r="F1180" s="148"/>
      <c r="G1180" s="193" t="s">
        <v>626</v>
      </c>
      <c r="H1180" s="105" t="n">
        <f aca="false">'[2]$ зима'!j1180-'[2]$ зима'!au1180-'[2]$ зима'!at1180-'[2]$ зима'!as1180-'[2]$ зима'!ar1180-'[2]$ зима'!aq1180-'[2]$ зима'!ap1180-'[2]$ зима'!an1180-'[2]$ зима'!am1180-'[2]$ зима'!al1180-'[2]$ зима'!ak1180-'[2]$ зима'!aj1180-'[2]$ зима'!ah1180-'[2]$ зима'!ag1180-'[2]$ зима'!af1180-'[2]$ зима'!ae1180-'[2]$ зима'!ad1180-'[2]$ зима'!ab1180-'[2]$ зима'!aa1180-'[2]$ зима'!z1180-'[2]$ зима'!y1180-'[2]$ зима'!x1180-'[2]$ зима'!v1180-'[2]$ зима'!u1180-'[2]$ зима'!t1180-'[2]$ зима'!s1180-'[2]$ зима'!r1180-'[2]$ зима'!p1180-'[2]$ зима'!o1180-'[2]$ зима'!n1180-'[2]$ зима'!m1180-'[2]$ зима'!l1180+'[2]$ зима'!q1180+'[2]$ зима'!w1180+'[2]$ зима'!ac1180+'[2]$ зима'!ai1180+'[2]$ зима'!ao1180+'[2]$ зима'!k1180</f>
        <v>0</v>
      </c>
      <c r="I1180" s="191" t="n">
        <f aca="false">'[2]$ зима'!ay1180*1.1</f>
        <v>4046.9</v>
      </c>
    </row>
    <row r="1181" customFormat="false" ht="15" hidden="true" customHeight="false" outlineLevel="0" collapsed="false">
      <c r="A1181" s="196" t="s">
        <v>1835</v>
      </c>
      <c r="B1181" s="149" t="s">
        <v>1028</v>
      </c>
      <c r="C1181" s="148" t="s">
        <v>3543</v>
      </c>
      <c r="D1181" s="148"/>
      <c r="E1181" s="148"/>
      <c r="F1181" s="148"/>
      <c r="G1181" s="193"/>
      <c r="H1181" s="105" t="n">
        <f aca="false">'[2]$ зима'!j1181-'[2]$ зима'!au1181-'[2]$ зима'!at1181-'[2]$ зима'!as1181-'[2]$ зима'!ar1181-'[2]$ зима'!aq1181-'[2]$ зима'!ap1181-'[2]$ зима'!an1181-'[2]$ зима'!am1181-'[2]$ зима'!al1181-'[2]$ зима'!ak1181-'[2]$ зима'!aj1181-'[2]$ зима'!ah1181-'[2]$ зима'!ag1181-'[2]$ зима'!af1181-'[2]$ зима'!ae1181-'[2]$ зима'!ad1181-'[2]$ зима'!ab1181-'[2]$ зима'!aa1181-'[2]$ зима'!z1181-'[2]$ зима'!y1181-'[2]$ зима'!x1181-'[2]$ зима'!v1181-'[2]$ зима'!u1181-'[2]$ зима'!t1181-'[2]$ зима'!s1181-'[2]$ зима'!r1181-'[2]$ зима'!p1181-'[2]$ зима'!o1181-'[2]$ зима'!n1181-'[2]$ зима'!m1181-'[2]$ зима'!l1181+'[2]$ зима'!q1181+'[2]$ зима'!w1181+'[2]$ зима'!ac1181+'[2]$ зима'!ai1181+'[2]$ зима'!ao1181+'[2]$ зима'!k1181</f>
        <v>0</v>
      </c>
      <c r="I1181" s="191" t="n">
        <f aca="false">'[2]$ зима'!ay1181*1.1</f>
        <v>3388</v>
      </c>
    </row>
    <row r="1182" customFormat="false" ht="15" hidden="true" customHeight="false" outlineLevel="0" collapsed="false">
      <c r="A1182" s="197" t="s">
        <v>1851</v>
      </c>
      <c r="B1182" s="198" t="s">
        <v>601</v>
      </c>
      <c r="C1182" s="194" t="s">
        <v>3482</v>
      </c>
      <c r="D1182" s="194"/>
      <c r="E1182" s="194"/>
      <c r="F1182" s="194"/>
      <c r="G1182" s="200"/>
      <c r="H1182" s="105" t="n">
        <f aca="false">'[2]$ зима'!j1182-'[2]$ зима'!au1182-'[2]$ зима'!at1182-'[2]$ зима'!as1182-'[2]$ зима'!ar1182-'[2]$ зима'!aq1182-'[2]$ зима'!ap1182-'[2]$ зима'!an1182-'[2]$ зима'!am1182-'[2]$ зима'!al1182-'[2]$ зима'!ak1182-'[2]$ зима'!aj1182-'[2]$ зима'!ah1182-'[2]$ зима'!ag1182-'[2]$ зима'!af1182-'[2]$ зима'!ae1182-'[2]$ зима'!ad1182-'[2]$ зима'!ab1182-'[2]$ зима'!aa1182-'[2]$ зима'!z1182-'[2]$ зима'!y1182-'[2]$ зима'!x1182-'[2]$ зима'!v1182-'[2]$ зима'!u1182-'[2]$ зима'!t1182-'[2]$ зима'!s1182-'[2]$ зима'!r1182-'[2]$ зима'!p1182-'[2]$ зима'!o1182-'[2]$ зима'!n1182-'[2]$ зима'!m1182-'[2]$ зима'!l1182+'[2]$ зима'!q1182+'[2]$ зима'!w1182+'[2]$ зима'!ac1182+'[2]$ зима'!ai1182+'[2]$ зима'!ao1182+'[2]$ зима'!k1182</f>
        <v>0</v>
      </c>
      <c r="I1182" s="191" t="n">
        <f aca="false">'[2]$ зима'!ay1182*1.1</f>
        <v>4219.6</v>
      </c>
      <c r="J1182" s="201"/>
    </row>
    <row r="1183" customFormat="false" ht="15" hidden="true" customHeight="false" outlineLevel="0" collapsed="false">
      <c r="A1183" s="197" t="s">
        <v>1851</v>
      </c>
      <c r="B1183" s="198" t="s">
        <v>601</v>
      </c>
      <c r="C1183" s="148" t="s">
        <v>3481</v>
      </c>
      <c r="D1183" s="148"/>
      <c r="E1183" s="148"/>
      <c r="F1183" s="148"/>
      <c r="G1183" s="200"/>
      <c r="H1183" s="105" t="n">
        <f aca="false">'[2]$ зима'!j1183-'[2]$ зима'!au1183-'[2]$ зима'!at1183-'[2]$ зима'!as1183-'[2]$ зима'!ar1183-'[2]$ зима'!aq1183-'[2]$ зима'!ap1183-'[2]$ зима'!an1183-'[2]$ зима'!am1183-'[2]$ зима'!al1183-'[2]$ зима'!ak1183-'[2]$ зима'!aj1183-'[2]$ зима'!ah1183-'[2]$ зима'!ag1183-'[2]$ зима'!af1183-'[2]$ зима'!ae1183-'[2]$ зима'!ad1183-'[2]$ зима'!ab1183-'[2]$ зима'!aa1183-'[2]$ зима'!z1183-'[2]$ зима'!y1183-'[2]$ зима'!x1183-'[2]$ зима'!v1183-'[2]$ зима'!u1183-'[2]$ зима'!t1183-'[2]$ зима'!s1183-'[2]$ зима'!r1183-'[2]$ зима'!p1183-'[2]$ зима'!o1183-'[2]$ зима'!n1183-'[2]$ зима'!m1183-'[2]$ зима'!l1183+'[2]$ зима'!q1183+'[2]$ зима'!w1183+'[2]$ зима'!ac1183+'[2]$ зима'!ai1183+'[2]$ зима'!ao1183+'[2]$ зима'!k1183</f>
        <v>0</v>
      </c>
      <c r="I1183" s="191" t="n">
        <f aca="false">'[2]$ зима'!ay1183*1.1</f>
        <v>4065.6</v>
      </c>
      <c r="J1183" s="201"/>
    </row>
    <row r="1184" customFormat="false" ht="15" hidden="true" customHeight="false" outlineLevel="0" collapsed="false">
      <c r="A1184" s="188" t="s">
        <v>1851</v>
      </c>
      <c r="B1184" s="149" t="s">
        <v>707</v>
      </c>
      <c r="C1184" s="148" t="s">
        <v>3376</v>
      </c>
      <c r="D1184" s="148"/>
      <c r="E1184" s="148"/>
      <c r="F1184" s="148"/>
      <c r="G1184" s="193"/>
      <c r="H1184" s="105" t="n">
        <f aca="false">'[2]$ зима'!j1184-'[2]$ зима'!au1184-'[2]$ зима'!at1184-'[2]$ зима'!as1184-'[2]$ зима'!ar1184-'[2]$ зима'!aq1184-'[2]$ зима'!ap1184-'[2]$ зима'!an1184-'[2]$ зима'!am1184-'[2]$ зима'!al1184-'[2]$ зима'!ak1184-'[2]$ зима'!aj1184-'[2]$ зима'!ah1184-'[2]$ зима'!ag1184-'[2]$ зима'!af1184-'[2]$ зима'!ae1184-'[2]$ зима'!ad1184-'[2]$ зима'!ab1184-'[2]$ зима'!aa1184-'[2]$ зима'!z1184-'[2]$ зима'!y1184-'[2]$ зима'!x1184-'[2]$ зима'!v1184-'[2]$ зима'!u1184-'[2]$ зима'!t1184-'[2]$ зима'!s1184-'[2]$ зима'!r1184-'[2]$ зима'!p1184-'[2]$ зима'!o1184-'[2]$ зима'!n1184-'[2]$ зима'!m1184-'[2]$ зима'!l1184+'[2]$ зима'!q1184+'[2]$ зима'!w1184+'[2]$ зима'!ac1184+'[2]$ зима'!ai1184+'[2]$ зима'!ao1184+'[2]$ зима'!k1184</f>
        <v>0</v>
      </c>
      <c r="I1184" s="191" t="n">
        <f aca="false">'[2]$ зима'!ay1184*1.1</f>
        <v>5698</v>
      </c>
    </row>
    <row r="1185" customFormat="false" ht="15" hidden="true" customHeight="false" outlineLevel="0" collapsed="false">
      <c r="A1185" s="188" t="s">
        <v>1851</v>
      </c>
      <c r="B1185" s="198" t="s">
        <v>557</v>
      </c>
      <c r="C1185" s="194" t="s">
        <v>3661</v>
      </c>
      <c r="D1185" s="194"/>
      <c r="E1185" s="194"/>
      <c r="F1185" s="194"/>
      <c r="G1185" s="200"/>
      <c r="H1185" s="105" t="n">
        <f aca="false">'[2]$ зима'!j1185-'[2]$ зима'!au1185-'[2]$ зима'!at1185-'[2]$ зима'!as1185-'[2]$ зима'!ar1185-'[2]$ зима'!aq1185-'[2]$ зима'!ap1185-'[2]$ зима'!an1185-'[2]$ зима'!am1185-'[2]$ зима'!al1185-'[2]$ зима'!ak1185-'[2]$ зима'!aj1185-'[2]$ зима'!ah1185-'[2]$ зима'!ag1185-'[2]$ зима'!af1185-'[2]$ зима'!ae1185-'[2]$ зима'!ad1185-'[2]$ зима'!ab1185-'[2]$ зима'!aa1185-'[2]$ зима'!z1185-'[2]$ зима'!y1185-'[2]$ зима'!x1185-'[2]$ зима'!v1185-'[2]$ зима'!u1185-'[2]$ зима'!t1185-'[2]$ зима'!s1185-'[2]$ зима'!r1185-'[2]$ зима'!p1185-'[2]$ зима'!o1185-'[2]$ зима'!n1185-'[2]$ зима'!m1185-'[2]$ зима'!l1185+'[2]$ зима'!q1185+'[2]$ зима'!w1185+'[2]$ зима'!ac1185+'[2]$ зима'!ai1185+'[2]$ зима'!ao1185+'[2]$ зима'!k1185</f>
        <v>0</v>
      </c>
      <c r="I1185" s="191" t="n">
        <f aca="false">'[2]$ зима'!ay1185*1.1</f>
        <v>2464</v>
      </c>
      <c r="J1185" s="201"/>
    </row>
    <row r="1186" customFormat="false" ht="15" hidden="true" customHeight="false" outlineLevel="0" collapsed="false">
      <c r="A1186" s="188" t="s">
        <v>1851</v>
      </c>
      <c r="B1186" s="198" t="s">
        <v>744</v>
      </c>
      <c r="C1186" s="194" t="s">
        <v>3689</v>
      </c>
      <c r="D1186" s="194"/>
      <c r="E1186" s="194"/>
      <c r="F1186" s="194"/>
      <c r="G1186" s="200"/>
      <c r="H1186" s="105" t="n">
        <f aca="false">'[2]$ зима'!j1186-'[2]$ зима'!au1186-'[2]$ зима'!at1186-'[2]$ зима'!as1186-'[2]$ зима'!ar1186-'[2]$ зима'!aq1186-'[2]$ зима'!ap1186-'[2]$ зима'!an1186-'[2]$ зима'!am1186-'[2]$ зима'!al1186-'[2]$ зима'!ak1186-'[2]$ зима'!aj1186-'[2]$ зима'!ah1186-'[2]$ зима'!ag1186-'[2]$ зима'!af1186-'[2]$ зима'!ae1186-'[2]$ зима'!ad1186-'[2]$ зима'!ab1186-'[2]$ зима'!aa1186-'[2]$ зима'!z1186-'[2]$ зима'!y1186-'[2]$ зима'!x1186-'[2]$ зима'!v1186-'[2]$ зима'!u1186-'[2]$ зима'!t1186-'[2]$ зима'!s1186-'[2]$ зима'!r1186-'[2]$ зима'!p1186-'[2]$ зима'!o1186-'[2]$ зима'!n1186-'[2]$ зима'!m1186-'[2]$ зима'!l1186+'[2]$ зима'!q1186+'[2]$ зима'!w1186+'[2]$ зима'!ac1186+'[2]$ зима'!ai1186+'[2]$ зима'!ao1186+'[2]$ зима'!k1186</f>
        <v>0</v>
      </c>
      <c r="I1186" s="191" t="n">
        <f aca="false">'[2]$ зима'!ay1186*1.1</f>
        <v>4373.6</v>
      </c>
      <c r="J1186" s="201"/>
    </row>
    <row r="1187" customFormat="false" ht="15" hidden="true" customHeight="false" outlineLevel="0" collapsed="false">
      <c r="A1187" s="188" t="s">
        <v>1851</v>
      </c>
      <c r="B1187" s="198" t="s">
        <v>606</v>
      </c>
      <c r="C1187" s="148" t="s">
        <v>3400</v>
      </c>
      <c r="D1187" s="194"/>
      <c r="E1187" s="194" t="n">
        <v>112</v>
      </c>
      <c r="F1187" s="194" t="s">
        <v>3207</v>
      </c>
      <c r="G1187" s="200" t="s">
        <v>857</v>
      </c>
      <c r="H1187" s="105" t="n">
        <f aca="false">'[2]$ зима'!j1187-'[2]$ зима'!au1187-'[2]$ зима'!at1187-'[2]$ зима'!as1187-'[2]$ зима'!ar1187-'[2]$ зима'!aq1187-'[2]$ зима'!ap1187-'[2]$ зима'!an1187-'[2]$ зима'!am1187-'[2]$ зима'!al1187-'[2]$ зима'!ak1187-'[2]$ зима'!aj1187-'[2]$ зима'!ah1187-'[2]$ зима'!ag1187-'[2]$ зима'!af1187-'[2]$ зима'!ae1187-'[2]$ зима'!ad1187-'[2]$ зима'!ab1187-'[2]$ зима'!aa1187-'[2]$ зима'!z1187-'[2]$ зима'!y1187-'[2]$ зима'!x1187-'[2]$ зима'!v1187-'[2]$ зима'!u1187-'[2]$ зима'!t1187-'[2]$ зима'!s1187-'[2]$ зима'!r1187-'[2]$ зима'!p1187-'[2]$ зима'!o1187-'[2]$ зима'!n1187-'[2]$ зима'!m1187-'[2]$ зима'!l1187+'[2]$ зима'!q1187+'[2]$ зима'!w1187+'[2]$ зима'!ac1187+'[2]$ зима'!ai1187+'[2]$ зима'!ao1187+'[2]$ зима'!k1187</f>
        <v>0</v>
      </c>
      <c r="I1187" s="191" t="n">
        <f aca="false">'[2]$ зима'!ay1187*1.1</f>
        <v>3234</v>
      </c>
      <c r="J1187" s="201"/>
    </row>
    <row r="1188" customFormat="false" ht="15" hidden="true" customHeight="false" outlineLevel="0" collapsed="false">
      <c r="A1188" s="188" t="s">
        <v>1851</v>
      </c>
      <c r="B1188" s="198" t="s">
        <v>606</v>
      </c>
      <c r="C1188" s="148" t="s">
        <v>3690</v>
      </c>
      <c r="D1188" s="194"/>
      <c r="E1188" s="194" t="n">
        <v>112</v>
      </c>
      <c r="F1188" s="194" t="s">
        <v>562</v>
      </c>
      <c r="G1188" s="200" t="s">
        <v>857</v>
      </c>
      <c r="H1188" s="105" t="n">
        <f aca="false">'[2]$ зима'!j1188-'[2]$ зима'!au1188-'[2]$ зима'!at1188-'[2]$ зима'!as1188-'[2]$ зима'!ar1188-'[2]$ зима'!aq1188-'[2]$ зима'!ap1188-'[2]$ зима'!an1188-'[2]$ зима'!am1188-'[2]$ зима'!al1188-'[2]$ зима'!ak1188-'[2]$ зима'!aj1188-'[2]$ зима'!ah1188-'[2]$ зима'!ag1188-'[2]$ зима'!af1188-'[2]$ зима'!ae1188-'[2]$ зима'!ad1188-'[2]$ зима'!ab1188-'[2]$ зима'!aa1188-'[2]$ зима'!z1188-'[2]$ зима'!y1188-'[2]$ зима'!x1188-'[2]$ зима'!v1188-'[2]$ зима'!u1188-'[2]$ зима'!t1188-'[2]$ зима'!s1188-'[2]$ зима'!r1188-'[2]$ зима'!p1188-'[2]$ зима'!o1188-'[2]$ зима'!n1188-'[2]$ зима'!m1188-'[2]$ зима'!l1188+'[2]$ зима'!q1188+'[2]$ зима'!w1188+'[2]$ зима'!ac1188+'[2]$ зима'!ai1188+'[2]$ зима'!ao1188+'[2]$ зима'!k1188</f>
        <v>0</v>
      </c>
      <c r="I1188" s="191" t="n">
        <f aca="false">'[2]$ зима'!ay1188*1.1</f>
        <v>3080</v>
      </c>
      <c r="J1188" s="201"/>
    </row>
    <row r="1189" customFormat="false" ht="15" hidden="false" customHeight="false" outlineLevel="0" collapsed="false">
      <c r="A1189" s="188" t="s">
        <v>1851</v>
      </c>
      <c r="B1189" s="198" t="s">
        <v>606</v>
      </c>
      <c r="C1189" s="148" t="s">
        <v>3459</v>
      </c>
      <c r="D1189" s="194"/>
      <c r="E1189" s="195"/>
      <c r="F1189" s="195" t="s">
        <v>3286</v>
      </c>
      <c r="G1189" s="200"/>
      <c r="H1189" s="105" t="n">
        <f aca="false">'[2]$ зима'!j1189-'[2]$ зима'!au1189-'[2]$ зима'!at1189-'[2]$ зима'!as1189-'[2]$ зима'!ar1189-'[2]$ зима'!aq1189-'[2]$ зима'!ap1189-'[2]$ зима'!an1189-'[2]$ зима'!am1189-'[2]$ зима'!al1189-'[2]$ зима'!ak1189-'[2]$ зима'!aj1189-'[2]$ зима'!ah1189-'[2]$ зима'!ag1189-'[2]$ зима'!af1189-'[2]$ зима'!ae1189-'[2]$ зима'!ad1189-'[2]$ зима'!ab1189-'[2]$ зима'!aa1189-'[2]$ зима'!z1189-'[2]$ зима'!y1189-'[2]$ зима'!x1189-'[2]$ зима'!v1189-'[2]$ зима'!u1189-'[2]$ зима'!t1189-'[2]$ зима'!s1189-'[2]$ зима'!r1189-'[2]$ зима'!p1189-'[2]$ зима'!o1189-'[2]$ зима'!n1189-'[2]$ зима'!m1189-'[2]$ зима'!l1189+'[2]$ зима'!q1189+'[2]$ зима'!w1189+'[2]$ зима'!ac1189+'[2]$ зима'!ai1189+'[2]$ зима'!ao1189+'[2]$ зима'!k1189</f>
        <v>4</v>
      </c>
      <c r="I1189" s="191" t="n">
        <f aca="false">'[2]$ зима'!ay1189*1.1</f>
        <v>3080</v>
      </c>
      <c r="J1189" s="201"/>
    </row>
    <row r="1190" customFormat="false" ht="15" hidden="true" customHeight="false" outlineLevel="0" collapsed="false">
      <c r="A1190" s="188" t="s">
        <v>1851</v>
      </c>
      <c r="B1190" s="198" t="s">
        <v>3691</v>
      </c>
      <c r="C1190" s="194" t="s">
        <v>3692</v>
      </c>
      <c r="D1190" s="194"/>
      <c r="E1190" s="194"/>
      <c r="F1190" s="194"/>
      <c r="G1190" s="200"/>
      <c r="H1190" s="105" t="n">
        <f aca="false">'[2]$ зима'!j1190-'[2]$ зима'!au1190-'[2]$ зима'!at1190-'[2]$ зима'!as1190-'[2]$ зима'!ar1190-'[2]$ зима'!aq1190-'[2]$ зима'!ap1190-'[2]$ зима'!an1190-'[2]$ зима'!am1190-'[2]$ зима'!al1190-'[2]$ зима'!ak1190-'[2]$ зима'!aj1190-'[2]$ зима'!ah1190-'[2]$ зима'!ag1190-'[2]$ зима'!af1190-'[2]$ зима'!ae1190-'[2]$ зима'!ad1190-'[2]$ зима'!ab1190-'[2]$ зима'!aa1190-'[2]$ зима'!z1190-'[2]$ зима'!y1190-'[2]$ зима'!x1190-'[2]$ зима'!v1190-'[2]$ зима'!u1190-'[2]$ зима'!t1190-'[2]$ зима'!s1190-'[2]$ зима'!r1190-'[2]$ зима'!p1190-'[2]$ зима'!o1190-'[2]$ зима'!n1190-'[2]$ зима'!m1190-'[2]$ зима'!l1190+'[2]$ зима'!q1190+'[2]$ зима'!w1190+'[2]$ зима'!ac1190+'[2]$ зима'!ai1190+'[2]$ зима'!ao1190+'[2]$ зима'!k1190</f>
        <v>0</v>
      </c>
      <c r="I1190" s="191" t="n">
        <f aca="false">'[2]$ зима'!ay1190*1.1</f>
        <v>2156</v>
      </c>
      <c r="J1190" s="201"/>
    </row>
    <row r="1191" customFormat="false" ht="15" hidden="true" customHeight="false" outlineLevel="0" collapsed="false">
      <c r="A1191" s="188" t="s">
        <v>1851</v>
      </c>
      <c r="B1191" s="198" t="s">
        <v>3311</v>
      </c>
      <c r="C1191" s="194" t="s">
        <v>3693</v>
      </c>
      <c r="D1191" s="194"/>
      <c r="E1191" s="194"/>
      <c r="F1191" s="194"/>
      <c r="G1191" s="200"/>
      <c r="H1191" s="105" t="n">
        <f aca="false">'[2]$ зима'!j1191-'[2]$ зима'!au1191-'[2]$ зима'!at1191-'[2]$ зима'!as1191-'[2]$ зима'!ar1191-'[2]$ зима'!aq1191-'[2]$ зима'!ap1191-'[2]$ зима'!an1191-'[2]$ зима'!am1191-'[2]$ зима'!al1191-'[2]$ зима'!ak1191-'[2]$ зима'!aj1191-'[2]$ зима'!ah1191-'[2]$ зима'!ag1191-'[2]$ зима'!af1191-'[2]$ зима'!ae1191-'[2]$ зима'!ad1191-'[2]$ зима'!ab1191-'[2]$ зима'!aa1191-'[2]$ зима'!z1191-'[2]$ зима'!y1191-'[2]$ зима'!x1191-'[2]$ зима'!v1191-'[2]$ зима'!u1191-'[2]$ зима'!t1191-'[2]$ зима'!s1191-'[2]$ зима'!r1191-'[2]$ зима'!p1191-'[2]$ зима'!o1191-'[2]$ зима'!n1191-'[2]$ зима'!m1191-'[2]$ зима'!l1191+'[2]$ зима'!q1191+'[2]$ зима'!w1191+'[2]$ зима'!ac1191+'[2]$ зима'!ai1191+'[2]$ зима'!ao1191+'[2]$ зима'!k1191</f>
        <v>0</v>
      </c>
      <c r="I1191" s="191" t="n">
        <f aca="false">'[2]$ зима'!ay1191*1.1</f>
        <v>2156</v>
      </c>
      <c r="J1191" s="201"/>
    </row>
    <row r="1192" customFormat="false" ht="15" hidden="false" customHeight="false" outlineLevel="0" collapsed="false">
      <c r="A1192" s="188" t="s">
        <v>1851</v>
      </c>
      <c r="B1192" s="198" t="s">
        <v>668</v>
      </c>
      <c r="C1192" s="194" t="s">
        <v>3182</v>
      </c>
      <c r="D1192" s="148"/>
      <c r="E1192" s="192"/>
      <c r="F1192" s="192"/>
      <c r="G1192" s="200" t="s">
        <v>609</v>
      </c>
      <c r="H1192" s="105" t="n">
        <f aca="false">'[2]$ зима'!j1192-'[2]$ зима'!au1192-'[2]$ зима'!at1192-'[2]$ зима'!as1192-'[2]$ зима'!ar1192-'[2]$ зима'!aq1192-'[2]$ зима'!ap1192-'[2]$ зима'!an1192-'[2]$ зима'!am1192-'[2]$ зима'!al1192-'[2]$ зима'!ak1192-'[2]$ зима'!aj1192-'[2]$ зима'!ah1192-'[2]$ зима'!ag1192-'[2]$ зима'!af1192-'[2]$ зима'!ae1192-'[2]$ зима'!ad1192-'[2]$ зима'!ab1192-'[2]$ зима'!aa1192-'[2]$ зима'!z1192-'[2]$ зима'!y1192-'[2]$ зима'!x1192-'[2]$ зима'!v1192-'[2]$ зима'!u1192-'[2]$ зима'!t1192-'[2]$ зима'!s1192-'[2]$ зима'!r1192-'[2]$ зима'!p1192-'[2]$ зима'!o1192-'[2]$ зима'!n1192-'[2]$ зима'!m1192-'[2]$ зима'!l1192+'[2]$ зима'!q1192+'[2]$ зима'!w1192+'[2]$ зима'!ac1192+'[2]$ зима'!ai1192+'[2]$ зима'!ao1192+'[2]$ зима'!k1192</f>
        <v>8</v>
      </c>
      <c r="I1192" s="191" t="n">
        <f aca="false">'[2]$ зима'!ay1192*1.1</f>
        <v>2587.2</v>
      </c>
      <c r="J1192" s="201" t="n">
        <v>2017</v>
      </c>
    </row>
    <row r="1193" customFormat="false" ht="15" hidden="false" customHeight="false" outlineLevel="0" collapsed="false">
      <c r="A1193" s="188" t="s">
        <v>1851</v>
      </c>
      <c r="B1193" s="198" t="s">
        <v>574</v>
      </c>
      <c r="C1193" s="194" t="s">
        <v>3381</v>
      </c>
      <c r="D1193" s="194"/>
      <c r="E1193" s="195"/>
      <c r="F1193" s="195" t="s">
        <v>3286</v>
      </c>
      <c r="G1193" s="193" t="s">
        <v>576</v>
      </c>
      <c r="H1193" s="105" t="n">
        <f aca="false">'[2]$ зима'!j1193-'[2]$ зима'!au1193-'[2]$ зима'!at1193-'[2]$ зима'!as1193-'[2]$ зима'!ar1193-'[2]$ зима'!aq1193-'[2]$ зима'!ap1193-'[2]$ зима'!an1193-'[2]$ зима'!am1193-'[2]$ зима'!al1193-'[2]$ зима'!ak1193-'[2]$ зима'!aj1193-'[2]$ зима'!ah1193-'[2]$ зима'!ag1193-'[2]$ зима'!af1193-'[2]$ зима'!ae1193-'[2]$ зима'!ad1193-'[2]$ зима'!ab1193-'[2]$ зима'!aa1193-'[2]$ зима'!z1193-'[2]$ зима'!y1193-'[2]$ зима'!x1193-'[2]$ зима'!v1193-'[2]$ зима'!u1193-'[2]$ зима'!t1193-'[2]$ зима'!s1193-'[2]$ зима'!r1193-'[2]$ зима'!p1193-'[2]$ зима'!o1193-'[2]$ зима'!n1193-'[2]$ зима'!m1193-'[2]$ зима'!l1193+'[2]$ зима'!q1193+'[2]$ зима'!w1193+'[2]$ зима'!ac1193+'[2]$ зима'!ai1193+'[2]$ зима'!ao1193+'[2]$ зима'!k1193</f>
        <v>4</v>
      </c>
      <c r="I1193" s="191" t="n">
        <f aca="false">'[2]$ зима'!ay1193*1.1</f>
        <v>2874.08</v>
      </c>
      <c r="J1193" s="201"/>
    </row>
    <row r="1194" customFormat="false" ht="15" hidden="true" customHeight="false" outlineLevel="0" collapsed="false">
      <c r="A1194" s="188" t="s">
        <v>1851</v>
      </c>
      <c r="B1194" s="198" t="s">
        <v>1471</v>
      </c>
      <c r="C1194" s="148" t="s">
        <v>3694</v>
      </c>
      <c r="D1194" s="148"/>
      <c r="E1194" s="148" t="n">
        <v>116</v>
      </c>
      <c r="F1194" s="148" t="s">
        <v>3220</v>
      </c>
      <c r="G1194" s="200" t="s">
        <v>857</v>
      </c>
      <c r="H1194" s="105" t="n">
        <f aca="false">'[2]$ зима'!j1194-'[2]$ зима'!au1194-'[2]$ зима'!at1194-'[2]$ зима'!as1194-'[2]$ зима'!ar1194-'[2]$ зима'!aq1194-'[2]$ зима'!ap1194-'[2]$ зима'!an1194-'[2]$ зима'!am1194-'[2]$ зима'!al1194-'[2]$ зима'!ak1194-'[2]$ зима'!aj1194-'[2]$ зима'!ah1194-'[2]$ зима'!ag1194-'[2]$ зима'!af1194-'[2]$ зима'!ae1194-'[2]$ зима'!ad1194-'[2]$ зима'!ab1194-'[2]$ зима'!aa1194-'[2]$ зима'!z1194-'[2]$ зима'!y1194-'[2]$ зима'!x1194-'[2]$ зима'!v1194-'[2]$ зима'!u1194-'[2]$ зима'!t1194-'[2]$ зима'!s1194-'[2]$ зима'!r1194-'[2]$ зима'!p1194-'[2]$ зима'!o1194-'[2]$ зима'!n1194-'[2]$ зима'!m1194-'[2]$ зима'!l1194+'[2]$ зима'!q1194+'[2]$ зима'!w1194+'[2]$ зима'!ac1194+'[2]$ зима'!ai1194+'[2]$ зима'!ao1194+'[2]$ зима'!k1194</f>
        <v>0</v>
      </c>
      <c r="I1194" s="191" t="n">
        <f aca="false">'[2]$ зима'!ay1194*1.1</f>
        <v>2772</v>
      </c>
      <c r="J1194" s="201" t="n">
        <v>2017</v>
      </c>
    </row>
    <row r="1195" customFormat="false" ht="15" hidden="true" customHeight="false" outlineLevel="0" collapsed="false">
      <c r="A1195" s="188" t="s">
        <v>1851</v>
      </c>
      <c r="B1195" s="198" t="s">
        <v>1471</v>
      </c>
      <c r="C1195" s="148" t="s">
        <v>3695</v>
      </c>
      <c r="D1195" s="148"/>
      <c r="E1195" s="148" t="n">
        <v>116</v>
      </c>
      <c r="F1195" s="148" t="s">
        <v>562</v>
      </c>
      <c r="G1195" s="200"/>
      <c r="H1195" s="105" t="n">
        <f aca="false">'[2]$ зима'!j1195-'[2]$ зима'!au1195-'[2]$ зима'!at1195-'[2]$ зима'!as1195-'[2]$ зима'!ar1195-'[2]$ зима'!aq1195-'[2]$ зима'!ap1195-'[2]$ зима'!an1195-'[2]$ зима'!am1195-'[2]$ зима'!al1195-'[2]$ зима'!ak1195-'[2]$ зима'!aj1195-'[2]$ зима'!ah1195-'[2]$ зима'!ag1195-'[2]$ зима'!af1195-'[2]$ зима'!ae1195-'[2]$ зима'!ad1195-'[2]$ зима'!ab1195-'[2]$ зима'!aa1195-'[2]$ зима'!z1195-'[2]$ зима'!y1195-'[2]$ зима'!x1195-'[2]$ зима'!v1195-'[2]$ зима'!u1195-'[2]$ зима'!t1195-'[2]$ зима'!s1195-'[2]$ зима'!r1195-'[2]$ зима'!p1195-'[2]$ зима'!o1195-'[2]$ зима'!n1195-'[2]$ зима'!m1195-'[2]$ зима'!l1195+'[2]$ зима'!q1195+'[2]$ зима'!w1195+'[2]$ зима'!ac1195+'[2]$ зима'!ai1195+'[2]$ зима'!ao1195+'[2]$ зима'!k1195</f>
        <v>0</v>
      </c>
      <c r="I1195" s="191" t="n">
        <f aca="false">'[2]$ зима'!ay1195*1.1</f>
        <v>2772</v>
      </c>
      <c r="J1195" s="201" t="n">
        <v>2017</v>
      </c>
    </row>
    <row r="1196" customFormat="false" ht="15" hidden="false" customHeight="false" outlineLevel="0" collapsed="false">
      <c r="A1196" s="188" t="s">
        <v>1851</v>
      </c>
      <c r="B1196" s="149" t="s">
        <v>593</v>
      </c>
      <c r="C1196" s="148" t="s">
        <v>3534</v>
      </c>
      <c r="D1196" s="148"/>
      <c r="E1196" s="192" t="n">
        <v>112</v>
      </c>
      <c r="F1196" s="192" t="s">
        <v>562</v>
      </c>
      <c r="G1196" s="193" t="s">
        <v>2382</v>
      </c>
      <c r="H1196" s="105" t="n">
        <f aca="false">'[2]$ зима'!j1196-'[2]$ зима'!au1196-'[2]$ зима'!at1196-'[2]$ зима'!as1196-'[2]$ зима'!ar1196-'[2]$ зима'!aq1196-'[2]$ зима'!ap1196-'[2]$ зима'!an1196-'[2]$ зима'!am1196-'[2]$ зима'!al1196-'[2]$ зима'!ak1196-'[2]$ зима'!aj1196-'[2]$ зима'!ah1196-'[2]$ зима'!ag1196-'[2]$ зима'!af1196-'[2]$ зима'!ae1196-'[2]$ зима'!ad1196-'[2]$ зима'!ab1196-'[2]$ зима'!aa1196-'[2]$ зима'!z1196-'[2]$ зима'!y1196-'[2]$ зима'!x1196-'[2]$ зима'!v1196-'[2]$ зима'!u1196-'[2]$ зима'!t1196-'[2]$ зима'!s1196-'[2]$ зима'!r1196-'[2]$ зима'!p1196-'[2]$ зима'!o1196-'[2]$ зима'!n1196-'[2]$ зима'!m1196-'[2]$ зима'!l1196+'[2]$ зима'!q1196+'[2]$ зима'!w1196+'[2]$ зима'!ac1196+'[2]$ зима'!ai1196+'[2]$ зима'!ao1196+'[2]$ зима'!k1196</f>
        <v>4</v>
      </c>
      <c r="I1196" s="191" t="n">
        <f aca="false">'[2]$ зима'!ay1196*1.1</f>
        <v>4096.4</v>
      </c>
      <c r="J1196" s="171" t="n">
        <v>2017</v>
      </c>
    </row>
    <row r="1197" customFormat="false" ht="15" hidden="true" customHeight="false" outlineLevel="0" collapsed="false">
      <c r="A1197" s="188" t="s">
        <v>1851</v>
      </c>
      <c r="B1197" s="149" t="s">
        <v>593</v>
      </c>
      <c r="C1197" s="148" t="s">
        <v>3696</v>
      </c>
      <c r="D1197" s="148"/>
      <c r="E1197" s="148" t="n">
        <v>116</v>
      </c>
      <c r="F1197" s="148" t="s">
        <v>634</v>
      </c>
      <c r="G1197" s="193" t="s">
        <v>663</v>
      </c>
      <c r="H1197" s="105" t="n">
        <f aca="false">'[2]$ зима'!j1197-'[2]$ зима'!au1197-'[2]$ зима'!at1197-'[2]$ зима'!as1197-'[2]$ зима'!ar1197-'[2]$ зима'!aq1197-'[2]$ зима'!ap1197-'[2]$ зима'!an1197-'[2]$ зима'!am1197-'[2]$ зима'!al1197-'[2]$ зима'!ak1197-'[2]$ зима'!aj1197-'[2]$ зима'!ah1197-'[2]$ зима'!ag1197-'[2]$ зима'!af1197-'[2]$ зима'!ae1197-'[2]$ зима'!ad1197-'[2]$ зима'!ab1197-'[2]$ зима'!aa1197-'[2]$ зима'!z1197-'[2]$ зима'!y1197-'[2]$ зима'!x1197-'[2]$ зима'!v1197-'[2]$ зима'!u1197-'[2]$ зима'!t1197-'[2]$ зима'!s1197-'[2]$ зима'!r1197-'[2]$ зима'!p1197-'[2]$ зима'!o1197-'[2]$ зима'!n1197-'[2]$ зима'!m1197-'[2]$ зима'!l1197+'[2]$ зима'!q1197+'[2]$ зима'!w1197+'[2]$ зима'!ac1197+'[2]$ зима'!ai1197+'[2]$ зима'!ao1197+'[2]$ зима'!k1197</f>
        <v>0</v>
      </c>
      <c r="I1197" s="191" t="n">
        <f aca="false">'[2]$ зима'!ay1197*1.1</f>
        <v>4527.6</v>
      </c>
      <c r="J1197" s="171" t="n">
        <v>2015</v>
      </c>
    </row>
    <row r="1198" customFormat="false" ht="15" hidden="false" customHeight="false" outlineLevel="0" collapsed="false">
      <c r="A1198" s="196" t="s">
        <v>1851</v>
      </c>
      <c r="B1198" s="149" t="s">
        <v>1051</v>
      </c>
      <c r="C1198" s="148" t="s">
        <v>3697</v>
      </c>
      <c r="D1198" s="148" t="s">
        <v>3127</v>
      </c>
      <c r="E1198" s="192"/>
      <c r="F1198" s="192"/>
      <c r="G1198" s="193"/>
      <c r="H1198" s="105" t="n">
        <f aca="false">'[2]$ зима'!j1198-'[2]$ зима'!au1198-'[2]$ зима'!at1198-'[2]$ зима'!as1198-'[2]$ зима'!ar1198-'[2]$ зима'!aq1198-'[2]$ зима'!ap1198-'[2]$ зима'!an1198-'[2]$ зима'!am1198-'[2]$ зима'!al1198-'[2]$ зима'!ak1198-'[2]$ зима'!aj1198-'[2]$ зима'!ah1198-'[2]$ зима'!ag1198-'[2]$ зима'!af1198-'[2]$ зима'!ae1198-'[2]$ зима'!ad1198-'[2]$ зима'!ab1198-'[2]$ зима'!aa1198-'[2]$ зима'!z1198-'[2]$ зима'!y1198-'[2]$ зима'!x1198-'[2]$ зима'!v1198-'[2]$ зима'!u1198-'[2]$ зима'!t1198-'[2]$ зима'!s1198-'[2]$ зима'!r1198-'[2]$ зима'!p1198-'[2]$ зима'!o1198-'[2]$ зима'!n1198-'[2]$ зима'!m1198-'[2]$ зима'!l1198+'[2]$ зима'!q1198+'[2]$ зима'!w1198+'[2]$ зима'!ac1198+'[2]$ зима'!ai1198+'[2]$ зима'!ao1198+'[2]$ зима'!k1198</f>
        <v>4</v>
      </c>
      <c r="I1198" s="191" t="n">
        <f aca="false">'[2]$ зима'!ay1198*1.1</f>
        <v>2156</v>
      </c>
    </row>
    <row r="1199" customFormat="false" ht="15" hidden="false" customHeight="false" outlineLevel="0" collapsed="false">
      <c r="A1199" s="188" t="s">
        <v>1851</v>
      </c>
      <c r="B1199" s="149" t="s">
        <v>3142</v>
      </c>
      <c r="C1199" s="148" t="s">
        <v>3539</v>
      </c>
      <c r="D1199" s="148" t="s">
        <v>3127</v>
      </c>
      <c r="E1199" s="192" t="n">
        <v>116</v>
      </c>
      <c r="F1199" s="192" t="s">
        <v>3216</v>
      </c>
      <c r="G1199" s="193"/>
      <c r="H1199" s="105" t="n">
        <f aca="false">'[2]$ зима'!j1199-'[2]$ зима'!au1199-'[2]$ зима'!at1199-'[2]$ зима'!as1199-'[2]$ зима'!ar1199-'[2]$ зима'!aq1199-'[2]$ зима'!ap1199-'[2]$ зима'!an1199-'[2]$ зима'!am1199-'[2]$ зима'!al1199-'[2]$ зима'!ak1199-'[2]$ зима'!aj1199-'[2]$ зима'!ah1199-'[2]$ зима'!ag1199-'[2]$ зима'!af1199-'[2]$ зима'!ae1199-'[2]$ зима'!ad1199-'[2]$ зима'!ab1199-'[2]$ зима'!aa1199-'[2]$ зима'!z1199-'[2]$ зима'!y1199-'[2]$ зима'!x1199-'[2]$ зима'!v1199-'[2]$ зима'!u1199-'[2]$ зима'!t1199-'[2]$ зима'!s1199-'[2]$ зима'!r1199-'[2]$ зима'!p1199-'[2]$ зима'!o1199-'[2]$ зима'!n1199-'[2]$ зима'!m1199-'[2]$ зима'!l1199+'[2]$ зима'!q1199+'[2]$ зима'!w1199+'[2]$ зима'!ac1199+'[2]$ зима'!ai1199+'[2]$ зима'!ao1199+'[2]$ зима'!k1199</f>
        <v>4</v>
      </c>
      <c r="I1199" s="191" t="n">
        <f aca="false">'[2]$ зима'!ay1199*1.1</f>
        <v>2371.6</v>
      </c>
      <c r="J1199" s="171" t="n">
        <v>2016</v>
      </c>
    </row>
    <row r="1200" customFormat="false" ht="15" hidden="false" customHeight="false" outlineLevel="0" collapsed="false">
      <c r="A1200" s="188" t="s">
        <v>1851</v>
      </c>
      <c r="B1200" s="149" t="s">
        <v>1149</v>
      </c>
      <c r="C1200" s="148" t="s">
        <v>3698</v>
      </c>
      <c r="D1200" s="148"/>
      <c r="E1200" s="192"/>
      <c r="F1200" s="192" t="s">
        <v>3286</v>
      </c>
      <c r="G1200" s="193"/>
      <c r="H1200" s="105" t="n">
        <f aca="false">'[2]$ зима'!j1200-'[2]$ зима'!au1200-'[2]$ зима'!at1200-'[2]$ зима'!as1200-'[2]$ зима'!ar1200-'[2]$ зима'!aq1200-'[2]$ зима'!ap1200-'[2]$ зима'!an1200-'[2]$ зима'!am1200-'[2]$ зима'!al1200-'[2]$ зима'!ak1200-'[2]$ зима'!aj1200-'[2]$ зима'!ah1200-'[2]$ зима'!ag1200-'[2]$ зима'!af1200-'[2]$ зима'!ae1200-'[2]$ зима'!ad1200-'[2]$ зима'!ab1200-'[2]$ зима'!aa1200-'[2]$ зима'!z1200-'[2]$ зима'!y1200-'[2]$ зима'!x1200-'[2]$ зима'!v1200-'[2]$ зима'!u1200-'[2]$ зима'!t1200-'[2]$ зима'!s1200-'[2]$ зима'!r1200-'[2]$ зима'!p1200-'[2]$ зима'!o1200-'[2]$ зима'!n1200-'[2]$ зима'!m1200-'[2]$ зима'!l1200+'[2]$ зима'!q1200+'[2]$ зима'!w1200+'[2]$ зима'!ac1200+'[2]$ зима'!ai1200+'[2]$ зима'!ao1200+'[2]$ зима'!k1200</f>
        <v>4</v>
      </c>
      <c r="I1200" s="191" t="n">
        <f aca="false">'[2]$ зима'!ay1200*1.1</f>
        <v>3326.4</v>
      </c>
      <c r="J1200" s="171" t="n">
        <v>2017</v>
      </c>
    </row>
    <row r="1201" customFormat="false" ht="15" hidden="false" customHeight="false" outlineLevel="0" collapsed="false">
      <c r="A1201" s="188" t="s">
        <v>1851</v>
      </c>
      <c r="B1201" s="149" t="s">
        <v>621</v>
      </c>
      <c r="C1201" s="148" t="s">
        <v>3626</v>
      </c>
      <c r="D1201" s="148"/>
      <c r="E1201" s="192" t="n">
        <v>112</v>
      </c>
      <c r="F1201" s="192" t="s">
        <v>562</v>
      </c>
      <c r="G1201" s="193" t="s">
        <v>520</v>
      </c>
      <c r="H1201" s="105" t="n">
        <f aca="false">'[2]$ зима'!j1201-'[2]$ зима'!au1201-'[2]$ зима'!at1201-'[2]$ зима'!as1201-'[2]$ зима'!ar1201-'[2]$ зима'!aq1201-'[2]$ зима'!ap1201-'[2]$ зима'!an1201-'[2]$ зима'!am1201-'[2]$ зима'!al1201-'[2]$ зима'!ak1201-'[2]$ зима'!aj1201-'[2]$ зима'!ah1201-'[2]$ зима'!ag1201-'[2]$ зима'!af1201-'[2]$ зима'!ae1201-'[2]$ зима'!ad1201-'[2]$ зима'!ab1201-'[2]$ зима'!aa1201-'[2]$ зима'!z1201-'[2]$ зима'!y1201-'[2]$ зима'!x1201-'[2]$ зима'!v1201-'[2]$ зима'!u1201-'[2]$ зима'!t1201-'[2]$ зима'!s1201-'[2]$ зима'!r1201-'[2]$ зима'!p1201-'[2]$ зима'!o1201-'[2]$ зима'!n1201-'[2]$ зима'!m1201-'[2]$ зима'!l1201+'[2]$ зима'!q1201+'[2]$ зима'!w1201+'[2]$ зима'!ac1201+'[2]$ зима'!ai1201+'[2]$ зима'!ao1201+'[2]$ зима'!k1201</f>
        <v>12</v>
      </c>
      <c r="I1201" s="191" t="n">
        <f aca="false">'[2]$ зима'!ay1201*1.1</f>
        <v>2530</v>
      </c>
    </row>
    <row r="1202" customFormat="false" ht="15" hidden="true" customHeight="false" outlineLevel="0" collapsed="false">
      <c r="A1202" s="188" t="s">
        <v>1851</v>
      </c>
      <c r="B1202" s="149" t="s">
        <v>589</v>
      </c>
      <c r="C1202" s="148" t="s">
        <v>3699</v>
      </c>
      <c r="D1202" s="148"/>
      <c r="E1202" s="148"/>
      <c r="F1202" s="148"/>
      <c r="G1202" s="193" t="s">
        <v>626</v>
      </c>
      <c r="H1202" s="105" t="n">
        <f aca="false">'[2]$ зима'!j1202-'[2]$ зима'!au1202-'[2]$ зима'!at1202-'[2]$ зима'!as1202-'[2]$ зима'!ar1202-'[2]$ зима'!aq1202-'[2]$ зима'!ap1202-'[2]$ зима'!an1202-'[2]$ зима'!am1202-'[2]$ зима'!al1202-'[2]$ зима'!ak1202-'[2]$ зима'!aj1202-'[2]$ зима'!ah1202-'[2]$ зима'!ag1202-'[2]$ зима'!af1202-'[2]$ зима'!ae1202-'[2]$ зима'!ad1202-'[2]$ зима'!ab1202-'[2]$ зима'!aa1202-'[2]$ зима'!z1202-'[2]$ зима'!y1202-'[2]$ зима'!x1202-'[2]$ зима'!v1202-'[2]$ зима'!u1202-'[2]$ зима'!t1202-'[2]$ зима'!s1202-'[2]$ зима'!r1202-'[2]$ зима'!p1202-'[2]$ зима'!o1202-'[2]$ зима'!n1202-'[2]$ зима'!m1202-'[2]$ зима'!l1202+'[2]$ зима'!q1202+'[2]$ зима'!w1202+'[2]$ зима'!ac1202+'[2]$ зима'!ai1202+'[2]$ зима'!ao1202+'[2]$ зима'!k1202</f>
        <v>0</v>
      </c>
      <c r="I1202" s="191" t="n">
        <f aca="false">'[2]$ зима'!ay1202*1.1</f>
        <v>3766.73</v>
      </c>
      <c r="J1202" s="171" t="n">
        <v>2017</v>
      </c>
    </row>
    <row r="1203" customFormat="false" ht="15" hidden="false" customHeight="false" outlineLevel="0" collapsed="false">
      <c r="A1203" s="188" t="s">
        <v>1851</v>
      </c>
      <c r="B1203" s="149" t="s">
        <v>589</v>
      </c>
      <c r="C1203" s="148" t="s">
        <v>3209</v>
      </c>
      <c r="D1203" s="148"/>
      <c r="E1203" s="192" t="n">
        <v>112</v>
      </c>
      <c r="F1203" s="192" t="s">
        <v>3207</v>
      </c>
      <c r="G1203" s="193" t="s">
        <v>626</v>
      </c>
      <c r="H1203" s="105" t="n">
        <f aca="false">'[2]$ зима'!j1203-'[2]$ зима'!au1203-'[2]$ зима'!at1203-'[2]$ зима'!as1203-'[2]$ зима'!ar1203-'[2]$ зима'!aq1203-'[2]$ зима'!ap1203-'[2]$ зима'!an1203-'[2]$ зима'!am1203-'[2]$ зима'!al1203-'[2]$ зима'!ak1203-'[2]$ зима'!aj1203-'[2]$ зима'!ah1203-'[2]$ зима'!ag1203-'[2]$ зима'!af1203-'[2]$ зима'!ae1203-'[2]$ зима'!ad1203-'[2]$ зима'!ab1203-'[2]$ зима'!aa1203-'[2]$ зима'!z1203-'[2]$ зима'!y1203-'[2]$ зима'!x1203-'[2]$ зима'!v1203-'[2]$ зима'!u1203-'[2]$ зима'!t1203-'[2]$ зима'!s1203-'[2]$ зима'!r1203-'[2]$ зима'!p1203-'[2]$ зима'!o1203-'[2]$ зима'!n1203-'[2]$ зима'!m1203-'[2]$ зима'!l1203+'[2]$ зима'!q1203+'[2]$ зима'!w1203+'[2]$ зима'!ac1203+'[2]$ зима'!ai1203+'[2]$ зима'!ao1203+'[2]$ зима'!k1203</f>
        <v>12</v>
      </c>
      <c r="I1203" s="191" t="n">
        <f aca="false">'[2]$ зима'!ay1203*1.1</f>
        <v>3905</v>
      </c>
      <c r="J1203" s="171" t="n">
        <v>2018</v>
      </c>
    </row>
    <row r="1204" customFormat="false" ht="15" hidden="true" customHeight="false" outlineLevel="0" collapsed="false">
      <c r="A1204" s="188" t="s">
        <v>1851</v>
      </c>
      <c r="B1204" s="149" t="s">
        <v>564</v>
      </c>
      <c r="C1204" s="148" t="s">
        <v>3700</v>
      </c>
      <c r="D1204" s="148"/>
      <c r="E1204" s="148"/>
      <c r="F1204" s="148"/>
      <c r="G1204" s="193"/>
      <c r="H1204" s="105" t="n">
        <f aca="false">'[2]$ зима'!j1204-'[2]$ зима'!au1204-'[2]$ зима'!at1204-'[2]$ зима'!as1204-'[2]$ зима'!ar1204-'[2]$ зима'!aq1204-'[2]$ зима'!ap1204-'[2]$ зима'!an1204-'[2]$ зима'!am1204-'[2]$ зима'!al1204-'[2]$ зима'!ak1204-'[2]$ зима'!aj1204-'[2]$ зима'!ah1204-'[2]$ зима'!ag1204-'[2]$ зима'!af1204-'[2]$ зима'!ae1204-'[2]$ зима'!ad1204-'[2]$ зима'!ab1204-'[2]$ зима'!aa1204-'[2]$ зима'!z1204-'[2]$ зима'!y1204-'[2]$ зима'!x1204-'[2]$ зима'!v1204-'[2]$ зима'!u1204-'[2]$ зима'!t1204-'[2]$ зима'!s1204-'[2]$ зима'!r1204-'[2]$ зима'!p1204-'[2]$ зима'!o1204-'[2]$ зима'!n1204-'[2]$ зима'!m1204-'[2]$ зима'!l1204+'[2]$ зима'!q1204+'[2]$ зима'!w1204+'[2]$ зима'!ac1204+'[2]$ зима'!ai1204+'[2]$ зима'!ao1204+'[2]$ зима'!k1204</f>
        <v>0</v>
      </c>
      <c r="I1204" s="191" t="n">
        <f aca="false">'[2]$ зима'!ay1204*1.1</f>
        <v>2340.8</v>
      </c>
      <c r="J1204" s="171" t="n">
        <v>2017</v>
      </c>
    </row>
    <row r="1205" customFormat="false" ht="15" hidden="true" customHeight="false" outlineLevel="0" collapsed="false">
      <c r="A1205" s="188" t="s">
        <v>1851</v>
      </c>
      <c r="B1205" s="149" t="s">
        <v>770</v>
      </c>
      <c r="C1205" s="148" t="s">
        <v>3701</v>
      </c>
      <c r="D1205" s="148"/>
      <c r="E1205" s="148"/>
      <c r="F1205" s="148"/>
      <c r="G1205" s="193"/>
      <c r="H1205" s="105" t="n">
        <f aca="false">'[2]$ зима'!j1205-'[2]$ зима'!au1205-'[2]$ зима'!at1205-'[2]$ зима'!as1205-'[2]$ зима'!ar1205-'[2]$ зима'!aq1205-'[2]$ зима'!ap1205-'[2]$ зима'!an1205-'[2]$ зима'!am1205-'[2]$ зима'!al1205-'[2]$ зима'!ak1205-'[2]$ зима'!aj1205-'[2]$ зима'!ah1205-'[2]$ зима'!ag1205-'[2]$ зима'!af1205-'[2]$ зима'!ae1205-'[2]$ зима'!ad1205-'[2]$ зима'!ab1205-'[2]$ зима'!aa1205-'[2]$ зима'!z1205-'[2]$ зима'!y1205-'[2]$ зима'!x1205-'[2]$ зима'!v1205-'[2]$ зима'!u1205-'[2]$ зима'!t1205-'[2]$ зима'!s1205-'[2]$ зима'!r1205-'[2]$ зима'!p1205-'[2]$ зима'!o1205-'[2]$ зима'!n1205-'[2]$ зима'!m1205-'[2]$ зима'!l1205+'[2]$ зима'!q1205+'[2]$ зима'!w1205+'[2]$ зима'!ac1205+'[2]$ зима'!ai1205+'[2]$ зима'!ao1205+'[2]$ зима'!k1205</f>
        <v>0</v>
      </c>
      <c r="I1205" s="191" t="n">
        <f aca="false">'[2]$ зима'!ay1205*1.1</f>
        <v>2772</v>
      </c>
    </row>
    <row r="1206" customFormat="false" ht="15" hidden="true" customHeight="false" outlineLevel="0" collapsed="false">
      <c r="A1206" s="188" t="s">
        <v>1851</v>
      </c>
      <c r="B1206" s="149" t="s">
        <v>1028</v>
      </c>
      <c r="C1206" s="148" t="s">
        <v>3702</v>
      </c>
      <c r="D1206" s="148"/>
      <c r="E1206" s="148"/>
      <c r="F1206" s="148"/>
      <c r="G1206" s="193"/>
      <c r="H1206" s="105" t="n">
        <f aca="false">'[2]$ зима'!j1206-'[2]$ зима'!au1206-'[2]$ зима'!at1206-'[2]$ зима'!as1206-'[2]$ зима'!ar1206-'[2]$ зима'!aq1206-'[2]$ зима'!ap1206-'[2]$ зима'!an1206-'[2]$ зима'!am1206-'[2]$ зима'!al1206-'[2]$ зима'!ak1206-'[2]$ зима'!aj1206-'[2]$ зима'!ah1206-'[2]$ зима'!ag1206-'[2]$ зима'!af1206-'[2]$ зима'!ae1206-'[2]$ зима'!ad1206-'[2]$ зима'!ab1206-'[2]$ зима'!aa1206-'[2]$ зима'!z1206-'[2]$ зима'!y1206-'[2]$ зима'!x1206-'[2]$ зима'!v1206-'[2]$ зима'!u1206-'[2]$ зима'!t1206-'[2]$ зима'!s1206-'[2]$ зима'!r1206-'[2]$ зима'!p1206-'[2]$ зима'!o1206-'[2]$ зима'!n1206-'[2]$ зима'!m1206-'[2]$ зима'!l1206+'[2]$ зима'!q1206+'[2]$ зима'!w1206+'[2]$ зима'!ac1206+'[2]$ зима'!ai1206+'[2]$ зима'!ao1206+'[2]$ зима'!k1206</f>
        <v>0</v>
      </c>
      <c r="I1206" s="191" t="n">
        <f aca="false">'[2]$ зима'!ay1206*1.1</f>
        <v>3141.6</v>
      </c>
    </row>
    <row r="1207" customFormat="false" ht="15" hidden="false" customHeight="false" outlineLevel="0" collapsed="false">
      <c r="A1207" s="196" t="s">
        <v>1874</v>
      </c>
      <c r="B1207" s="149" t="s">
        <v>658</v>
      </c>
      <c r="C1207" s="148" t="s">
        <v>3679</v>
      </c>
      <c r="D1207" s="148"/>
      <c r="E1207" s="192"/>
      <c r="F1207" s="192"/>
      <c r="G1207" s="193"/>
      <c r="H1207" s="105" t="n">
        <f aca="false">'[2]$ зима'!j1207-'[2]$ зима'!au1207-'[2]$ зима'!at1207-'[2]$ зима'!as1207-'[2]$ зима'!ar1207-'[2]$ зима'!aq1207-'[2]$ зима'!ap1207-'[2]$ зима'!an1207-'[2]$ зима'!am1207-'[2]$ зима'!al1207-'[2]$ зима'!ak1207-'[2]$ зима'!aj1207-'[2]$ зима'!ah1207-'[2]$ зима'!ag1207-'[2]$ зима'!af1207-'[2]$ зима'!ae1207-'[2]$ зима'!ad1207-'[2]$ зима'!ab1207-'[2]$ зима'!aa1207-'[2]$ зима'!z1207-'[2]$ зима'!y1207-'[2]$ зима'!x1207-'[2]$ зима'!v1207-'[2]$ зима'!u1207-'[2]$ зима'!t1207-'[2]$ зима'!s1207-'[2]$ зима'!r1207-'[2]$ зима'!p1207-'[2]$ зима'!o1207-'[2]$ зима'!n1207-'[2]$ зима'!m1207-'[2]$ зима'!l1207+'[2]$ зима'!q1207+'[2]$ зима'!w1207+'[2]$ зима'!ac1207+'[2]$ зима'!ai1207+'[2]$ зима'!ao1207+'[2]$ зима'!k1207</f>
        <v>4</v>
      </c>
      <c r="I1207" s="191" t="n">
        <f aca="false">'[2]$ зима'!ay1207*1.1</f>
        <v>3080</v>
      </c>
      <c r="J1207" s="171" t="n">
        <v>2010</v>
      </c>
    </row>
    <row r="1208" customFormat="false" ht="15" hidden="false" customHeight="false" outlineLevel="0" collapsed="false">
      <c r="A1208" s="188" t="s">
        <v>1874</v>
      </c>
      <c r="B1208" s="149" t="s">
        <v>586</v>
      </c>
      <c r="C1208" s="148" t="s">
        <v>3703</v>
      </c>
      <c r="D1208" s="148"/>
      <c r="E1208" s="192"/>
      <c r="F1208" s="192"/>
      <c r="G1208" s="193"/>
      <c r="H1208" s="105" t="n">
        <f aca="false">'[2]$ зима'!j1208-'[2]$ зима'!au1208-'[2]$ зима'!at1208-'[2]$ зима'!as1208-'[2]$ зима'!ar1208-'[2]$ зима'!aq1208-'[2]$ зима'!ap1208-'[2]$ зима'!an1208-'[2]$ зима'!am1208-'[2]$ зима'!al1208-'[2]$ зима'!ak1208-'[2]$ зима'!aj1208-'[2]$ зима'!ah1208-'[2]$ зима'!ag1208-'[2]$ зима'!af1208-'[2]$ зима'!ae1208-'[2]$ зима'!ad1208-'[2]$ зима'!ab1208-'[2]$ зима'!aa1208-'[2]$ зима'!z1208-'[2]$ зима'!y1208-'[2]$ зима'!x1208-'[2]$ зима'!v1208-'[2]$ зима'!u1208-'[2]$ зима'!t1208-'[2]$ зима'!s1208-'[2]$ зима'!r1208-'[2]$ зима'!p1208-'[2]$ зима'!o1208-'[2]$ зима'!n1208-'[2]$ зима'!m1208-'[2]$ зима'!l1208+'[2]$ зима'!q1208+'[2]$ зима'!w1208+'[2]$ зима'!ac1208+'[2]$ зима'!ai1208+'[2]$ зима'!ao1208+'[2]$ зима'!k1208</f>
        <v>4</v>
      </c>
      <c r="I1208" s="191" t="n">
        <f aca="false">'[2]$ зима'!ay1208*1.1</f>
        <v>2618</v>
      </c>
      <c r="J1208" s="171" t="n">
        <v>2017</v>
      </c>
    </row>
    <row r="1209" customFormat="false" ht="15" hidden="true" customHeight="false" outlineLevel="0" collapsed="false">
      <c r="A1209" s="188" t="s">
        <v>1874</v>
      </c>
      <c r="B1209" s="149" t="s">
        <v>1028</v>
      </c>
      <c r="C1209" s="148" t="s">
        <v>3704</v>
      </c>
      <c r="D1209" s="148"/>
      <c r="E1209" s="148"/>
      <c r="F1209" s="148"/>
      <c r="G1209" s="193"/>
      <c r="H1209" s="105" t="n">
        <f aca="false">'[2]$ зима'!j1209-'[2]$ зима'!au1209-'[2]$ зима'!at1209-'[2]$ зима'!as1209-'[2]$ зима'!ar1209-'[2]$ зима'!aq1209-'[2]$ зима'!ap1209-'[2]$ зима'!an1209-'[2]$ зима'!am1209-'[2]$ зима'!al1209-'[2]$ зима'!ak1209-'[2]$ зима'!aj1209-'[2]$ зима'!ah1209-'[2]$ зима'!ag1209-'[2]$ зима'!af1209-'[2]$ зима'!ae1209-'[2]$ зима'!ad1209-'[2]$ зима'!ab1209-'[2]$ зима'!aa1209-'[2]$ зима'!z1209-'[2]$ зима'!y1209-'[2]$ зима'!x1209-'[2]$ зима'!v1209-'[2]$ зима'!u1209-'[2]$ зима'!t1209-'[2]$ зима'!s1209-'[2]$ зима'!r1209-'[2]$ зима'!p1209-'[2]$ зима'!o1209-'[2]$ зима'!n1209-'[2]$ зима'!m1209-'[2]$ зима'!l1209+'[2]$ зима'!q1209+'[2]$ зима'!w1209+'[2]$ зима'!ac1209+'[2]$ зима'!ai1209+'[2]$ зима'!ao1209+'[2]$ зима'!k1209</f>
        <v>0</v>
      </c>
      <c r="I1209" s="191" t="n">
        <f aca="false">'[2]$ зима'!ay1209*1.1</f>
        <v>3696</v>
      </c>
      <c r="J1209" s="171" t="n">
        <v>2017</v>
      </c>
    </row>
    <row r="1210" customFormat="false" ht="15" hidden="true" customHeight="false" outlineLevel="0" collapsed="false">
      <c r="A1210" s="188" t="s">
        <v>3705</v>
      </c>
      <c r="B1210" s="149" t="s">
        <v>1149</v>
      </c>
      <c r="C1210" s="148" t="s">
        <v>3706</v>
      </c>
      <c r="D1210" s="148" t="s">
        <v>3147</v>
      </c>
      <c r="E1210" s="148"/>
      <c r="F1210" s="148"/>
      <c r="G1210" s="193"/>
      <c r="H1210" s="105" t="n">
        <f aca="false">'[2]$ зима'!j1210-'[2]$ зима'!au1210-'[2]$ зима'!at1210-'[2]$ зима'!as1210-'[2]$ зима'!ar1210-'[2]$ зима'!aq1210-'[2]$ зима'!ap1210-'[2]$ зима'!an1210-'[2]$ зима'!am1210-'[2]$ зима'!al1210-'[2]$ зима'!ak1210-'[2]$ зима'!aj1210-'[2]$ зима'!ah1210-'[2]$ зима'!ag1210-'[2]$ зима'!af1210-'[2]$ зима'!ae1210-'[2]$ зима'!ad1210-'[2]$ зима'!ab1210-'[2]$ зима'!aa1210-'[2]$ зима'!z1210-'[2]$ зима'!y1210-'[2]$ зима'!x1210-'[2]$ зима'!v1210-'[2]$ зима'!u1210-'[2]$ зима'!t1210-'[2]$ зима'!s1210-'[2]$ зима'!r1210-'[2]$ зима'!p1210-'[2]$ зима'!o1210-'[2]$ зима'!n1210-'[2]$ зима'!m1210-'[2]$ зима'!l1210+'[2]$ зима'!q1210+'[2]$ зима'!w1210+'[2]$ зима'!ac1210+'[2]$ зима'!ai1210+'[2]$ зима'!ao1210+'[2]$ зима'!k1210</f>
        <v>0</v>
      </c>
      <c r="I1210" s="191" t="n">
        <f aca="false">'[2]$ зима'!ay1210*1.1</f>
        <v>3080</v>
      </c>
    </row>
    <row r="1211" customFormat="false" ht="15" hidden="true" customHeight="false" outlineLevel="0" collapsed="false">
      <c r="A1211" s="210" t="s">
        <v>3705</v>
      </c>
      <c r="B1211" s="149" t="s">
        <v>606</v>
      </c>
      <c r="C1211" s="194" t="s">
        <v>3707</v>
      </c>
      <c r="D1211" s="194"/>
      <c r="E1211" s="194"/>
      <c r="F1211" s="194"/>
      <c r="G1211" s="200" t="s">
        <v>857</v>
      </c>
      <c r="H1211" s="105" t="n">
        <f aca="false">'[2]$ зима'!j1211-'[2]$ зима'!au1211-'[2]$ зима'!at1211-'[2]$ зима'!as1211-'[2]$ зима'!ar1211-'[2]$ зима'!aq1211-'[2]$ зима'!ap1211-'[2]$ зима'!an1211-'[2]$ зима'!am1211-'[2]$ зима'!al1211-'[2]$ зима'!ak1211-'[2]$ зима'!aj1211-'[2]$ зима'!ah1211-'[2]$ зима'!ag1211-'[2]$ зима'!af1211-'[2]$ зима'!ae1211-'[2]$ зима'!ad1211-'[2]$ зима'!ab1211-'[2]$ зима'!aa1211-'[2]$ зима'!z1211-'[2]$ зима'!y1211-'[2]$ зима'!x1211-'[2]$ зима'!v1211-'[2]$ зима'!u1211-'[2]$ зима'!t1211-'[2]$ зима'!s1211-'[2]$ зима'!r1211-'[2]$ зима'!p1211-'[2]$ зима'!o1211-'[2]$ зима'!n1211-'[2]$ зима'!m1211-'[2]$ зима'!l1211+'[2]$ зима'!q1211+'[2]$ зима'!w1211+'[2]$ зима'!ac1211+'[2]$ зима'!ai1211+'[2]$ зима'!ao1211+'[2]$ зима'!k1211</f>
        <v>0</v>
      </c>
      <c r="I1211" s="191" t="n">
        <f aca="false">'[2]$ зима'!ay1211*1.1</f>
        <v>1540</v>
      </c>
      <c r="J1211" s="201" t="n">
        <v>2005</v>
      </c>
    </row>
    <row r="1212" customFormat="false" ht="15" hidden="false" customHeight="false" outlineLevel="0" collapsed="false">
      <c r="A1212" s="188" t="s">
        <v>3705</v>
      </c>
      <c r="B1212" s="149" t="s">
        <v>589</v>
      </c>
      <c r="C1212" s="148" t="s">
        <v>3455</v>
      </c>
      <c r="D1212" s="148"/>
      <c r="E1212" s="192"/>
      <c r="F1212" s="192"/>
      <c r="G1212" s="193" t="s">
        <v>626</v>
      </c>
      <c r="H1212" s="105" t="n">
        <f aca="false">'[2]$ зима'!j1212-'[2]$ зима'!au1212-'[2]$ зима'!at1212-'[2]$ зима'!as1212-'[2]$ зима'!ar1212-'[2]$ зима'!aq1212-'[2]$ зима'!ap1212-'[2]$ зима'!an1212-'[2]$ зима'!am1212-'[2]$ зима'!al1212-'[2]$ зима'!ak1212-'[2]$ зима'!aj1212-'[2]$ зима'!ah1212-'[2]$ зима'!ag1212-'[2]$ зима'!af1212-'[2]$ зима'!ae1212-'[2]$ зима'!ad1212-'[2]$ зима'!ab1212-'[2]$ зима'!aa1212-'[2]$ зима'!z1212-'[2]$ зима'!y1212-'[2]$ зима'!x1212-'[2]$ зима'!v1212-'[2]$ зима'!u1212-'[2]$ зима'!t1212-'[2]$ зима'!s1212-'[2]$ зима'!r1212-'[2]$ зима'!p1212-'[2]$ зима'!o1212-'[2]$ зима'!n1212-'[2]$ зима'!m1212-'[2]$ зима'!l1212+'[2]$ зима'!q1212+'[2]$ зима'!w1212+'[2]$ зима'!ac1212+'[2]$ зима'!ai1212+'[2]$ зима'!ao1212+'[2]$ зима'!k1212</f>
        <v>2</v>
      </c>
      <c r="I1212" s="191" t="n">
        <f aca="false">'[2]$ зима'!ay1212*1.1</f>
        <v>1562</v>
      </c>
      <c r="J1212" s="171" t="n">
        <v>2006</v>
      </c>
    </row>
    <row r="1213" customFormat="false" ht="15" hidden="false" customHeight="false" outlineLevel="0" collapsed="false">
      <c r="A1213" s="188" t="s">
        <v>1880</v>
      </c>
      <c r="B1213" s="149" t="s">
        <v>1149</v>
      </c>
      <c r="C1213" s="148" t="s">
        <v>3636</v>
      </c>
      <c r="D1213" s="148" t="s">
        <v>3147</v>
      </c>
      <c r="E1213" s="192"/>
      <c r="F1213" s="192"/>
      <c r="G1213" s="193"/>
      <c r="H1213" s="105" t="n">
        <f aca="false">'[2]$ зима'!j1213-'[2]$ зима'!au1213-'[2]$ зима'!at1213-'[2]$ зима'!as1213-'[2]$ зима'!ar1213-'[2]$ зима'!aq1213-'[2]$ зима'!ap1213-'[2]$ зима'!an1213-'[2]$ зима'!am1213-'[2]$ зима'!al1213-'[2]$ зима'!ak1213-'[2]$ зима'!aj1213-'[2]$ зима'!ah1213-'[2]$ зима'!ag1213-'[2]$ зима'!af1213-'[2]$ зима'!ae1213-'[2]$ зима'!ad1213-'[2]$ зима'!ab1213-'[2]$ зима'!aa1213-'[2]$ зима'!z1213-'[2]$ зима'!y1213-'[2]$ зима'!x1213-'[2]$ зима'!v1213-'[2]$ зима'!u1213-'[2]$ зима'!t1213-'[2]$ зима'!s1213-'[2]$ зима'!r1213-'[2]$ зима'!p1213-'[2]$ зима'!o1213-'[2]$ зима'!n1213-'[2]$ зима'!m1213-'[2]$ зима'!l1213+'[2]$ зима'!q1213+'[2]$ зима'!w1213+'[2]$ зима'!ac1213+'[2]$ зима'!ai1213+'[2]$ зима'!ao1213+'[2]$ зима'!k1213</f>
        <v>2</v>
      </c>
      <c r="I1213" s="191" t="n">
        <f aca="false">'[2]$ зима'!ay1213*1.1</f>
        <v>2464</v>
      </c>
    </row>
    <row r="1214" customFormat="false" ht="15" hidden="true" customHeight="false" outlineLevel="0" collapsed="false">
      <c r="A1214" s="196" t="s">
        <v>1882</v>
      </c>
      <c r="B1214" s="149" t="s">
        <v>557</v>
      </c>
      <c r="C1214" s="148" t="s">
        <v>3708</v>
      </c>
      <c r="D1214" s="148"/>
      <c r="E1214" s="148"/>
      <c r="F1214" s="148"/>
      <c r="G1214" s="193"/>
      <c r="H1214" s="105" t="n">
        <f aca="false">'[2]$ зима'!j1214-'[2]$ зима'!au1214-'[2]$ зима'!at1214-'[2]$ зима'!as1214-'[2]$ зима'!ar1214-'[2]$ зима'!aq1214-'[2]$ зима'!ap1214-'[2]$ зима'!an1214-'[2]$ зима'!am1214-'[2]$ зима'!al1214-'[2]$ зима'!ak1214-'[2]$ зима'!aj1214-'[2]$ зима'!ah1214-'[2]$ зима'!ag1214-'[2]$ зима'!af1214-'[2]$ зима'!ae1214-'[2]$ зима'!ad1214-'[2]$ зима'!ab1214-'[2]$ зима'!aa1214-'[2]$ зима'!z1214-'[2]$ зима'!y1214-'[2]$ зима'!x1214-'[2]$ зима'!v1214-'[2]$ зима'!u1214-'[2]$ зима'!t1214-'[2]$ зима'!s1214-'[2]$ зима'!r1214-'[2]$ зима'!p1214-'[2]$ зима'!o1214-'[2]$ зима'!n1214-'[2]$ зима'!m1214-'[2]$ зима'!l1214+'[2]$ зима'!q1214+'[2]$ зима'!w1214+'[2]$ зима'!ac1214+'[2]$ зима'!ai1214+'[2]$ зима'!ao1214+'[2]$ зима'!k1214</f>
        <v>0</v>
      </c>
      <c r="I1214" s="191" t="n">
        <f aca="false">'[2]$ зима'!ay1214*1.1</f>
        <v>4004</v>
      </c>
      <c r="J1214" s="171" t="n">
        <v>2012</v>
      </c>
    </row>
    <row r="1215" customFormat="false" ht="15" hidden="false" customHeight="false" outlineLevel="0" collapsed="false">
      <c r="A1215" s="196" t="s">
        <v>1882</v>
      </c>
      <c r="B1215" s="149" t="s">
        <v>1471</v>
      </c>
      <c r="C1215" s="148" t="s">
        <v>3709</v>
      </c>
      <c r="D1215" s="148"/>
      <c r="E1215" s="192"/>
      <c r="F1215" s="192"/>
      <c r="G1215" s="193" t="s">
        <v>609</v>
      </c>
      <c r="H1215" s="105" t="n">
        <f aca="false">'[2]$ зима'!j1215-'[2]$ зима'!au1215-'[2]$ зима'!at1215-'[2]$ зима'!as1215-'[2]$ зима'!ar1215-'[2]$ зима'!aq1215-'[2]$ зима'!ap1215-'[2]$ зима'!an1215-'[2]$ зима'!am1215-'[2]$ зима'!al1215-'[2]$ зима'!ak1215-'[2]$ зима'!aj1215-'[2]$ зима'!ah1215-'[2]$ зима'!ag1215-'[2]$ зима'!af1215-'[2]$ зима'!ae1215-'[2]$ зима'!ad1215-'[2]$ зима'!ab1215-'[2]$ зима'!aa1215-'[2]$ зима'!z1215-'[2]$ зима'!y1215-'[2]$ зима'!x1215-'[2]$ зима'!v1215-'[2]$ зима'!u1215-'[2]$ зима'!t1215-'[2]$ зима'!s1215-'[2]$ зима'!r1215-'[2]$ зима'!p1215-'[2]$ зима'!o1215-'[2]$ зима'!n1215-'[2]$ зима'!m1215-'[2]$ зима'!l1215+'[2]$ зима'!q1215+'[2]$ зима'!w1215+'[2]$ зима'!ac1215+'[2]$ зима'!ai1215+'[2]$ зима'!ao1215+'[2]$ зима'!k1215</f>
        <v>4</v>
      </c>
      <c r="I1215" s="191" t="n">
        <f aca="false">'[2]$ зима'!ay1215*1.1</f>
        <v>2926</v>
      </c>
      <c r="J1215" s="171" t="n">
        <v>2017</v>
      </c>
    </row>
    <row r="1216" customFormat="false" ht="15" hidden="false" customHeight="false" outlineLevel="0" collapsed="false">
      <c r="A1216" s="196" t="s">
        <v>1882</v>
      </c>
      <c r="B1216" s="149" t="s">
        <v>593</v>
      </c>
      <c r="C1216" s="148" t="s">
        <v>3710</v>
      </c>
      <c r="D1216" s="148"/>
      <c r="E1216" s="192"/>
      <c r="F1216" s="192"/>
      <c r="G1216" s="193" t="s">
        <v>3711</v>
      </c>
      <c r="H1216" s="105" t="n">
        <f aca="false">'[2]$ зима'!j1216-'[2]$ зима'!au1216-'[2]$ зима'!at1216-'[2]$ зима'!as1216-'[2]$ зима'!ar1216-'[2]$ зима'!aq1216-'[2]$ зима'!ap1216-'[2]$ зима'!an1216-'[2]$ зима'!am1216-'[2]$ зима'!al1216-'[2]$ зима'!ak1216-'[2]$ зима'!aj1216-'[2]$ зима'!ah1216-'[2]$ зима'!ag1216-'[2]$ зима'!af1216-'[2]$ зима'!ae1216-'[2]$ зима'!ad1216-'[2]$ зима'!ab1216-'[2]$ зима'!aa1216-'[2]$ зима'!z1216-'[2]$ зима'!y1216-'[2]$ зима'!x1216-'[2]$ зима'!v1216-'[2]$ зима'!u1216-'[2]$ зима'!t1216-'[2]$ зима'!s1216-'[2]$ зима'!r1216-'[2]$ зима'!p1216-'[2]$ зима'!o1216-'[2]$ зима'!n1216-'[2]$ зима'!m1216-'[2]$ зима'!l1216+'[2]$ зима'!q1216+'[2]$ зима'!w1216+'[2]$ зима'!ac1216+'[2]$ зима'!ai1216+'[2]$ зима'!ao1216+'[2]$ зима'!k1216</f>
        <v>4</v>
      </c>
      <c r="I1216" s="191" t="n">
        <f aca="false">'[2]$ зима'!ay1216*1.1</f>
        <v>3696</v>
      </c>
      <c r="J1216" s="171" t="n">
        <v>2017</v>
      </c>
    </row>
    <row r="1217" customFormat="false" ht="15" hidden="false" customHeight="false" outlineLevel="0" collapsed="false">
      <c r="A1217" s="196" t="s">
        <v>1882</v>
      </c>
      <c r="B1217" s="149" t="s">
        <v>1149</v>
      </c>
      <c r="C1217" s="148" t="s">
        <v>3554</v>
      </c>
      <c r="D1217" s="148" t="s">
        <v>3147</v>
      </c>
      <c r="E1217" s="192"/>
      <c r="F1217" s="192"/>
      <c r="G1217" s="193"/>
      <c r="H1217" s="105" t="n">
        <f aca="false">'[2]$ зима'!j1217-'[2]$ зима'!au1217-'[2]$ зима'!at1217-'[2]$ зима'!as1217-'[2]$ зима'!ar1217-'[2]$ зима'!aq1217-'[2]$ зима'!ap1217-'[2]$ зима'!an1217-'[2]$ зима'!am1217-'[2]$ зима'!al1217-'[2]$ зима'!ak1217-'[2]$ зима'!aj1217-'[2]$ зима'!ah1217-'[2]$ зима'!ag1217-'[2]$ зима'!af1217-'[2]$ зима'!ae1217-'[2]$ зима'!ad1217-'[2]$ зима'!ab1217-'[2]$ зима'!aa1217-'[2]$ зима'!z1217-'[2]$ зима'!y1217-'[2]$ зима'!x1217-'[2]$ зима'!v1217-'[2]$ зима'!u1217-'[2]$ зима'!t1217-'[2]$ зима'!s1217-'[2]$ зима'!r1217-'[2]$ зима'!p1217-'[2]$ зима'!o1217-'[2]$ зима'!n1217-'[2]$ зима'!m1217-'[2]$ зима'!l1217+'[2]$ зима'!q1217+'[2]$ зима'!w1217+'[2]$ зима'!ac1217+'[2]$ зима'!ai1217+'[2]$ зима'!ao1217+'[2]$ зима'!k1217</f>
        <v>6</v>
      </c>
      <c r="I1217" s="191" t="n">
        <f aca="false">'[2]$ зима'!ay1217*1.1</f>
        <v>2618</v>
      </c>
      <c r="J1217" s="171" t="n">
        <v>2008</v>
      </c>
    </row>
    <row r="1218" customFormat="false" ht="15" hidden="false" customHeight="false" outlineLevel="0" collapsed="false">
      <c r="A1218" s="196" t="s">
        <v>1882</v>
      </c>
      <c r="B1218" s="149" t="s">
        <v>1028</v>
      </c>
      <c r="C1218" s="148" t="s">
        <v>3712</v>
      </c>
      <c r="D1218" s="148"/>
      <c r="E1218" s="192" t="n">
        <v>115</v>
      </c>
      <c r="F1218" s="192" t="s">
        <v>3207</v>
      </c>
      <c r="G1218" s="193"/>
      <c r="H1218" s="105" t="n">
        <f aca="false">'[2]$ зима'!j1218-'[2]$ зима'!au1218-'[2]$ зима'!at1218-'[2]$ зима'!as1218-'[2]$ зима'!ar1218-'[2]$ зима'!aq1218-'[2]$ зима'!ap1218-'[2]$ зима'!an1218-'[2]$ зима'!am1218-'[2]$ зима'!al1218-'[2]$ зима'!ak1218-'[2]$ зима'!aj1218-'[2]$ зима'!ah1218-'[2]$ зима'!ag1218-'[2]$ зима'!af1218-'[2]$ зима'!ae1218-'[2]$ зима'!ad1218-'[2]$ зима'!ab1218-'[2]$ зима'!aa1218-'[2]$ зима'!z1218-'[2]$ зима'!y1218-'[2]$ зима'!x1218-'[2]$ зима'!v1218-'[2]$ зима'!u1218-'[2]$ зима'!t1218-'[2]$ зима'!s1218-'[2]$ зима'!r1218-'[2]$ зима'!p1218-'[2]$ зима'!o1218-'[2]$ зима'!n1218-'[2]$ зима'!m1218-'[2]$ зима'!l1218+'[2]$ зима'!q1218+'[2]$ зима'!w1218+'[2]$ зима'!ac1218+'[2]$ зима'!ai1218+'[2]$ зима'!ao1218+'[2]$ зима'!k1218</f>
        <v>4</v>
      </c>
      <c r="I1218" s="191" t="n">
        <f aca="false">'[2]$ зима'!ay1218*1.1</f>
        <v>3850</v>
      </c>
      <c r="J1218" s="171" t="n">
        <v>2017</v>
      </c>
    </row>
    <row r="1219" customFormat="false" ht="15" hidden="true" customHeight="false" outlineLevel="0" collapsed="false">
      <c r="A1219" s="196" t="s">
        <v>3713</v>
      </c>
      <c r="B1219" s="149" t="s">
        <v>557</v>
      </c>
      <c r="C1219" s="148" t="s">
        <v>3714</v>
      </c>
      <c r="D1219" s="148"/>
      <c r="E1219" s="148"/>
      <c r="F1219" s="148"/>
      <c r="G1219" s="193"/>
      <c r="H1219" s="105" t="n">
        <f aca="false">'[2]$ зима'!j1219-'[2]$ зима'!au1219-'[2]$ зима'!at1219-'[2]$ зима'!as1219-'[2]$ зима'!ar1219-'[2]$ зима'!aq1219-'[2]$ зима'!ap1219-'[2]$ зима'!an1219-'[2]$ зима'!am1219-'[2]$ зима'!al1219-'[2]$ зима'!ak1219-'[2]$ зима'!aj1219-'[2]$ зима'!ah1219-'[2]$ зима'!ag1219-'[2]$ зима'!af1219-'[2]$ зима'!ae1219-'[2]$ зима'!ad1219-'[2]$ зима'!ab1219-'[2]$ зима'!aa1219-'[2]$ зима'!z1219-'[2]$ зима'!y1219-'[2]$ зима'!x1219-'[2]$ зима'!v1219-'[2]$ зима'!u1219-'[2]$ зима'!t1219-'[2]$ зима'!s1219-'[2]$ зима'!r1219-'[2]$ зима'!p1219-'[2]$ зима'!o1219-'[2]$ зима'!n1219-'[2]$ зима'!m1219-'[2]$ зима'!l1219+'[2]$ зима'!q1219+'[2]$ зима'!w1219+'[2]$ зима'!ac1219+'[2]$ зима'!ai1219+'[2]$ зима'!ao1219+'[2]$ зима'!k1219</f>
        <v>0</v>
      </c>
      <c r="I1219" s="191" t="n">
        <f aca="false">'[2]$ зима'!ay1219*1.1</f>
        <v>3696</v>
      </c>
    </row>
    <row r="1220" customFormat="false" ht="15" hidden="true" customHeight="false" outlineLevel="0" collapsed="false">
      <c r="A1220" s="196" t="s">
        <v>3713</v>
      </c>
      <c r="B1220" s="149" t="s">
        <v>606</v>
      </c>
      <c r="C1220" s="148" t="s">
        <v>3715</v>
      </c>
      <c r="D1220" s="148"/>
      <c r="E1220" s="148"/>
      <c r="F1220" s="148"/>
      <c r="G1220" s="193"/>
      <c r="H1220" s="105" t="n">
        <f aca="false">'[2]$ зима'!j1220-'[2]$ зима'!au1220-'[2]$ зима'!at1220-'[2]$ зима'!as1220-'[2]$ зима'!ar1220-'[2]$ зима'!aq1220-'[2]$ зима'!ap1220-'[2]$ зима'!an1220-'[2]$ зима'!am1220-'[2]$ зима'!al1220-'[2]$ зима'!ak1220-'[2]$ зима'!aj1220-'[2]$ зима'!ah1220-'[2]$ зима'!ag1220-'[2]$ зима'!af1220-'[2]$ зима'!ae1220-'[2]$ зима'!ad1220-'[2]$ зима'!ab1220-'[2]$ зима'!aa1220-'[2]$ зима'!z1220-'[2]$ зима'!y1220-'[2]$ зима'!x1220-'[2]$ зима'!v1220-'[2]$ зима'!u1220-'[2]$ зима'!t1220-'[2]$ зима'!s1220-'[2]$ зима'!r1220-'[2]$ зима'!p1220-'[2]$ зима'!o1220-'[2]$ зима'!n1220-'[2]$ зима'!m1220-'[2]$ зима'!l1220+'[2]$ зима'!q1220+'[2]$ зима'!w1220+'[2]$ зима'!ac1220+'[2]$ зима'!ai1220+'[2]$ зима'!ao1220+'[2]$ зима'!k1220</f>
        <v>0</v>
      </c>
      <c r="I1220" s="191" t="n">
        <f aca="false">'[2]$ зима'!ay1220*1.1</f>
        <v>3542</v>
      </c>
    </row>
    <row r="1221" customFormat="false" ht="15.75" hidden="false" customHeight="false" outlineLevel="0" collapsed="false">
      <c r="A1221" s="183" t="s">
        <v>1892</v>
      </c>
      <c r="B1221" s="207"/>
      <c r="C1221" s="207"/>
      <c r="D1221" s="207"/>
      <c r="E1221" s="208"/>
      <c r="F1221" s="208"/>
      <c r="G1221" s="209"/>
      <c r="H1221" s="105"/>
      <c r="I1221" s="187" t="n">
        <f aca="false">'[2]$ зима'!ay1221*1.1</f>
        <v>0</v>
      </c>
    </row>
    <row r="1222" customFormat="false" ht="15" hidden="true" customHeight="false" outlineLevel="0" collapsed="false">
      <c r="A1222" s="197" t="s">
        <v>1896</v>
      </c>
      <c r="B1222" s="198" t="s">
        <v>1149</v>
      </c>
      <c r="C1222" s="194" t="s">
        <v>3170</v>
      </c>
      <c r="D1222" s="194"/>
      <c r="E1222" s="194"/>
      <c r="F1222" s="194"/>
      <c r="G1222" s="200"/>
      <c r="H1222" s="105" t="n">
        <f aca="false">'[2]$ зима'!j1222-'[2]$ зима'!au1222-'[2]$ зима'!at1222-'[2]$ зима'!as1222-'[2]$ зима'!ar1222-'[2]$ зима'!aq1222-'[2]$ зима'!ap1222-'[2]$ зима'!an1222-'[2]$ зима'!am1222-'[2]$ зима'!al1222-'[2]$ зима'!ak1222-'[2]$ зима'!aj1222-'[2]$ зима'!ah1222-'[2]$ зима'!ag1222-'[2]$ зима'!af1222-'[2]$ зима'!ae1222-'[2]$ зима'!ad1222-'[2]$ зима'!ab1222-'[2]$ зима'!aa1222-'[2]$ зима'!z1222-'[2]$ зима'!y1222-'[2]$ зима'!x1222-'[2]$ зима'!v1222-'[2]$ зима'!u1222-'[2]$ зима'!t1222-'[2]$ зима'!s1222-'[2]$ зима'!r1222-'[2]$ зима'!p1222-'[2]$ зима'!o1222-'[2]$ зима'!n1222-'[2]$ зима'!m1222-'[2]$ зима'!l1222+'[2]$ зима'!q1222+'[2]$ зима'!w1222+'[2]$ зима'!ac1222+'[2]$ зима'!ai1222+'[2]$ зима'!ao1222+'[2]$ зима'!k1222</f>
        <v>0</v>
      </c>
      <c r="I1222" s="191" t="n">
        <f aca="false">'[2]$ зима'!ay1222*1.1</f>
        <v>1232</v>
      </c>
      <c r="J1222" s="201"/>
    </row>
    <row r="1223" customFormat="false" ht="15" hidden="true" customHeight="false" outlineLevel="0" collapsed="false">
      <c r="A1223" s="197" t="s">
        <v>1896</v>
      </c>
      <c r="B1223" s="198" t="s">
        <v>677</v>
      </c>
      <c r="C1223" s="148" t="s">
        <v>3454</v>
      </c>
      <c r="D1223" s="148" t="s">
        <v>3127</v>
      </c>
      <c r="E1223" s="148"/>
      <c r="F1223" s="148"/>
      <c r="G1223" s="200"/>
      <c r="H1223" s="105" t="n">
        <f aca="false">'[2]$ зима'!j1223-'[2]$ зима'!au1223-'[2]$ зима'!at1223-'[2]$ зима'!as1223-'[2]$ зима'!ar1223-'[2]$ зима'!aq1223-'[2]$ зима'!ap1223-'[2]$ зима'!an1223-'[2]$ зима'!am1223-'[2]$ зима'!al1223-'[2]$ зима'!ak1223-'[2]$ зима'!aj1223-'[2]$ зима'!ah1223-'[2]$ зима'!ag1223-'[2]$ зима'!af1223-'[2]$ зима'!ae1223-'[2]$ зима'!ad1223-'[2]$ зима'!ab1223-'[2]$ зима'!aa1223-'[2]$ зима'!z1223-'[2]$ зима'!y1223-'[2]$ зима'!x1223-'[2]$ зима'!v1223-'[2]$ зима'!u1223-'[2]$ зима'!t1223-'[2]$ зима'!s1223-'[2]$ зима'!r1223-'[2]$ зима'!p1223-'[2]$ зима'!o1223-'[2]$ зима'!n1223-'[2]$ зима'!m1223-'[2]$ зима'!l1223+'[2]$ зима'!q1223+'[2]$ зима'!w1223+'[2]$ зима'!ac1223+'[2]$ зима'!ai1223+'[2]$ зима'!ao1223+'[2]$ зима'!k1223</f>
        <v>0</v>
      </c>
      <c r="I1223" s="191" t="n">
        <f aca="false">'[2]$ зима'!ay1223*1.1</f>
        <v>1663.2</v>
      </c>
      <c r="J1223" s="201"/>
    </row>
    <row r="1224" customFormat="false" ht="15" hidden="false" customHeight="false" outlineLevel="0" collapsed="false">
      <c r="A1224" s="197" t="s">
        <v>1901</v>
      </c>
      <c r="B1224" s="198" t="s">
        <v>606</v>
      </c>
      <c r="C1224" s="148" t="s">
        <v>3156</v>
      </c>
      <c r="D1224" s="148"/>
      <c r="E1224" s="192" t="n">
        <v>95</v>
      </c>
      <c r="F1224" s="192" t="s">
        <v>3216</v>
      </c>
      <c r="G1224" s="200"/>
      <c r="H1224" s="105" t="n">
        <f aca="false">'[2]$ зима'!j1224-'[2]$ зима'!au1224-'[2]$ зима'!at1224-'[2]$ зима'!as1224-'[2]$ зима'!ar1224-'[2]$ зима'!aq1224-'[2]$ зима'!ap1224-'[2]$ зима'!an1224-'[2]$ зима'!am1224-'[2]$ зима'!al1224-'[2]$ зима'!ak1224-'[2]$ зима'!aj1224-'[2]$ зима'!ah1224-'[2]$ зима'!ag1224-'[2]$ зима'!af1224-'[2]$ зима'!ae1224-'[2]$ зима'!ad1224-'[2]$ зима'!ab1224-'[2]$ зима'!aa1224-'[2]$ зима'!z1224-'[2]$ зима'!y1224-'[2]$ зима'!x1224-'[2]$ зима'!v1224-'[2]$ зима'!u1224-'[2]$ зима'!t1224-'[2]$ зима'!s1224-'[2]$ зима'!r1224-'[2]$ зима'!p1224-'[2]$ зима'!o1224-'[2]$ зима'!n1224-'[2]$ зима'!m1224-'[2]$ зима'!l1224+'[2]$ зима'!q1224+'[2]$ зима'!w1224+'[2]$ зима'!ac1224+'[2]$ зима'!ai1224+'[2]$ зима'!ao1224+'[2]$ зима'!k1224</f>
        <v>8</v>
      </c>
      <c r="I1224" s="191" t="n">
        <f aca="false">'[2]$ зима'!ay1224*1.1</f>
        <v>3172.4</v>
      </c>
      <c r="J1224" s="201"/>
    </row>
    <row r="1225" customFormat="false" ht="15" hidden="true" customHeight="false" outlineLevel="0" collapsed="false">
      <c r="A1225" s="197" t="s">
        <v>1901</v>
      </c>
      <c r="B1225" s="149" t="s">
        <v>3142</v>
      </c>
      <c r="C1225" s="148" t="s">
        <v>3716</v>
      </c>
      <c r="D1225" s="148"/>
      <c r="E1225" s="148"/>
      <c r="F1225" s="148"/>
      <c r="G1225" s="200"/>
      <c r="H1225" s="105" t="n">
        <f aca="false">'[2]$ зима'!j1225-'[2]$ зима'!au1225-'[2]$ зима'!at1225-'[2]$ зима'!as1225-'[2]$ зима'!ar1225-'[2]$ зима'!aq1225-'[2]$ зима'!ap1225-'[2]$ зима'!an1225-'[2]$ зима'!am1225-'[2]$ зима'!al1225-'[2]$ зима'!ak1225-'[2]$ зима'!aj1225-'[2]$ зима'!ah1225-'[2]$ зима'!ag1225-'[2]$ зима'!af1225-'[2]$ зима'!ae1225-'[2]$ зима'!ad1225-'[2]$ зима'!ab1225-'[2]$ зима'!aa1225-'[2]$ зима'!z1225-'[2]$ зима'!y1225-'[2]$ зима'!x1225-'[2]$ зима'!v1225-'[2]$ зима'!u1225-'[2]$ зима'!t1225-'[2]$ зима'!s1225-'[2]$ зима'!r1225-'[2]$ зима'!p1225-'[2]$ зима'!o1225-'[2]$ зима'!n1225-'[2]$ зима'!m1225-'[2]$ зима'!l1225+'[2]$ зима'!q1225+'[2]$ зима'!w1225+'[2]$ зима'!ac1225+'[2]$ зима'!ai1225+'[2]$ зима'!ao1225+'[2]$ зима'!k1225</f>
        <v>0</v>
      </c>
      <c r="I1225" s="191" t="n">
        <f aca="false">'[2]$ зима'!ay1225*1.1</f>
        <v>2464</v>
      </c>
      <c r="J1225" s="201"/>
    </row>
    <row r="1226" customFormat="false" ht="15" hidden="false" customHeight="false" outlineLevel="0" collapsed="false">
      <c r="A1226" s="197" t="s">
        <v>1901</v>
      </c>
      <c r="B1226" s="149" t="s">
        <v>621</v>
      </c>
      <c r="C1226" s="148" t="s">
        <v>3293</v>
      </c>
      <c r="D1226" s="148"/>
      <c r="E1226" s="192" t="n">
        <v>95</v>
      </c>
      <c r="F1226" s="192" t="s">
        <v>970</v>
      </c>
      <c r="G1226" s="200" t="s">
        <v>520</v>
      </c>
      <c r="H1226" s="105" t="n">
        <f aca="false">'[2]$ зима'!j1226-'[2]$ зима'!au1226-'[2]$ зима'!at1226-'[2]$ зима'!as1226-'[2]$ зима'!ar1226-'[2]$ зима'!aq1226-'[2]$ зима'!ap1226-'[2]$ зима'!an1226-'[2]$ зима'!am1226-'[2]$ зима'!al1226-'[2]$ зима'!ak1226-'[2]$ зима'!aj1226-'[2]$ зима'!ah1226-'[2]$ зима'!ag1226-'[2]$ зима'!af1226-'[2]$ зима'!ae1226-'[2]$ зима'!ad1226-'[2]$ зима'!ab1226-'[2]$ зима'!aa1226-'[2]$ зима'!z1226-'[2]$ зима'!y1226-'[2]$ зима'!x1226-'[2]$ зима'!v1226-'[2]$ зима'!u1226-'[2]$ зима'!t1226-'[2]$ зима'!s1226-'[2]$ зима'!r1226-'[2]$ зима'!p1226-'[2]$ зима'!o1226-'[2]$ зима'!n1226-'[2]$ зима'!m1226-'[2]$ зима'!l1226+'[2]$ зима'!q1226+'[2]$ зима'!w1226+'[2]$ зима'!ac1226+'[2]$ зима'!ai1226+'[2]$ зима'!ao1226+'[2]$ зима'!k1226</f>
        <v>4</v>
      </c>
      <c r="I1226" s="191" t="n">
        <f aca="false">'[2]$ зима'!ay1226*1.1</f>
        <v>1925</v>
      </c>
      <c r="J1226" s="201" t="n">
        <v>2018</v>
      </c>
    </row>
    <row r="1227" customFormat="false" ht="15" hidden="false" customHeight="false" outlineLevel="0" collapsed="false">
      <c r="A1227" s="197" t="s">
        <v>1901</v>
      </c>
      <c r="B1227" s="198" t="s">
        <v>589</v>
      </c>
      <c r="C1227" s="229" t="s">
        <v>3599</v>
      </c>
      <c r="D1227" s="194"/>
      <c r="E1227" s="195"/>
      <c r="F1227" s="195"/>
      <c r="G1227" s="193" t="s">
        <v>626</v>
      </c>
      <c r="H1227" s="105" t="n">
        <f aca="false">'[2]$ зима'!j1227-'[2]$ зима'!au1227-'[2]$ зима'!at1227-'[2]$ зима'!as1227-'[2]$ зима'!ar1227-'[2]$ зима'!aq1227-'[2]$ зима'!ap1227-'[2]$ зима'!an1227-'[2]$ зима'!am1227-'[2]$ зима'!al1227-'[2]$ зима'!ak1227-'[2]$ зима'!aj1227-'[2]$ зима'!ah1227-'[2]$ зима'!ag1227-'[2]$ зима'!af1227-'[2]$ зима'!ae1227-'[2]$ зима'!ad1227-'[2]$ зима'!ab1227-'[2]$ зима'!aa1227-'[2]$ зима'!z1227-'[2]$ зима'!y1227-'[2]$ зима'!x1227-'[2]$ зима'!v1227-'[2]$ зима'!u1227-'[2]$ зима'!t1227-'[2]$ зима'!s1227-'[2]$ зима'!r1227-'[2]$ зима'!p1227-'[2]$ зима'!o1227-'[2]$ зима'!n1227-'[2]$ зима'!m1227-'[2]$ зима'!l1227+'[2]$ зима'!q1227+'[2]$ зима'!w1227+'[2]$ зима'!ac1227+'[2]$ зима'!ai1227+'[2]$ зима'!ao1227+'[2]$ зима'!k1227</f>
        <v>2</v>
      </c>
      <c r="I1227" s="191" t="n">
        <f aca="false">'[2]$ зима'!ay1227*1.1</f>
        <v>2499.2</v>
      </c>
      <c r="J1227" s="201"/>
    </row>
    <row r="1228" customFormat="false" ht="15" hidden="true" customHeight="false" outlineLevel="0" collapsed="false">
      <c r="A1228" s="197" t="s">
        <v>1901</v>
      </c>
      <c r="B1228" s="198" t="s">
        <v>564</v>
      </c>
      <c r="C1228" s="194" t="s">
        <v>3717</v>
      </c>
      <c r="D1228" s="194"/>
      <c r="E1228" s="194"/>
      <c r="F1228" s="194"/>
      <c r="G1228" s="200"/>
      <c r="H1228" s="105" t="n">
        <f aca="false">'[2]$ зима'!j1228-'[2]$ зима'!au1228-'[2]$ зима'!at1228-'[2]$ зима'!as1228-'[2]$ зима'!ar1228-'[2]$ зима'!aq1228-'[2]$ зима'!ap1228-'[2]$ зима'!an1228-'[2]$ зима'!am1228-'[2]$ зима'!al1228-'[2]$ зима'!ak1228-'[2]$ зима'!aj1228-'[2]$ зима'!ah1228-'[2]$ зима'!ag1228-'[2]$ зима'!af1228-'[2]$ зима'!ae1228-'[2]$ зима'!ad1228-'[2]$ зима'!ab1228-'[2]$ зима'!aa1228-'[2]$ зима'!z1228-'[2]$ зима'!y1228-'[2]$ зима'!x1228-'[2]$ зима'!v1228-'[2]$ зима'!u1228-'[2]$ зима'!t1228-'[2]$ зима'!s1228-'[2]$ зима'!r1228-'[2]$ зима'!p1228-'[2]$ зима'!o1228-'[2]$ зима'!n1228-'[2]$ зима'!m1228-'[2]$ зима'!l1228+'[2]$ зима'!q1228+'[2]$ зима'!w1228+'[2]$ зима'!ac1228+'[2]$ зима'!ai1228+'[2]$ зима'!ao1228+'[2]$ зима'!k1228</f>
        <v>0</v>
      </c>
      <c r="I1228" s="191" t="n">
        <f aca="false">'[2]$ зима'!ay1228*1.1</f>
        <v>1848</v>
      </c>
      <c r="J1228" s="201"/>
    </row>
    <row r="1229" customFormat="false" ht="15" hidden="true" customHeight="false" outlineLevel="0" collapsed="false">
      <c r="A1229" s="197" t="s">
        <v>1901</v>
      </c>
      <c r="B1229" s="198" t="s">
        <v>1028</v>
      </c>
      <c r="C1229" s="194" t="s">
        <v>3718</v>
      </c>
      <c r="D1229" s="194"/>
      <c r="E1229" s="194"/>
      <c r="F1229" s="194"/>
      <c r="G1229" s="200" t="s">
        <v>876</v>
      </c>
      <c r="H1229" s="105" t="n">
        <f aca="false">'[2]$ зима'!j1229-'[2]$ зима'!au1229-'[2]$ зима'!at1229-'[2]$ зима'!as1229-'[2]$ зима'!ar1229-'[2]$ зима'!aq1229-'[2]$ зима'!ap1229-'[2]$ зима'!an1229-'[2]$ зима'!am1229-'[2]$ зима'!al1229-'[2]$ зима'!ak1229-'[2]$ зима'!aj1229-'[2]$ зима'!ah1229-'[2]$ зима'!ag1229-'[2]$ зима'!af1229-'[2]$ зима'!ae1229-'[2]$ зима'!ad1229-'[2]$ зима'!ab1229-'[2]$ зима'!aa1229-'[2]$ зима'!z1229-'[2]$ зима'!y1229-'[2]$ зима'!x1229-'[2]$ зима'!v1229-'[2]$ зима'!u1229-'[2]$ зима'!t1229-'[2]$ зима'!s1229-'[2]$ зима'!r1229-'[2]$ зима'!p1229-'[2]$ зима'!o1229-'[2]$ зима'!n1229-'[2]$ зима'!m1229-'[2]$ зима'!l1229+'[2]$ зима'!q1229+'[2]$ зима'!w1229+'[2]$ зима'!ac1229+'[2]$ зима'!ai1229+'[2]$ зима'!ao1229+'[2]$ зима'!k1229</f>
        <v>0</v>
      </c>
      <c r="I1229" s="191" t="n">
        <f aca="false">'[2]$ зима'!ay1229*1.1</f>
        <v>3080</v>
      </c>
      <c r="J1229" s="201" t="n">
        <v>2017</v>
      </c>
    </row>
    <row r="1230" customFormat="false" ht="15" hidden="false" customHeight="false" outlineLevel="0" collapsed="false">
      <c r="A1230" s="197" t="s">
        <v>3719</v>
      </c>
      <c r="B1230" s="198" t="s">
        <v>606</v>
      </c>
      <c r="C1230" s="148" t="s">
        <v>3459</v>
      </c>
      <c r="D1230" s="194"/>
      <c r="E1230" s="195" t="n">
        <v>99</v>
      </c>
      <c r="F1230" s="195" t="s">
        <v>970</v>
      </c>
      <c r="G1230" s="200"/>
      <c r="H1230" s="105" t="n">
        <f aca="false">'[2]$ зима'!j1230-'[2]$ зима'!au1230-'[2]$ зима'!at1230-'[2]$ зима'!as1230-'[2]$ зима'!ar1230-'[2]$ зима'!aq1230-'[2]$ зима'!ap1230-'[2]$ зима'!an1230-'[2]$ зима'!am1230-'[2]$ зима'!al1230-'[2]$ зима'!ak1230-'[2]$ зима'!aj1230-'[2]$ зима'!ah1230-'[2]$ зима'!ag1230-'[2]$ зима'!af1230-'[2]$ зима'!ae1230-'[2]$ зима'!ad1230-'[2]$ зима'!ab1230-'[2]$ зима'!aa1230-'[2]$ зима'!z1230-'[2]$ зима'!y1230-'[2]$ зима'!x1230-'[2]$ зима'!v1230-'[2]$ зима'!u1230-'[2]$ зима'!t1230-'[2]$ зима'!s1230-'[2]$ зима'!r1230-'[2]$ зима'!p1230-'[2]$ зима'!o1230-'[2]$ зима'!n1230-'[2]$ зима'!m1230-'[2]$ зима'!l1230+'[2]$ зима'!q1230+'[2]$ зима'!w1230+'[2]$ зима'!ac1230+'[2]$ зима'!ai1230+'[2]$ зима'!ao1230+'[2]$ зима'!k1230</f>
        <v>4</v>
      </c>
      <c r="I1230" s="191" t="n">
        <f aca="false">'[2]$ зима'!ay1230*1.1</f>
        <v>3234</v>
      </c>
      <c r="J1230" s="201"/>
    </row>
    <row r="1231" customFormat="false" ht="15" hidden="true" customHeight="false" outlineLevel="0" collapsed="false">
      <c r="A1231" s="197" t="s">
        <v>3719</v>
      </c>
      <c r="B1231" s="198" t="s">
        <v>606</v>
      </c>
      <c r="C1231" s="148" t="s">
        <v>3720</v>
      </c>
      <c r="D1231" s="194"/>
      <c r="E1231" s="194" t="n">
        <v>95</v>
      </c>
      <c r="F1231" s="194" t="s">
        <v>562</v>
      </c>
      <c r="G1231" s="200"/>
      <c r="H1231" s="105" t="n">
        <f aca="false">'[2]$ зима'!j1231-'[2]$ зима'!au1231-'[2]$ зима'!at1231-'[2]$ зима'!as1231-'[2]$ зима'!ar1231-'[2]$ зима'!aq1231-'[2]$ зима'!ap1231-'[2]$ зима'!an1231-'[2]$ зима'!am1231-'[2]$ зима'!al1231-'[2]$ зима'!ak1231-'[2]$ зима'!aj1231-'[2]$ зима'!ah1231-'[2]$ зима'!ag1231-'[2]$ зима'!af1231-'[2]$ зима'!ae1231-'[2]$ зима'!ad1231-'[2]$ зима'!ab1231-'[2]$ зима'!aa1231-'[2]$ зима'!z1231-'[2]$ зима'!y1231-'[2]$ зима'!x1231-'[2]$ зима'!v1231-'[2]$ зима'!u1231-'[2]$ зима'!t1231-'[2]$ зима'!s1231-'[2]$ зима'!r1231-'[2]$ зима'!p1231-'[2]$ зима'!o1231-'[2]$ зима'!n1231-'[2]$ зима'!m1231-'[2]$ зима'!l1231+'[2]$ зима'!q1231+'[2]$ зима'!w1231+'[2]$ зима'!ac1231+'[2]$ зима'!ai1231+'[2]$ зима'!ao1231+'[2]$ зима'!k1231</f>
        <v>0</v>
      </c>
      <c r="I1231" s="191" t="n">
        <f aca="false">'[2]$ зима'!ay1231*1.1</f>
        <v>3234</v>
      </c>
      <c r="J1231" s="201"/>
    </row>
    <row r="1232" customFormat="false" ht="15" hidden="true" customHeight="false" outlineLevel="0" collapsed="false">
      <c r="A1232" s="197" t="s">
        <v>1911</v>
      </c>
      <c r="B1232" s="198" t="s">
        <v>601</v>
      </c>
      <c r="C1232" s="148" t="s">
        <v>3482</v>
      </c>
      <c r="D1232" s="194"/>
      <c r="E1232" s="194"/>
      <c r="F1232" s="194"/>
      <c r="G1232" s="200"/>
      <c r="H1232" s="105" t="n">
        <f aca="false">'[2]$ зима'!j1232-'[2]$ зима'!au1232-'[2]$ зима'!at1232-'[2]$ зима'!as1232-'[2]$ зима'!ar1232-'[2]$ зима'!aq1232-'[2]$ зима'!ap1232-'[2]$ зима'!an1232-'[2]$ зима'!am1232-'[2]$ зима'!al1232-'[2]$ зима'!ak1232-'[2]$ зима'!aj1232-'[2]$ зима'!ah1232-'[2]$ зима'!ag1232-'[2]$ зима'!af1232-'[2]$ зима'!ae1232-'[2]$ зима'!ad1232-'[2]$ зима'!ab1232-'[2]$ зима'!aa1232-'[2]$ зима'!z1232-'[2]$ зима'!y1232-'[2]$ зима'!x1232-'[2]$ зима'!v1232-'[2]$ зима'!u1232-'[2]$ зима'!t1232-'[2]$ зима'!s1232-'[2]$ зима'!r1232-'[2]$ зима'!p1232-'[2]$ зима'!o1232-'[2]$ зима'!n1232-'[2]$ зима'!m1232-'[2]$ зима'!l1232+'[2]$ зима'!q1232+'[2]$ зима'!w1232+'[2]$ зима'!ac1232+'[2]$ зима'!ai1232+'[2]$ зима'!ao1232+'[2]$ зима'!k1232</f>
        <v>0</v>
      </c>
      <c r="I1232" s="191" t="n">
        <f aca="false">'[2]$ зима'!ay1232*1.1</f>
        <v>3850</v>
      </c>
      <c r="J1232" s="201"/>
    </row>
    <row r="1233" customFormat="false" ht="15" hidden="false" customHeight="false" outlineLevel="0" collapsed="false">
      <c r="A1233" s="197" t="s">
        <v>1911</v>
      </c>
      <c r="B1233" s="198" t="s">
        <v>948</v>
      </c>
      <c r="C1233" s="194" t="s">
        <v>3721</v>
      </c>
      <c r="D1233" s="194"/>
      <c r="E1233" s="195"/>
      <c r="F1233" s="195" t="s">
        <v>3286</v>
      </c>
      <c r="G1233" s="200" t="s">
        <v>843</v>
      </c>
      <c r="H1233" s="105" t="n">
        <f aca="false">'[2]$ зима'!j1233-'[2]$ зима'!au1233-'[2]$ зима'!at1233-'[2]$ зима'!as1233-'[2]$ зима'!ar1233-'[2]$ зима'!aq1233-'[2]$ зима'!ap1233-'[2]$ зима'!an1233-'[2]$ зима'!am1233-'[2]$ зима'!al1233-'[2]$ зима'!ak1233-'[2]$ зима'!aj1233-'[2]$ зима'!ah1233-'[2]$ зима'!ag1233-'[2]$ зима'!af1233-'[2]$ зима'!ae1233-'[2]$ зима'!ad1233-'[2]$ зима'!ab1233-'[2]$ зима'!aa1233-'[2]$ зима'!z1233-'[2]$ зима'!y1233-'[2]$ зима'!x1233-'[2]$ зима'!v1233-'[2]$ зима'!u1233-'[2]$ зима'!t1233-'[2]$ зима'!s1233-'[2]$ зима'!r1233-'[2]$ зима'!p1233-'[2]$ зима'!o1233-'[2]$ зима'!n1233-'[2]$ зима'!m1233-'[2]$ зима'!l1233+'[2]$ зима'!q1233+'[2]$ зима'!w1233+'[2]$ зима'!ac1233+'[2]$ зима'!ai1233+'[2]$ зима'!ao1233+'[2]$ зима'!k1233</f>
        <v>4</v>
      </c>
      <c r="I1233" s="191" t="n">
        <f aca="false">'[2]$ зима'!ay1233*1.1</f>
        <v>5082</v>
      </c>
      <c r="J1233" s="201" t="n">
        <v>2017</v>
      </c>
    </row>
    <row r="1234" customFormat="false" ht="15" hidden="true" customHeight="false" outlineLevel="0" collapsed="false">
      <c r="A1234" s="197" t="s">
        <v>1911</v>
      </c>
      <c r="B1234" s="149" t="s">
        <v>577</v>
      </c>
      <c r="C1234" s="148" t="s">
        <v>3722</v>
      </c>
      <c r="D1234" s="194"/>
      <c r="E1234" s="194" t="n">
        <v>102</v>
      </c>
      <c r="F1234" s="194" t="s">
        <v>3216</v>
      </c>
      <c r="G1234" s="193" t="s">
        <v>563</v>
      </c>
      <c r="H1234" s="105" t="n">
        <f aca="false">'[2]$ зима'!j1234-'[2]$ зима'!au1234-'[2]$ зима'!at1234-'[2]$ зима'!as1234-'[2]$ зима'!ar1234-'[2]$ зима'!aq1234-'[2]$ зима'!ap1234-'[2]$ зима'!an1234-'[2]$ зима'!am1234-'[2]$ зима'!al1234-'[2]$ зима'!ak1234-'[2]$ зима'!aj1234-'[2]$ зима'!ah1234-'[2]$ зима'!ag1234-'[2]$ зима'!af1234-'[2]$ зима'!ae1234-'[2]$ зима'!ad1234-'[2]$ зима'!ab1234-'[2]$ зима'!aa1234-'[2]$ зима'!z1234-'[2]$ зима'!y1234-'[2]$ зима'!x1234-'[2]$ зима'!v1234-'[2]$ зима'!u1234-'[2]$ зима'!t1234-'[2]$ зима'!s1234-'[2]$ зима'!r1234-'[2]$ зима'!p1234-'[2]$ зима'!o1234-'[2]$ зима'!n1234-'[2]$ зима'!m1234-'[2]$ зима'!l1234+'[2]$ зима'!q1234+'[2]$ зима'!w1234+'[2]$ зима'!ac1234+'[2]$ зима'!ai1234+'[2]$ зима'!ao1234+'[2]$ зима'!k1234</f>
        <v>0</v>
      </c>
      <c r="I1234" s="191" t="n">
        <f aca="false">'[2]$ зима'!ay1234*1.1</f>
        <v>2587.2</v>
      </c>
      <c r="J1234" s="201"/>
    </row>
    <row r="1235" customFormat="false" ht="15" hidden="true" customHeight="false" outlineLevel="0" collapsed="false">
      <c r="A1235" s="197" t="s">
        <v>1911</v>
      </c>
      <c r="B1235" s="198" t="s">
        <v>574</v>
      </c>
      <c r="C1235" s="194" t="s">
        <v>3516</v>
      </c>
      <c r="D1235" s="194"/>
      <c r="E1235" s="194"/>
      <c r="F1235" s="194"/>
      <c r="G1235" s="193" t="s">
        <v>576</v>
      </c>
      <c r="H1235" s="105" t="n">
        <f aca="false">'[2]$ зима'!j1235-'[2]$ зима'!au1235-'[2]$ зима'!at1235-'[2]$ зима'!as1235-'[2]$ зима'!ar1235-'[2]$ зима'!aq1235-'[2]$ зима'!ap1235-'[2]$ зима'!an1235-'[2]$ зима'!am1235-'[2]$ зима'!al1235-'[2]$ зима'!ak1235-'[2]$ зима'!aj1235-'[2]$ зима'!ah1235-'[2]$ зима'!ag1235-'[2]$ зима'!af1235-'[2]$ зима'!ae1235-'[2]$ зима'!ad1235-'[2]$ зима'!ab1235-'[2]$ зима'!aa1235-'[2]$ зима'!z1235-'[2]$ зима'!y1235-'[2]$ зима'!x1235-'[2]$ зима'!v1235-'[2]$ зима'!u1235-'[2]$ зима'!t1235-'[2]$ зима'!s1235-'[2]$ зима'!r1235-'[2]$ зима'!p1235-'[2]$ зима'!o1235-'[2]$ зима'!n1235-'[2]$ зима'!m1235-'[2]$ зима'!l1235+'[2]$ зима'!q1235+'[2]$ зима'!w1235+'[2]$ зима'!ac1235+'[2]$ зима'!ai1235+'[2]$ зима'!ao1235+'[2]$ зима'!k1235</f>
        <v>0</v>
      </c>
      <c r="I1235" s="191" t="n">
        <f aca="false">'[2]$ зима'!ay1235*1.1</f>
        <v>2708.31</v>
      </c>
      <c r="J1235" s="201"/>
    </row>
    <row r="1236" customFormat="false" ht="15" hidden="false" customHeight="false" outlineLevel="0" collapsed="false">
      <c r="A1236" s="197" t="s">
        <v>1911</v>
      </c>
      <c r="B1236" s="198" t="s">
        <v>1471</v>
      </c>
      <c r="C1236" s="148" t="s">
        <v>3723</v>
      </c>
      <c r="D1236" s="194"/>
      <c r="E1236" s="195"/>
      <c r="F1236" s="195" t="s">
        <v>3286</v>
      </c>
      <c r="G1236" s="200"/>
      <c r="H1236" s="105" t="n">
        <f aca="false">'[2]$ зима'!j1236-'[2]$ зима'!au1236-'[2]$ зима'!at1236-'[2]$ зима'!as1236-'[2]$ зима'!ar1236-'[2]$ зима'!aq1236-'[2]$ зима'!ap1236-'[2]$ зима'!an1236-'[2]$ зима'!am1236-'[2]$ зима'!al1236-'[2]$ зима'!ak1236-'[2]$ зима'!aj1236-'[2]$ зима'!ah1236-'[2]$ зима'!ag1236-'[2]$ зима'!af1236-'[2]$ зима'!ae1236-'[2]$ зима'!ad1236-'[2]$ зима'!ab1236-'[2]$ зима'!aa1236-'[2]$ зима'!z1236-'[2]$ зима'!y1236-'[2]$ зима'!x1236-'[2]$ зима'!v1236-'[2]$ зима'!u1236-'[2]$ зима'!t1236-'[2]$ зима'!s1236-'[2]$ зима'!r1236-'[2]$ зима'!p1236-'[2]$ зима'!o1236-'[2]$ зима'!n1236-'[2]$ зима'!m1236-'[2]$ зима'!l1236+'[2]$ зима'!q1236+'[2]$ зима'!w1236+'[2]$ зима'!ac1236+'[2]$ зима'!ai1236+'[2]$ зима'!ao1236+'[2]$ зима'!k1236</f>
        <v>12</v>
      </c>
      <c r="I1236" s="191" t="n">
        <f aca="false">'[2]$ зима'!ay1236*1.1</f>
        <v>2772</v>
      </c>
      <c r="J1236" s="201"/>
    </row>
    <row r="1237" customFormat="false" ht="15" hidden="true" customHeight="false" outlineLevel="0" collapsed="false">
      <c r="A1237" s="197" t="s">
        <v>1911</v>
      </c>
      <c r="B1237" s="198" t="s">
        <v>593</v>
      </c>
      <c r="C1237" s="194" t="s">
        <v>3724</v>
      </c>
      <c r="D1237" s="194"/>
      <c r="E1237" s="194"/>
      <c r="F1237" s="194"/>
      <c r="G1237" s="200"/>
      <c r="H1237" s="105" t="n">
        <f aca="false">'[2]$ зима'!j1237-'[2]$ зима'!au1237-'[2]$ зима'!at1237-'[2]$ зима'!as1237-'[2]$ зима'!ar1237-'[2]$ зима'!aq1237-'[2]$ зима'!ap1237-'[2]$ зима'!an1237-'[2]$ зима'!am1237-'[2]$ зима'!al1237-'[2]$ зима'!ak1237-'[2]$ зима'!aj1237-'[2]$ зима'!ah1237-'[2]$ зима'!ag1237-'[2]$ зима'!af1237-'[2]$ зима'!ae1237-'[2]$ зима'!ad1237-'[2]$ зима'!ab1237-'[2]$ зима'!aa1237-'[2]$ зима'!z1237-'[2]$ зима'!y1237-'[2]$ зима'!x1237-'[2]$ зима'!v1237-'[2]$ зима'!u1237-'[2]$ зима'!t1237-'[2]$ зима'!s1237-'[2]$ зима'!r1237-'[2]$ зима'!p1237-'[2]$ зима'!o1237-'[2]$ зима'!n1237-'[2]$ зима'!m1237-'[2]$ зима'!l1237+'[2]$ зима'!q1237+'[2]$ зима'!w1237+'[2]$ зима'!ac1237+'[2]$ зима'!ai1237+'[2]$ зима'!ao1237+'[2]$ зима'!k1237</f>
        <v>0</v>
      </c>
      <c r="I1237" s="191" t="n">
        <f aca="false">'[2]$ зима'!ay1237*1.1</f>
        <v>4188.8</v>
      </c>
      <c r="J1237" s="201"/>
    </row>
    <row r="1238" customFormat="false" ht="15" hidden="false" customHeight="false" outlineLevel="0" collapsed="false">
      <c r="A1238" s="197" t="s">
        <v>1911</v>
      </c>
      <c r="B1238" s="198" t="s">
        <v>677</v>
      </c>
      <c r="C1238" s="148" t="s">
        <v>3256</v>
      </c>
      <c r="D1238" s="194" t="s">
        <v>3127</v>
      </c>
      <c r="E1238" s="195"/>
      <c r="F1238" s="195"/>
      <c r="G1238" s="200"/>
      <c r="H1238" s="105" t="n">
        <f aca="false">'[2]$ зима'!j1238-'[2]$ зима'!au1238-'[2]$ зима'!at1238-'[2]$ зима'!as1238-'[2]$ зима'!ar1238-'[2]$ зима'!aq1238-'[2]$ зима'!ap1238-'[2]$ зима'!an1238-'[2]$ зима'!am1238-'[2]$ зима'!al1238-'[2]$ зима'!ak1238-'[2]$ зима'!aj1238-'[2]$ зима'!ah1238-'[2]$ зима'!ag1238-'[2]$ зима'!af1238-'[2]$ зима'!ae1238-'[2]$ зима'!ad1238-'[2]$ зима'!ab1238-'[2]$ зима'!aa1238-'[2]$ зима'!z1238-'[2]$ зима'!y1238-'[2]$ зима'!x1238-'[2]$ зима'!v1238-'[2]$ зима'!u1238-'[2]$ зима'!t1238-'[2]$ зима'!s1238-'[2]$ зима'!r1238-'[2]$ зима'!p1238-'[2]$ зима'!o1238-'[2]$ зима'!n1238-'[2]$ зима'!m1238-'[2]$ зима'!l1238+'[2]$ зима'!q1238+'[2]$ зима'!w1238+'[2]$ зима'!ac1238+'[2]$ зима'!ai1238+'[2]$ зима'!ao1238+'[2]$ зима'!k1238</f>
        <v>4</v>
      </c>
      <c r="I1238" s="191" t="n">
        <f aca="false">'[2]$ зима'!ay1238*1.1</f>
        <v>2002</v>
      </c>
      <c r="J1238" s="201"/>
    </row>
    <row r="1239" customFormat="false" ht="15" hidden="false" customHeight="false" outlineLevel="0" collapsed="false">
      <c r="A1239" s="197" t="s">
        <v>1911</v>
      </c>
      <c r="B1239" s="198" t="s">
        <v>833</v>
      </c>
      <c r="C1239" s="194" t="s">
        <v>3725</v>
      </c>
      <c r="D1239" s="194" t="s">
        <v>3127</v>
      </c>
      <c r="E1239" s="195" t="n">
        <v>102</v>
      </c>
      <c r="F1239" s="195" t="s">
        <v>562</v>
      </c>
      <c r="G1239" s="200"/>
      <c r="H1239" s="105" t="n">
        <f aca="false">'[2]$ зима'!j1239-'[2]$ зима'!au1239-'[2]$ зима'!at1239-'[2]$ зима'!as1239-'[2]$ зима'!ar1239-'[2]$ зима'!aq1239-'[2]$ зима'!ap1239-'[2]$ зима'!an1239-'[2]$ зима'!am1239-'[2]$ зима'!al1239-'[2]$ зима'!ak1239-'[2]$ зима'!aj1239-'[2]$ зима'!ah1239-'[2]$ зима'!ag1239-'[2]$ зима'!af1239-'[2]$ зима'!ae1239-'[2]$ зима'!ad1239-'[2]$ зима'!ab1239-'[2]$ зима'!aa1239-'[2]$ зима'!z1239-'[2]$ зима'!y1239-'[2]$ зима'!x1239-'[2]$ зима'!v1239-'[2]$ зима'!u1239-'[2]$ зима'!t1239-'[2]$ зима'!s1239-'[2]$ зима'!r1239-'[2]$ зима'!p1239-'[2]$ зима'!o1239-'[2]$ зима'!n1239-'[2]$ зима'!m1239-'[2]$ зима'!l1239+'[2]$ зима'!q1239+'[2]$ зима'!w1239+'[2]$ зима'!ac1239+'[2]$ зима'!ai1239+'[2]$ зима'!ao1239+'[2]$ зима'!k1239</f>
        <v>4</v>
      </c>
      <c r="I1239" s="191" t="n">
        <f aca="false">'[2]$ зима'!ay1239*1.1</f>
        <v>2618</v>
      </c>
      <c r="J1239" s="201" t="n">
        <v>2016</v>
      </c>
    </row>
    <row r="1240" customFormat="false" ht="15" hidden="true" customHeight="false" outlineLevel="0" collapsed="false">
      <c r="A1240" s="197" t="s">
        <v>1911</v>
      </c>
      <c r="B1240" s="198" t="s">
        <v>3500</v>
      </c>
      <c r="C1240" s="194" t="s">
        <v>3726</v>
      </c>
      <c r="D1240" s="194"/>
      <c r="E1240" s="194"/>
      <c r="F1240" s="194"/>
      <c r="G1240" s="200"/>
      <c r="H1240" s="105" t="n">
        <f aca="false">'[2]$ зима'!j1240-'[2]$ зима'!au1240-'[2]$ зима'!at1240-'[2]$ зима'!as1240-'[2]$ зима'!ar1240-'[2]$ зима'!aq1240-'[2]$ зима'!ap1240-'[2]$ зима'!an1240-'[2]$ зима'!am1240-'[2]$ зима'!al1240-'[2]$ зима'!ak1240-'[2]$ зима'!aj1240-'[2]$ зима'!ah1240-'[2]$ зима'!ag1240-'[2]$ зима'!af1240-'[2]$ зима'!ae1240-'[2]$ зима'!ad1240-'[2]$ зима'!ab1240-'[2]$ зима'!aa1240-'[2]$ зима'!z1240-'[2]$ зима'!y1240-'[2]$ зима'!x1240-'[2]$ зима'!v1240-'[2]$ зима'!u1240-'[2]$ зима'!t1240-'[2]$ зима'!s1240-'[2]$ зима'!r1240-'[2]$ зима'!p1240-'[2]$ зима'!o1240-'[2]$ зима'!n1240-'[2]$ зима'!m1240-'[2]$ зима'!l1240+'[2]$ зима'!q1240+'[2]$ зима'!w1240+'[2]$ зима'!ac1240+'[2]$ зима'!ai1240+'[2]$ зима'!ao1240+'[2]$ зима'!k1240</f>
        <v>0</v>
      </c>
      <c r="I1240" s="191" t="n">
        <f aca="false">'[2]$ зима'!ay1240*1.1</f>
        <v>1848</v>
      </c>
      <c r="J1240" s="201"/>
    </row>
    <row r="1241" customFormat="false" ht="15" hidden="true" customHeight="false" outlineLevel="0" collapsed="false">
      <c r="A1241" s="197" t="s">
        <v>1911</v>
      </c>
      <c r="B1241" s="198" t="s">
        <v>589</v>
      </c>
      <c r="C1241" s="194" t="s">
        <v>3727</v>
      </c>
      <c r="D1241" s="194"/>
      <c r="E1241" s="194"/>
      <c r="F1241" s="194"/>
      <c r="G1241" s="193" t="s">
        <v>626</v>
      </c>
      <c r="H1241" s="105" t="n">
        <f aca="false">'[2]$ зима'!j1241-'[2]$ зима'!au1241-'[2]$ зима'!at1241-'[2]$ зима'!as1241-'[2]$ зима'!ar1241-'[2]$ зима'!aq1241-'[2]$ зима'!ap1241-'[2]$ зима'!an1241-'[2]$ зима'!am1241-'[2]$ зима'!al1241-'[2]$ зима'!ak1241-'[2]$ зима'!aj1241-'[2]$ зима'!ah1241-'[2]$ зима'!ag1241-'[2]$ зима'!af1241-'[2]$ зима'!ae1241-'[2]$ зима'!ad1241-'[2]$ зима'!ab1241-'[2]$ зима'!aa1241-'[2]$ зима'!z1241-'[2]$ зима'!y1241-'[2]$ зима'!x1241-'[2]$ зима'!v1241-'[2]$ зима'!u1241-'[2]$ зима'!t1241-'[2]$ зима'!s1241-'[2]$ зима'!r1241-'[2]$ зима'!p1241-'[2]$ зима'!o1241-'[2]$ зима'!n1241-'[2]$ зима'!m1241-'[2]$ зима'!l1241+'[2]$ зима'!q1241+'[2]$ зима'!w1241+'[2]$ зима'!ac1241+'[2]$ зима'!ai1241+'[2]$ зима'!ao1241+'[2]$ зима'!k1241</f>
        <v>0</v>
      </c>
      <c r="I1241" s="191" t="n">
        <f aca="false">'[2]$ зима'!ay1241*1.1</f>
        <v>3704.47</v>
      </c>
      <c r="J1241" s="201" t="n">
        <v>2018</v>
      </c>
    </row>
    <row r="1242" customFormat="false" ht="15" hidden="false" customHeight="false" outlineLevel="0" collapsed="false">
      <c r="A1242" s="197" t="s">
        <v>1911</v>
      </c>
      <c r="B1242" s="198" t="s">
        <v>564</v>
      </c>
      <c r="C1242" s="194" t="s">
        <v>3540</v>
      </c>
      <c r="D1242" s="194"/>
      <c r="E1242" s="195" t="n">
        <v>102</v>
      </c>
      <c r="F1242" s="195" t="s">
        <v>3220</v>
      </c>
      <c r="G1242" s="200"/>
      <c r="H1242" s="105" t="n">
        <f aca="false">'[2]$ зима'!j1242-'[2]$ зима'!au1242-'[2]$ зима'!at1242-'[2]$ зима'!as1242-'[2]$ зима'!ar1242-'[2]$ зима'!aq1242-'[2]$ зима'!ap1242-'[2]$ зима'!an1242-'[2]$ зима'!am1242-'[2]$ зима'!al1242-'[2]$ зима'!ak1242-'[2]$ зима'!aj1242-'[2]$ зима'!ah1242-'[2]$ зима'!ag1242-'[2]$ зима'!af1242-'[2]$ зима'!ae1242-'[2]$ зима'!ad1242-'[2]$ зима'!ab1242-'[2]$ зима'!aa1242-'[2]$ зима'!z1242-'[2]$ зима'!y1242-'[2]$ зима'!x1242-'[2]$ зима'!v1242-'[2]$ зима'!u1242-'[2]$ зима'!t1242-'[2]$ зима'!s1242-'[2]$ зима'!r1242-'[2]$ зима'!p1242-'[2]$ зима'!o1242-'[2]$ зима'!n1242-'[2]$ зима'!m1242-'[2]$ зима'!l1242+'[2]$ зима'!q1242+'[2]$ зима'!w1242+'[2]$ зима'!ac1242+'[2]$ зима'!ai1242+'[2]$ зима'!ao1242+'[2]$ зима'!k1242</f>
        <v>4</v>
      </c>
      <c r="I1242" s="191" t="n">
        <f aca="false">'[2]$ зима'!ay1242*1.1</f>
        <v>1909.6</v>
      </c>
      <c r="J1242" s="201" t="n">
        <v>2017</v>
      </c>
    </row>
    <row r="1243" customFormat="false" ht="15" hidden="true" customHeight="false" outlineLevel="0" collapsed="false">
      <c r="A1243" s="197" t="s">
        <v>1923</v>
      </c>
      <c r="B1243" s="198" t="s">
        <v>601</v>
      </c>
      <c r="C1243" s="148" t="s">
        <v>3482</v>
      </c>
      <c r="D1243" s="148"/>
      <c r="E1243" s="148"/>
      <c r="F1243" s="148"/>
      <c r="G1243" s="200"/>
      <c r="H1243" s="105" t="n">
        <f aca="false">'[2]$ зима'!j1243-'[2]$ зима'!au1243-'[2]$ зима'!at1243-'[2]$ зима'!as1243-'[2]$ зима'!ar1243-'[2]$ зима'!aq1243-'[2]$ зима'!ap1243-'[2]$ зима'!an1243-'[2]$ зима'!am1243-'[2]$ зима'!al1243-'[2]$ зима'!ak1243-'[2]$ зима'!aj1243-'[2]$ зима'!ah1243-'[2]$ зима'!ag1243-'[2]$ зима'!af1243-'[2]$ зима'!ae1243-'[2]$ зима'!ad1243-'[2]$ зима'!ab1243-'[2]$ зима'!aa1243-'[2]$ зима'!z1243-'[2]$ зима'!y1243-'[2]$ зима'!x1243-'[2]$ зима'!v1243-'[2]$ зима'!u1243-'[2]$ зима'!t1243-'[2]$ зима'!s1243-'[2]$ зима'!r1243-'[2]$ зима'!p1243-'[2]$ зима'!o1243-'[2]$ зима'!n1243-'[2]$ зима'!m1243-'[2]$ зима'!l1243+'[2]$ зима'!q1243+'[2]$ зима'!w1243+'[2]$ зима'!ac1243+'[2]$ зима'!ai1243+'[2]$ зима'!ao1243+'[2]$ зима'!k1243</f>
        <v>0</v>
      </c>
      <c r="I1243" s="191" t="n">
        <f aca="false">'[2]$ зима'!ay1243*1.1</f>
        <v>5082</v>
      </c>
      <c r="J1243" s="201"/>
    </row>
    <row r="1244" customFormat="false" ht="15" hidden="true" customHeight="false" outlineLevel="0" collapsed="false">
      <c r="A1244" s="197" t="s">
        <v>1923</v>
      </c>
      <c r="B1244" s="198" t="s">
        <v>601</v>
      </c>
      <c r="C1244" s="148" t="s">
        <v>3150</v>
      </c>
      <c r="D1244" s="148"/>
      <c r="E1244" s="148"/>
      <c r="F1244" s="148"/>
      <c r="G1244" s="200"/>
      <c r="H1244" s="105" t="n">
        <f aca="false">'[2]$ зима'!j1244-'[2]$ зима'!au1244-'[2]$ зима'!at1244-'[2]$ зима'!as1244-'[2]$ зима'!ar1244-'[2]$ зима'!aq1244-'[2]$ зима'!ap1244-'[2]$ зима'!an1244-'[2]$ зима'!am1244-'[2]$ зима'!al1244-'[2]$ зима'!ak1244-'[2]$ зима'!aj1244-'[2]$ зима'!ah1244-'[2]$ зима'!ag1244-'[2]$ зима'!af1244-'[2]$ зима'!ae1244-'[2]$ зима'!ad1244-'[2]$ зима'!ab1244-'[2]$ зима'!aa1244-'[2]$ зима'!z1244-'[2]$ зима'!y1244-'[2]$ зима'!x1244-'[2]$ зима'!v1244-'[2]$ зима'!u1244-'[2]$ зима'!t1244-'[2]$ зима'!s1244-'[2]$ зима'!r1244-'[2]$ зима'!p1244-'[2]$ зима'!o1244-'[2]$ зима'!n1244-'[2]$ зима'!m1244-'[2]$ зима'!l1244+'[2]$ зима'!q1244+'[2]$ зима'!w1244+'[2]$ зима'!ac1244+'[2]$ зима'!ai1244+'[2]$ зима'!ao1244+'[2]$ зима'!k1244</f>
        <v>0</v>
      </c>
      <c r="I1244" s="191" t="n">
        <f aca="false">'[2]$ зима'!ay1244*1.1</f>
        <v>3973.2</v>
      </c>
      <c r="J1244" s="201"/>
    </row>
    <row r="1245" customFormat="false" ht="15" hidden="true" customHeight="false" outlineLevel="0" collapsed="false">
      <c r="A1245" s="196" t="s">
        <v>1923</v>
      </c>
      <c r="B1245" s="198" t="s">
        <v>658</v>
      </c>
      <c r="C1245" s="194" t="s">
        <v>3728</v>
      </c>
      <c r="D1245" s="194" t="s">
        <v>3127</v>
      </c>
      <c r="E1245" s="194"/>
      <c r="F1245" s="194"/>
      <c r="G1245" s="200"/>
      <c r="H1245" s="105" t="n">
        <f aca="false">'[2]$ зима'!j1245-'[2]$ зима'!au1245-'[2]$ зима'!at1245-'[2]$ зима'!as1245-'[2]$ зима'!ar1245-'[2]$ зима'!aq1245-'[2]$ зима'!ap1245-'[2]$ зима'!an1245-'[2]$ зима'!am1245-'[2]$ зима'!al1245-'[2]$ зима'!ak1245-'[2]$ зима'!aj1245-'[2]$ зима'!ah1245-'[2]$ зима'!ag1245-'[2]$ зима'!af1245-'[2]$ зима'!ae1245-'[2]$ зима'!ad1245-'[2]$ зима'!ab1245-'[2]$ зима'!aa1245-'[2]$ зима'!z1245-'[2]$ зима'!y1245-'[2]$ зима'!x1245-'[2]$ зима'!v1245-'[2]$ зима'!u1245-'[2]$ зима'!t1245-'[2]$ зима'!s1245-'[2]$ зима'!r1245-'[2]$ зима'!p1245-'[2]$ зима'!o1245-'[2]$ зима'!n1245-'[2]$ зима'!m1245-'[2]$ зима'!l1245+'[2]$ зима'!q1245+'[2]$ зима'!w1245+'[2]$ зима'!ac1245+'[2]$ зима'!ai1245+'[2]$ зима'!ao1245+'[2]$ зима'!k1245</f>
        <v>0</v>
      </c>
      <c r="I1245" s="191" t="n">
        <f aca="false">'[2]$ зима'!ay1245*1.1</f>
        <v>3388</v>
      </c>
      <c r="J1245" s="201"/>
    </row>
    <row r="1246" customFormat="false" ht="15" hidden="true" customHeight="false" outlineLevel="0" collapsed="false">
      <c r="A1246" s="196" t="s">
        <v>1923</v>
      </c>
      <c r="B1246" s="198" t="s">
        <v>606</v>
      </c>
      <c r="C1246" s="148" t="s">
        <v>3510</v>
      </c>
      <c r="D1246" s="194"/>
      <c r="E1246" s="194" t="n">
        <v>100</v>
      </c>
      <c r="F1246" s="194" t="s">
        <v>3207</v>
      </c>
      <c r="G1246" s="200"/>
      <c r="H1246" s="105" t="n">
        <f aca="false">'[2]$ зима'!j1246-'[2]$ зима'!au1246-'[2]$ зима'!at1246-'[2]$ зима'!as1246-'[2]$ зима'!ar1246-'[2]$ зима'!aq1246-'[2]$ зима'!ap1246-'[2]$ зима'!an1246-'[2]$ зима'!am1246-'[2]$ зима'!al1246-'[2]$ зима'!ak1246-'[2]$ зима'!aj1246-'[2]$ зима'!ah1246-'[2]$ зима'!ag1246-'[2]$ зима'!af1246-'[2]$ зима'!ae1246-'[2]$ зима'!ad1246-'[2]$ зима'!ab1246-'[2]$ зима'!aa1246-'[2]$ зима'!z1246-'[2]$ зима'!y1246-'[2]$ зима'!x1246-'[2]$ зима'!v1246-'[2]$ зима'!u1246-'[2]$ зима'!t1246-'[2]$ зима'!s1246-'[2]$ зима'!r1246-'[2]$ зима'!p1246-'[2]$ зима'!o1246-'[2]$ зима'!n1246-'[2]$ зима'!m1246-'[2]$ зима'!l1246+'[2]$ зима'!q1246+'[2]$ зима'!w1246+'[2]$ зима'!ac1246+'[2]$ зима'!ai1246+'[2]$ зима'!ao1246+'[2]$ зима'!k1246</f>
        <v>0</v>
      </c>
      <c r="I1246" s="191" t="n">
        <f aca="false">'[2]$ зима'!ay1246*1.1</f>
        <v>2987.6</v>
      </c>
      <c r="J1246" s="201"/>
    </row>
    <row r="1247" customFormat="false" ht="15" hidden="true" customHeight="false" outlineLevel="0" collapsed="false">
      <c r="A1247" s="196" t="s">
        <v>1923</v>
      </c>
      <c r="B1247" s="198" t="s">
        <v>606</v>
      </c>
      <c r="C1247" s="148" t="s">
        <v>3729</v>
      </c>
      <c r="D1247" s="194"/>
      <c r="E1247" s="194" t="n">
        <v>100</v>
      </c>
      <c r="F1247" s="194" t="s">
        <v>562</v>
      </c>
      <c r="G1247" s="200"/>
      <c r="H1247" s="105" t="n">
        <f aca="false">'[2]$ зима'!j1247-'[2]$ зима'!au1247-'[2]$ зима'!at1247-'[2]$ зима'!as1247-'[2]$ зима'!ar1247-'[2]$ зима'!aq1247-'[2]$ зима'!ap1247-'[2]$ зима'!an1247-'[2]$ зима'!am1247-'[2]$ зима'!al1247-'[2]$ зима'!ak1247-'[2]$ зима'!aj1247-'[2]$ зима'!ah1247-'[2]$ зима'!ag1247-'[2]$ зима'!af1247-'[2]$ зима'!ae1247-'[2]$ зима'!ad1247-'[2]$ зима'!ab1247-'[2]$ зима'!aa1247-'[2]$ зима'!z1247-'[2]$ зима'!y1247-'[2]$ зима'!x1247-'[2]$ зима'!v1247-'[2]$ зима'!u1247-'[2]$ зима'!t1247-'[2]$ зима'!s1247-'[2]$ зима'!r1247-'[2]$ зима'!p1247-'[2]$ зима'!o1247-'[2]$ зима'!n1247-'[2]$ зима'!m1247-'[2]$ зима'!l1247+'[2]$ зима'!q1247+'[2]$ зима'!w1247+'[2]$ зима'!ac1247+'[2]$ зима'!ai1247+'[2]$ зима'!ao1247+'[2]$ зима'!k1247</f>
        <v>0</v>
      </c>
      <c r="I1247" s="191" t="n">
        <f aca="false">'[2]$ зима'!ay1247*1.1</f>
        <v>3141.6</v>
      </c>
      <c r="J1247" s="201"/>
    </row>
    <row r="1248" customFormat="false" ht="15" hidden="false" customHeight="false" outlineLevel="0" collapsed="false">
      <c r="A1248" s="196" t="s">
        <v>1923</v>
      </c>
      <c r="B1248" s="149" t="s">
        <v>668</v>
      </c>
      <c r="C1248" s="148" t="s">
        <v>3629</v>
      </c>
      <c r="D1248" s="194"/>
      <c r="E1248" s="195"/>
      <c r="F1248" s="195"/>
      <c r="G1248" s="200"/>
      <c r="H1248" s="105" t="n">
        <f aca="false">'[2]$ зима'!j1248-'[2]$ зима'!au1248-'[2]$ зима'!at1248-'[2]$ зима'!as1248-'[2]$ зима'!ar1248-'[2]$ зима'!aq1248-'[2]$ зима'!ap1248-'[2]$ зима'!an1248-'[2]$ зима'!am1248-'[2]$ зима'!al1248-'[2]$ зима'!ak1248-'[2]$ зима'!aj1248-'[2]$ зима'!ah1248-'[2]$ зима'!ag1248-'[2]$ зима'!af1248-'[2]$ зима'!ae1248-'[2]$ зима'!ad1248-'[2]$ зима'!ab1248-'[2]$ зима'!aa1248-'[2]$ зима'!z1248-'[2]$ зима'!y1248-'[2]$ зима'!x1248-'[2]$ зима'!v1248-'[2]$ зима'!u1248-'[2]$ зима'!t1248-'[2]$ зима'!s1248-'[2]$ зима'!r1248-'[2]$ зима'!p1248-'[2]$ зима'!o1248-'[2]$ зима'!n1248-'[2]$ зима'!m1248-'[2]$ зима'!l1248+'[2]$ зима'!q1248+'[2]$ зима'!w1248+'[2]$ зима'!ac1248+'[2]$ зима'!ai1248+'[2]$ зима'!ao1248+'[2]$ зима'!k1248</f>
        <v>8</v>
      </c>
      <c r="I1248" s="191" t="n">
        <f aca="false">'[2]$ зима'!ay1248*1.1</f>
        <v>2679.6</v>
      </c>
      <c r="J1248" s="201" t="n">
        <v>2017</v>
      </c>
    </row>
    <row r="1249" customFormat="false" ht="15" hidden="true" customHeight="false" outlineLevel="0" collapsed="false">
      <c r="A1249" s="196" t="s">
        <v>1923</v>
      </c>
      <c r="B1249" s="198" t="s">
        <v>593</v>
      </c>
      <c r="C1249" s="194" t="s">
        <v>3632</v>
      </c>
      <c r="D1249" s="194"/>
      <c r="E1249" s="194"/>
      <c r="F1249" s="194"/>
      <c r="G1249" s="200" t="s">
        <v>1127</v>
      </c>
      <c r="H1249" s="105" t="n">
        <f aca="false">'[2]$ зима'!j1249-'[2]$ зима'!au1249-'[2]$ зима'!at1249-'[2]$ зима'!as1249-'[2]$ зима'!ar1249-'[2]$ зима'!aq1249-'[2]$ зима'!ap1249-'[2]$ зима'!an1249-'[2]$ зима'!am1249-'[2]$ зима'!al1249-'[2]$ зима'!ak1249-'[2]$ зима'!aj1249-'[2]$ зима'!ah1249-'[2]$ зима'!ag1249-'[2]$ зима'!af1249-'[2]$ зима'!ae1249-'[2]$ зима'!ad1249-'[2]$ зима'!ab1249-'[2]$ зима'!aa1249-'[2]$ зима'!z1249-'[2]$ зима'!y1249-'[2]$ зима'!x1249-'[2]$ зима'!v1249-'[2]$ зима'!u1249-'[2]$ зима'!t1249-'[2]$ зима'!s1249-'[2]$ зима'!r1249-'[2]$ зима'!p1249-'[2]$ зима'!o1249-'[2]$ зима'!n1249-'[2]$ зима'!m1249-'[2]$ зима'!l1249+'[2]$ зима'!q1249+'[2]$ зима'!w1249+'[2]$ зима'!ac1249+'[2]$ зима'!ai1249+'[2]$ зима'!ao1249+'[2]$ зима'!k1249</f>
        <v>0</v>
      </c>
      <c r="I1249" s="191" t="n">
        <f aca="false">'[2]$ зима'!ay1249*1.1</f>
        <v>4620</v>
      </c>
      <c r="J1249" s="201" t="n">
        <v>2015</v>
      </c>
    </row>
    <row r="1250" customFormat="false" ht="15" hidden="false" customHeight="false" outlineLevel="0" collapsed="false">
      <c r="A1250" s="196" t="s">
        <v>1923</v>
      </c>
      <c r="B1250" s="149" t="s">
        <v>3142</v>
      </c>
      <c r="C1250" s="148" t="s">
        <v>3625</v>
      </c>
      <c r="D1250" s="148" t="s">
        <v>3127</v>
      </c>
      <c r="E1250" s="195"/>
      <c r="F1250" s="195" t="s">
        <v>3286</v>
      </c>
      <c r="G1250" s="200"/>
      <c r="H1250" s="105" t="n">
        <f aca="false">'[2]$ зима'!j1250-'[2]$ зима'!au1250-'[2]$ зима'!at1250-'[2]$ зима'!as1250-'[2]$ зима'!ar1250-'[2]$ зима'!aq1250-'[2]$ зима'!ap1250-'[2]$ зима'!an1250-'[2]$ зима'!am1250-'[2]$ зима'!al1250-'[2]$ зима'!ak1250-'[2]$ зима'!aj1250-'[2]$ зима'!ah1250-'[2]$ зима'!ag1250-'[2]$ зима'!af1250-'[2]$ зима'!ae1250-'[2]$ зима'!ad1250-'[2]$ зима'!ab1250-'[2]$ зима'!aa1250-'[2]$ зима'!z1250-'[2]$ зима'!y1250-'[2]$ зима'!x1250-'[2]$ зима'!v1250-'[2]$ зима'!u1250-'[2]$ зима'!t1250-'[2]$ зима'!s1250-'[2]$ зима'!r1250-'[2]$ зима'!p1250-'[2]$ зима'!o1250-'[2]$ зима'!n1250-'[2]$ зима'!m1250-'[2]$ зима'!l1250+'[2]$ зима'!q1250+'[2]$ зима'!w1250+'[2]$ зима'!ac1250+'[2]$ зима'!ai1250+'[2]$ зима'!ao1250+'[2]$ зима'!k1250</f>
        <v>4</v>
      </c>
      <c r="I1250" s="191" t="n">
        <f aca="false">'[2]$ зима'!ay1250*1.1</f>
        <v>2464</v>
      </c>
      <c r="J1250" s="201" t="n">
        <v>2017</v>
      </c>
    </row>
    <row r="1251" customFormat="false" ht="15" hidden="true" customHeight="false" outlineLevel="0" collapsed="false">
      <c r="A1251" s="196" t="s">
        <v>1923</v>
      </c>
      <c r="B1251" s="149" t="s">
        <v>3142</v>
      </c>
      <c r="C1251" s="194" t="s">
        <v>3730</v>
      </c>
      <c r="D1251" s="148" t="s">
        <v>3127</v>
      </c>
      <c r="E1251" s="194" t="n">
        <v>114</v>
      </c>
      <c r="F1251" s="194" t="s">
        <v>562</v>
      </c>
      <c r="G1251" s="200"/>
      <c r="H1251" s="105" t="n">
        <f aca="false">'[2]$ зима'!j1251-'[2]$ зима'!au1251-'[2]$ зима'!at1251-'[2]$ зима'!as1251-'[2]$ зима'!ar1251-'[2]$ зима'!aq1251-'[2]$ зима'!ap1251-'[2]$ зима'!an1251-'[2]$ зима'!am1251-'[2]$ зима'!al1251-'[2]$ зима'!ak1251-'[2]$ зима'!aj1251-'[2]$ зима'!ah1251-'[2]$ зима'!ag1251-'[2]$ зима'!af1251-'[2]$ зима'!ae1251-'[2]$ зима'!ad1251-'[2]$ зима'!ab1251-'[2]$ зима'!aa1251-'[2]$ зима'!z1251-'[2]$ зима'!y1251-'[2]$ зима'!x1251-'[2]$ зима'!v1251-'[2]$ зима'!u1251-'[2]$ зима'!t1251-'[2]$ зима'!s1251-'[2]$ зима'!r1251-'[2]$ зима'!p1251-'[2]$ зима'!o1251-'[2]$ зима'!n1251-'[2]$ зима'!m1251-'[2]$ зима'!l1251+'[2]$ зима'!q1251+'[2]$ зима'!w1251+'[2]$ зима'!ac1251+'[2]$ зима'!ai1251+'[2]$ зима'!ao1251+'[2]$ зима'!k1251</f>
        <v>0</v>
      </c>
      <c r="I1251" s="191" t="n">
        <f aca="false">'[2]$ зима'!ay1251*1.1</f>
        <v>2710.4</v>
      </c>
      <c r="J1251" s="201" t="n">
        <v>2017</v>
      </c>
    </row>
    <row r="1252" customFormat="false" ht="15" hidden="false" customHeight="false" outlineLevel="0" collapsed="false">
      <c r="A1252" s="196" t="s">
        <v>1923</v>
      </c>
      <c r="B1252" s="149" t="s">
        <v>3142</v>
      </c>
      <c r="C1252" s="194" t="s">
        <v>3382</v>
      </c>
      <c r="D1252" s="194"/>
      <c r="E1252" s="195"/>
      <c r="F1252" s="195"/>
      <c r="G1252" s="200"/>
      <c r="H1252" s="105" t="n">
        <f aca="false">'[2]$ зима'!j1252-'[2]$ зима'!au1252-'[2]$ зима'!at1252-'[2]$ зима'!as1252-'[2]$ зима'!ar1252-'[2]$ зима'!aq1252-'[2]$ зима'!ap1252-'[2]$ зима'!an1252-'[2]$ зима'!am1252-'[2]$ зима'!al1252-'[2]$ зима'!ak1252-'[2]$ зима'!aj1252-'[2]$ зима'!ah1252-'[2]$ зима'!ag1252-'[2]$ зима'!af1252-'[2]$ зима'!ae1252-'[2]$ зима'!ad1252-'[2]$ зима'!ab1252-'[2]$ зима'!aa1252-'[2]$ зима'!z1252-'[2]$ зима'!y1252-'[2]$ зима'!x1252-'[2]$ зима'!v1252-'[2]$ зима'!u1252-'[2]$ зима'!t1252-'[2]$ зима'!s1252-'[2]$ зима'!r1252-'[2]$ зима'!p1252-'[2]$ зима'!o1252-'[2]$ зима'!n1252-'[2]$ зима'!m1252-'[2]$ зима'!l1252+'[2]$ зима'!q1252+'[2]$ зима'!w1252+'[2]$ зима'!ac1252+'[2]$ зима'!ai1252+'[2]$ зима'!ao1252+'[2]$ зима'!k1252</f>
        <v>4</v>
      </c>
      <c r="I1252" s="191" t="n">
        <f aca="false">'[2]$ зима'!ay1252*1.1</f>
        <v>2310</v>
      </c>
      <c r="J1252" s="201"/>
    </row>
    <row r="1253" customFormat="false" ht="15" hidden="false" customHeight="false" outlineLevel="0" collapsed="false">
      <c r="A1253" s="196" t="s">
        <v>1923</v>
      </c>
      <c r="B1253" s="198" t="s">
        <v>677</v>
      </c>
      <c r="C1253" s="148" t="s">
        <v>3347</v>
      </c>
      <c r="D1253" s="148"/>
      <c r="E1253" s="192"/>
      <c r="F1253" s="192"/>
      <c r="G1253" s="200"/>
      <c r="H1253" s="105" t="n">
        <f aca="false">'[2]$ зима'!j1253-'[2]$ зима'!au1253-'[2]$ зима'!at1253-'[2]$ зима'!as1253-'[2]$ зима'!ar1253-'[2]$ зима'!aq1253-'[2]$ зима'!ap1253-'[2]$ зима'!an1253-'[2]$ зима'!am1253-'[2]$ зима'!al1253-'[2]$ зима'!ak1253-'[2]$ зима'!aj1253-'[2]$ зима'!ah1253-'[2]$ зима'!ag1253-'[2]$ зима'!af1253-'[2]$ зима'!ae1253-'[2]$ зима'!ad1253-'[2]$ зима'!ab1253-'[2]$ зима'!aa1253-'[2]$ зима'!z1253-'[2]$ зима'!y1253-'[2]$ зима'!x1253-'[2]$ зима'!v1253-'[2]$ зима'!u1253-'[2]$ зима'!t1253-'[2]$ зима'!s1253-'[2]$ зима'!r1253-'[2]$ зима'!p1253-'[2]$ зима'!o1253-'[2]$ зима'!n1253-'[2]$ зима'!m1253-'[2]$ зима'!l1253+'[2]$ зима'!q1253+'[2]$ зима'!w1253+'[2]$ зима'!ac1253+'[2]$ зима'!ai1253+'[2]$ зима'!ao1253+'[2]$ зима'!k1253</f>
        <v>4</v>
      </c>
      <c r="I1253" s="191" t="n">
        <f aca="false">'[2]$ зима'!ay1253*1.1</f>
        <v>2156</v>
      </c>
      <c r="J1253" s="201"/>
    </row>
    <row r="1254" customFormat="false" ht="15" hidden="true" customHeight="false" outlineLevel="0" collapsed="false">
      <c r="A1254" s="196" t="s">
        <v>1923</v>
      </c>
      <c r="B1254" s="198" t="s">
        <v>564</v>
      </c>
      <c r="C1254" s="148" t="s">
        <v>3731</v>
      </c>
      <c r="D1254" s="148"/>
      <c r="E1254" s="148"/>
      <c r="F1254" s="148"/>
      <c r="G1254" s="193"/>
      <c r="H1254" s="105" t="n">
        <f aca="false">'[2]$ зима'!j1254-'[2]$ зима'!au1254-'[2]$ зима'!at1254-'[2]$ зима'!as1254-'[2]$ зима'!ar1254-'[2]$ зима'!aq1254-'[2]$ зима'!ap1254-'[2]$ зима'!an1254-'[2]$ зима'!am1254-'[2]$ зима'!al1254-'[2]$ зима'!ak1254-'[2]$ зима'!aj1254-'[2]$ зима'!ah1254-'[2]$ зима'!ag1254-'[2]$ зима'!af1254-'[2]$ зима'!ae1254-'[2]$ зима'!ad1254-'[2]$ зима'!ab1254-'[2]$ зима'!aa1254-'[2]$ зима'!z1254-'[2]$ зима'!y1254-'[2]$ зима'!x1254-'[2]$ зима'!v1254-'[2]$ зима'!u1254-'[2]$ зима'!t1254-'[2]$ зима'!s1254-'[2]$ зима'!r1254-'[2]$ зима'!p1254-'[2]$ зима'!o1254-'[2]$ зима'!n1254-'[2]$ зима'!m1254-'[2]$ зима'!l1254+'[2]$ зима'!q1254+'[2]$ зима'!w1254+'[2]$ зима'!ac1254+'[2]$ зима'!ai1254+'[2]$ зима'!ao1254+'[2]$ зима'!k1254</f>
        <v>0</v>
      </c>
      <c r="I1254" s="191" t="n">
        <f aca="false">'[2]$ зима'!ay1254*1.1</f>
        <v>1848</v>
      </c>
      <c r="J1254" s="171" t="n">
        <v>2017</v>
      </c>
    </row>
    <row r="1255" customFormat="false" ht="15" hidden="true" customHeight="false" outlineLevel="0" collapsed="false">
      <c r="A1255" s="196" t="s">
        <v>1923</v>
      </c>
      <c r="B1255" s="198" t="s">
        <v>589</v>
      </c>
      <c r="C1255" s="148" t="s">
        <v>3599</v>
      </c>
      <c r="D1255" s="148"/>
      <c r="E1255" s="148"/>
      <c r="F1255" s="148"/>
      <c r="G1255" s="193" t="s">
        <v>626</v>
      </c>
      <c r="H1255" s="105" t="n">
        <f aca="false">'[2]$ зима'!j1255-'[2]$ зима'!au1255-'[2]$ зима'!at1255-'[2]$ зима'!as1255-'[2]$ зима'!ar1255-'[2]$ зима'!aq1255-'[2]$ зима'!ap1255-'[2]$ зима'!an1255-'[2]$ зима'!am1255-'[2]$ зима'!al1255-'[2]$ зима'!ak1255-'[2]$ зима'!aj1255-'[2]$ зима'!ah1255-'[2]$ зима'!ag1255-'[2]$ зима'!af1255-'[2]$ зима'!ae1255-'[2]$ зима'!ad1255-'[2]$ зима'!ab1255-'[2]$ зима'!aa1255-'[2]$ зима'!z1255-'[2]$ зима'!y1255-'[2]$ зима'!x1255-'[2]$ зима'!v1255-'[2]$ зима'!u1255-'[2]$ зима'!t1255-'[2]$ зима'!s1255-'[2]$ зима'!r1255-'[2]$ зима'!p1255-'[2]$ зима'!o1255-'[2]$ зима'!n1255-'[2]$ зима'!m1255-'[2]$ зима'!l1255+'[2]$ зима'!q1255+'[2]$ зима'!w1255+'[2]$ зима'!ac1255+'[2]$ зима'!ai1255+'[2]$ зима'!ao1255+'[2]$ зима'!k1255</f>
        <v>0</v>
      </c>
      <c r="I1255" s="191" t="n">
        <f aca="false">'[2]$ зима'!ay1255*1.1</f>
        <v>3735.6</v>
      </c>
    </row>
    <row r="1256" customFormat="false" ht="15" hidden="true" customHeight="false" outlineLevel="0" collapsed="false">
      <c r="A1256" s="196" t="s">
        <v>1923</v>
      </c>
      <c r="B1256" s="198" t="s">
        <v>589</v>
      </c>
      <c r="C1256" s="148" t="s">
        <v>3732</v>
      </c>
      <c r="D1256" s="148"/>
      <c r="E1256" s="148"/>
      <c r="F1256" s="148"/>
      <c r="G1256" s="193" t="s">
        <v>626</v>
      </c>
      <c r="H1256" s="105" t="n">
        <f aca="false">'[2]$ зима'!j1256-'[2]$ зима'!au1256-'[2]$ зима'!at1256-'[2]$ зима'!as1256-'[2]$ зима'!ar1256-'[2]$ зима'!aq1256-'[2]$ зима'!ap1256-'[2]$ зима'!an1256-'[2]$ зима'!am1256-'[2]$ зима'!al1256-'[2]$ зима'!ak1256-'[2]$ зима'!aj1256-'[2]$ зима'!ah1256-'[2]$ зима'!ag1256-'[2]$ зима'!af1256-'[2]$ зима'!ae1256-'[2]$ зима'!ad1256-'[2]$ зима'!ab1256-'[2]$ зима'!aa1256-'[2]$ зима'!z1256-'[2]$ зима'!y1256-'[2]$ зима'!x1256-'[2]$ зима'!v1256-'[2]$ зима'!u1256-'[2]$ зима'!t1256-'[2]$ зима'!s1256-'[2]$ зима'!r1256-'[2]$ зима'!p1256-'[2]$ зима'!o1256-'[2]$ зима'!n1256-'[2]$ зима'!m1256-'[2]$ зима'!l1256+'[2]$ зима'!q1256+'[2]$ зима'!w1256+'[2]$ зима'!ac1256+'[2]$ зима'!ai1256+'[2]$ зима'!ao1256+'[2]$ зима'!k1256</f>
        <v>0</v>
      </c>
      <c r="I1256" s="191" t="n">
        <f aca="false">'[2]$ зима'!ay1256*1.1</f>
        <v>3953.51</v>
      </c>
    </row>
    <row r="1257" customFormat="false" ht="15" hidden="false" customHeight="false" outlineLevel="0" collapsed="false">
      <c r="A1257" s="196" t="s">
        <v>1923</v>
      </c>
      <c r="B1257" s="198" t="s">
        <v>1028</v>
      </c>
      <c r="C1257" s="148" t="s">
        <v>3712</v>
      </c>
      <c r="D1257" s="148"/>
      <c r="E1257" s="192" t="n">
        <v>100</v>
      </c>
      <c r="F1257" s="192" t="s">
        <v>3207</v>
      </c>
      <c r="G1257" s="193"/>
      <c r="H1257" s="105" t="n">
        <f aca="false">'[2]$ зима'!j1257-'[2]$ зима'!au1257-'[2]$ зима'!at1257-'[2]$ зима'!as1257-'[2]$ зима'!ar1257-'[2]$ зима'!aq1257-'[2]$ зима'!ap1257-'[2]$ зима'!an1257-'[2]$ зима'!am1257-'[2]$ зима'!al1257-'[2]$ зима'!ak1257-'[2]$ зима'!aj1257-'[2]$ зима'!ah1257-'[2]$ зима'!ag1257-'[2]$ зима'!af1257-'[2]$ зима'!ae1257-'[2]$ зима'!ad1257-'[2]$ зима'!ab1257-'[2]$ зима'!aa1257-'[2]$ зима'!z1257-'[2]$ зима'!y1257-'[2]$ зима'!x1257-'[2]$ зима'!v1257-'[2]$ зима'!u1257-'[2]$ зима'!t1257-'[2]$ зима'!s1257-'[2]$ зима'!r1257-'[2]$ зима'!p1257-'[2]$ зима'!o1257-'[2]$ зима'!n1257-'[2]$ зима'!m1257-'[2]$ зима'!l1257+'[2]$ зима'!q1257+'[2]$ зима'!w1257+'[2]$ зима'!ac1257+'[2]$ зима'!ai1257+'[2]$ зима'!ao1257+'[2]$ зима'!k1257</f>
        <v>4</v>
      </c>
      <c r="I1257" s="191" t="n">
        <f aca="false">'[2]$ зима'!ay1257*1.1</f>
        <v>3480.4</v>
      </c>
    </row>
    <row r="1258" customFormat="false" ht="15" hidden="false" customHeight="false" outlineLevel="0" collapsed="false">
      <c r="A1258" s="196" t="s">
        <v>1936</v>
      </c>
      <c r="B1258" s="149" t="s">
        <v>1149</v>
      </c>
      <c r="C1258" s="148" t="s">
        <v>3554</v>
      </c>
      <c r="D1258" s="148" t="s">
        <v>3147</v>
      </c>
      <c r="E1258" s="192"/>
      <c r="F1258" s="192"/>
      <c r="G1258" s="193"/>
      <c r="H1258" s="105" t="n">
        <f aca="false">'[2]$ зима'!j1258-'[2]$ зима'!au1258-'[2]$ зима'!at1258-'[2]$ зима'!as1258-'[2]$ зима'!ar1258-'[2]$ зима'!aq1258-'[2]$ зима'!ap1258-'[2]$ зима'!an1258-'[2]$ зима'!am1258-'[2]$ зима'!al1258-'[2]$ зима'!ak1258-'[2]$ зима'!aj1258-'[2]$ зима'!ah1258-'[2]$ зима'!ag1258-'[2]$ зима'!af1258-'[2]$ зима'!ae1258-'[2]$ зима'!ad1258-'[2]$ зима'!ab1258-'[2]$ зима'!aa1258-'[2]$ зима'!z1258-'[2]$ зима'!y1258-'[2]$ зима'!x1258-'[2]$ зима'!v1258-'[2]$ зима'!u1258-'[2]$ зима'!t1258-'[2]$ зима'!s1258-'[2]$ зима'!r1258-'[2]$ зима'!p1258-'[2]$ зима'!o1258-'[2]$ зима'!n1258-'[2]$ зима'!m1258-'[2]$ зима'!l1258+'[2]$ зима'!q1258+'[2]$ зима'!w1258+'[2]$ зима'!ac1258+'[2]$ зима'!ai1258+'[2]$ зима'!ao1258+'[2]$ зима'!k1258</f>
        <v>4</v>
      </c>
      <c r="I1258" s="191" t="n">
        <f aca="false">'[2]$ зима'!ay1258*1.1</f>
        <v>2772</v>
      </c>
      <c r="J1258" s="171" t="n">
        <v>2008</v>
      </c>
    </row>
    <row r="1259" customFormat="false" ht="15" hidden="false" customHeight="false" outlineLevel="0" collapsed="false">
      <c r="A1259" s="196" t="s">
        <v>1936</v>
      </c>
      <c r="B1259" s="149" t="s">
        <v>589</v>
      </c>
      <c r="C1259" s="148" t="s">
        <v>3455</v>
      </c>
      <c r="D1259" s="148"/>
      <c r="E1259" s="192"/>
      <c r="F1259" s="192"/>
      <c r="G1259" s="193" t="s">
        <v>626</v>
      </c>
      <c r="H1259" s="105" t="n">
        <f aca="false">'[2]$ зима'!j1259-'[2]$ зима'!au1259-'[2]$ зима'!at1259-'[2]$ зима'!as1259-'[2]$ зима'!ar1259-'[2]$ зима'!aq1259-'[2]$ зима'!ap1259-'[2]$ зима'!an1259-'[2]$ зима'!am1259-'[2]$ зима'!al1259-'[2]$ зима'!ak1259-'[2]$ зима'!aj1259-'[2]$ зима'!ah1259-'[2]$ зима'!ag1259-'[2]$ зима'!af1259-'[2]$ зима'!ae1259-'[2]$ зима'!ad1259-'[2]$ зима'!ab1259-'[2]$ зима'!aa1259-'[2]$ зима'!z1259-'[2]$ зима'!y1259-'[2]$ зима'!x1259-'[2]$ зима'!v1259-'[2]$ зима'!u1259-'[2]$ зима'!t1259-'[2]$ зима'!s1259-'[2]$ зима'!r1259-'[2]$ зима'!p1259-'[2]$ зима'!o1259-'[2]$ зима'!n1259-'[2]$ зима'!m1259-'[2]$ зима'!l1259+'[2]$ зима'!q1259+'[2]$ зима'!w1259+'[2]$ зима'!ac1259+'[2]$ зима'!ai1259+'[2]$ зима'!ao1259+'[2]$ зима'!k1259</f>
        <v>4</v>
      </c>
      <c r="I1259" s="191" t="n">
        <f aca="false">'[2]$ зима'!ay1259*1.1</f>
        <v>2499.2</v>
      </c>
      <c r="J1259" s="171" t="n">
        <v>2009</v>
      </c>
    </row>
    <row r="1260" customFormat="false" ht="15" hidden="true" customHeight="false" outlineLevel="0" collapsed="false">
      <c r="A1260" s="196" t="s">
        <v>1938</v>
      </c>
      <c r="B1260" s="149" t="s">
        <v>658</v>
      </c>
      <c r="C1260" s="148" t="s">
        <v>3733</v>
      </c>
      <c r="D1260" s="148"/>
      <c r="E1260" s="148"/>
      <c r="F1260" s="148"/>
      <c r="G1260" s="193"/>
      <c r="H1260" s="105" t="n">
        <f aca="false">'[2]$ зима'!j1260-'[2]$ зима'!au1260-'[2]$ зима'!at1260-'[2]$ зима'!as1260-'[2]$ зима'!ar1260-'[2]$ зима'!aq1260-'[2]$ зима'!ap1260-'[2]$ зима'!an1260-'[2]$ зима'!am1260-'[2]$ зима'!al1260-'[2]$ зима'!ak1260-'[2]$ зима'!aj1260-'[2]$ зима'!ah1260-'[2]$ зима'!ag1260-'[2]$ зима'!af1260-'[2]$ зима'!ae1260-'[2]$ зима'!ad1260-'[2]$ зима'!ab1260-'[2]$ зима'!aa1260-'[2]$ зима'!z1260-'[2]$ зима'!y1260-'[2]$ зима'!x1260-'[2]$ зима'!v1260-'[2]$ зима'!u1260-'[2]$ зима'!t1260-'[2]$ зима'!s1260-'[2]$ зима'!r1260-'[2]$ зима'!p1260-'[2]$ зима'!o1260-'[2]$ зима'!n1260-'[2]$ зима'!m1260-'[2]$ зима'!l1260+'[2]$ зима'!q1260+'[2]$ зима'!w1260+'[2]$ зима'!ac1260+'[2]$ зима'!ai1260+'[2]$ зима'!ao1260+'[2]$ зима'!k1260</f>
        <v>0</v>
      </c>
      <c r="I1260" s="191" t="n">
        <f aca="false">'[2]$ зима'!ay1260*1.1</f>
        <v>5020.4</v>
      </c>
    </row>
    <row r="1261" customFormat="false" ht="15" hidden="false" customHeight="false" outlineLevel="0" collapsed="false">
      <c r="A1261" s="196" t="s">
        <v>1938</v>
      </c>
      <c r="B1261" s="149" t="s">
        <v>564</v>
      </c>
      <c r="C1261" s="148" t="s">
        <v>3540</v>
      </c>
      <c r="D1261" s="148"/>
      <c r="E1261" s="192" t="n">
        <v>95</v>
      </c>
      <c r="F1261" s="192" t="s">
        <v>3220</v>
      </c>
      <c r="G1261" s="193"/>
      <c r="H1261" s="105" t="n">
        <f aca="false">'[2]$ зима'!j1261-'[2]$ зима'!au1261-'[2]$ зима'!at1261-'[2]$ зима'!as1261-'[2]$ зима'!ar1261-'[2]$ зима'!aq1261-'[2]$ зима'!ap1261-'[2]$ зима'!an1261-'[2]$ зима'!am1261-'[2]$ зима'!al1261-'[2]$ зима'!ak1261-'[2]$ зима'!aj1261-'[2]$ зима'!ah1261-'[2]$ зима'!ag1261-'[2]$ зима'!af1261-'[2]$ зима'!ae1261-'[2]$ зима'!ad1261-'[2]$ зима'!ab1261-'[2]$ зима'!aa1261-'[2]$ зима'!z1261-'[2]$ зима'!y1261-'[2]$ зима'!x1261-'[2]$ зима'!v1261-'[2]$ зима'!u1261-'[2]$ зима'!t1261-'[2]$ зима'!s1261-'[2]$ зима'!r1261-'[2]$ зима'!p1261-'[2]$ зима'!o1261-'[2]$ зима'!n1261-'[2]$ зима'!m1261-'[2]$ зима'!l1261+'[2]$ зима'!q1261+'[2]$ зима'!w1261+'[2]$ зима'!ac1261+'[2]$ зима'!ai1261+'[2]$ зима'!ao1261+'[2]$ зима'!k1261</f>
        <v>8</v>
      </c>
      <c r="I1261" s="191" t="n">
        <f aca="false">'[2]$ зима'!ay1261*1.1</f>
        <v>1694</v>
      </c>
    </row>
    <row r="1262" customFormat="false" ht="15" hidden="true" customHeight="false" outlineLevel="0" collapsed="false">
      <c r="A1262" s="196" t="s">
        <v>1945</v>
      </c>
      <c r="B1262" s="149" t="s">
        <v>601</v>
      </c>
      <c r="C1262" s="148" t="s">
        <v>3564</v>
      </c>
      <c r="D1262" s="148"/>
      <c r="E1262" s="148" t="n">
        <v>94</v>
      </c>
      <c r="F1262" s="148" t="s">
        <v>1455</v>
      </c>
      <c r="G1262" s="193"/>
      <c r="H1262" s="105" t="n">
        <f aca="false">'[2]$ зима'!j1262-'[2]$ зима'!au1262-'[2]$ зима'!at1262-'[2]$ зима'!as1262-'[2]$ зима'!ar1262-'[2]$ зима'!aq1262-'[2]$ зима'!ap1262-'[2]$ зима'!an1262-'[2]$ зима'!am1262-'[2]$ зима'!al1262-'[2]$ зима'!ak1262-'[2]$ зима'!aj1262-'[2]$ зима'!ah1262-'[2]$ зима'!ag1262-'[2]$ зима'!af1262-'[2]$ зима'!ae1262-'[2]$ зима'!ad1262-'[2]$ зима'!ab1262-'[2]$ зима'!aa1262-'[2]$ зима'!z1262-'[2]$ зима'!y1262-'[2]$ зима'!x1262-'[2]$ зима'!v1262-'[2]$ зима'!u1262-'[2]$ зима'!t1262-'[2]$ зима'!s1262-'[2]$ зима'!r1262-'[2]$ зима'!p1262-'[2]$ зима'!o1262-'[2]$ зима'!n1262-'[2]$ зима'!m1262-'[2]$ зима'!l1262+'[2]$ зима'!q1262+'[2]$ зима'!w1262+'[2]$ зима'!ac1262+'[2]$ зима'!ai1262+'[2]$ зима'!ao1262+'[2]$ зима'!k1262</f>
        <v>0</v>
      </c>
      <c r="I1262" s="191" t="n">
        <f aca="false">'[2]$ зима'!ay1262*1.1</f>
        <v>4620</v>
      </c>
    </row>
    <row r="1263" customFormat="false" ht="15" hidden="true" customHeight="false" outlineLevel="0" collapsed="false">
      <c r="A1263" s="196" t="s">
        <v>1945</v>
      </c>
      <c r="B1263" s="149" t="s">
        <v>707</v>
      </c>
      <c r="C1263" s="148" t="s">
        <v>3734</v>
      </c>
      <c r="D1263" s="148"/>
      <c r="E1263" s="148"/>
      <c r="F1263" s="148"/>
      <c r="G1263" s="193"/>
      <c r="H1263" s="105" t="n">
        <f aca="false">'[2]$ зима'!j1263-'[2]$ зима'!au1263-'[2]$ зима'!at1263-'[2]$ зима'!as1263-'[2]$ зима'!ar1263-'[2]$ зима'!aq1263-'[2]$ зима'!ap1263-'[2]$ зима'!an1263-'[2]$ зима'!am1263-'[2]$ зима'!al1263-'[2]$ зима'!ak1263-'[2]$ зима'!aj1263-'[2]$ зима'!ah1263-'[2]$ зима'!ag1263-'[2]$ зима'!af1263-'[2]$ зима'!ae1263-'[2]$ зима'!ad1263-'[2]$ зима'!ab1263-'[2]$ зима'!aa1263-'[2]$ зима'!z1263-'[2]$ зима'!y1263-'[2]$ зима'!x1263-'[2]$ зима'!v1263-'[2]$ зима'!u1263-'[2]$ зима'!t1263-'[2]$ зима'!s1263-'[2]$ зима'!r1263-'[2]$ зима'!p1263-'[2]$ зима'!o1263-'[2]$ зима'!n1263-'[2]$ зима'!m1263-'[2]$ зима'!l1263+'[2]$ зима'!q1263+'[2]$ зима'!w1263+'[2]$ зима'!ac1263+'[2]$ зима'!ai1263+'[2]$ зима'!ao1263+'[2]$ зима'!k1263</f>
        <v>0</v>
      </c>
      <c r="I1263" s="191" t="n">
        <f aca="false">'[2]$ зима'!ay1263*1.1</f>
        <v>4312</v>
      </c>
    </row>
    <row r="1264" customFormat="false" ht="15" hidden="false" customHeight="false" outlineLevel="0" collapsed="false">
      <c r="A1264" s="196" t="s">
        <v>1945</v>
      </c>
      <c r="B1264" s="149" t="s">
        <v>666</v>
      </c>
      <c r="C1264" s="148" t="s">
        <v>3420</v>
      </c>
      <c r="D1264" s="148"/>
      <c r="E1264" s="192"/>
      <c r="F1264" s="192"/>
      <c r="G1264" s="193"/>
      <c r="H1264" s="105" t="n">
        <f aca="false">'[2]$ зима'!j1264-'[2]$ зима'!au1264-'[2]$ зима'!at1264-'[2]$ зима'!as1264-'[2]$ зима'!ar1264-'[2]$ зима'!aq1264-'[2]$ зима'!ap1264-'[2]$ зима'!an1264-'[2]$ зима'!am1264-'[2]$ зима'!al1264-'[2]$ зима'!ak1264-'[2]$ зима'!aj1264-'[2]$ зима'!ah1264-'[2]$ зима'!ag1264-'[2]$ зима'!af1264-'[2]$ зима'!ae1264-'[2]$ зима'!ad1264-'[2]$ зима'!ab1264-'[2]$ зима'!aa1264-'[2]$ зима'!z1264-'[2]$ зима'!y1264-'[2]$ зима'!x1264-'[2]$ зима'!v1264-'[2]$ зима'!u1264-'[2]$ зима'!t1264-'[2]$ зима'!s1264-'[2]$ зима'!r1264-'[2]$ зима'!p1264-'[2]$ зима'!o1264-'[2]$ зима'!n1264-'[2]$ зима'!m1264-'[2]$ зима'!l1264+'[2]$ зима'!q1264+'[2]$ зима'!w1264+'[2]$ зима'!ac1264+'[2]$ зима'!ai1264+'[2]$ зима'!ao1264+'[2]$ зима'!k1264</f>
        <v>4</v>
      </c>
      <c r="I1264" s="191" t="n">
        <f aca="false">'[2]$ зима'!ay1264*1.1</f>
        <v>3542</v>
      </c>
    </row>
    <row r="1265" customFormat="false" ht="15" hidden="false" customHeight="false" outlineLevel="0" collapsed="false">
      <c r="A1265" s="196" t="s">
        <v>1945</v>
      </c>
      <c r="B1265" s="149" t="s">
        <v>593</v>
      </c>
      <c r="C1265" s="148" t="s">
        <v>3735</v>
      </c>
      <c r="D1265" s="148"/>
      <c r="E1265" s="192"/>
      <c r="F1265" s="192"/>
      <c r="G1265" s="193"/>
      <c r="H1265" s="105" t="n">
        <f aca="false">'[2]$ зима'!j1265-'[2]$ зима'!au1265-'[2]$ зима'!at1265-'[2]$ зима'!as1265-'[2]$ зима'!ar1265-'[2]$ зима'!aq1265-'[2]$ зима'!ap1265-'[2]$ зима'!an1265-'[2]$ зима'!am1265-'[2]$ зима'!al1265-'[2]$ зима'!ak1265-'[2]$ зима'!aj1265-'[2]$ зима'!ah1265-'[2]$ зима'!ag1265-'[2]$ зима'!af1265-'[2]$ зима'!ae1265-'[2]$ зима'!ad1265-'[2]$ зима'!ab1265-'[2]$ зима'!aa1265-'[2]$ зима'!z1265-'[2]$ зима'!y1265-'[2]$ зима'!x1265-'[2]$ зима'!v1265-'[2]$ зима'!u1265-'[2]$ зима'!t1265-'[2]$ зима'!s1265-'[2]$ зима'!r1265-'[2]$ зима'!p1265-'[2]$ зима'!o1265-'[2]$ зима'!n1265-'[2]$ зима'!m1265-'[2]$ зима'!l1265+'[2]$ зима'!q1265+'[2]$ зима'!w1265+'[2]$ зима'!ac1265+'[2]$ зима'!ai1265+'[2]$ зима'!ao1265+'[2]$ зима'!k1265</f>
        <v>2</v>
      </c>
      <c r="I1265" s="191" t="n">
        <f aca="false">'[2]$ зима'!ay1265*1.1</f>
        <v>4620</v>
      </c>
    </row>
    <row r="1266" customFormat="false" ht="15" hidden="false" customHeight="false" outlineLevel="0" collapsed="false">
      <c r="A1266" s="196" t="s">
        <v>1945</v>
      </c>
      <c r="B1266" s="149" t="s">
        <v>586</v>
      </c>
      <c r="C1266" s="148" t="s">
        <v>3133</v>
      </c>
      <c r="D1266" s="148"/>
      <c r="E1266" s="192" t="n">
        <v>98</v>
      </c>
      <c r="F1266" s="192" t="s">
        <v>832</v>
      </c>
      <c r="G1266" s="193" t="s">
        <v>520</v>
      </c>
      <c r="H1266" s="105" t="n">
        <f aca="false">'[2]$ зима'!j1266-'[2]$ зима'!au1266-'[2]$ зима'!at1266-'[2]$ зима'!as1266-'[2]$ зима'!ar1266-'[2]$ зима'!aq1266-'[2]$ зима'!ap1266-'[2]$ зима'!an1266-'[2]$ зима'!am1266-'[2]$ зима'!al1266-'[2]$ зима'!ak1266-'[2]$ зима'!aj1266-'[2]$ зима'!ah1266-'[2]$ зима'!ag1266-'[2]$ зима'!af1266-'[2]$ зима'!ae1266-'[2]$ зима'!ad1266-'[2]$ зима'!ab1266-'[2]$ зима'!aa1266-'[2]$ зима'!z1266-'[2]$ зима'!y1266-'[2]$ зима'!x1266-'[2]$ зима'!v1266-'[2]$ зима'!u1266-'[2]$ зима'!t1266-'[2]$ зима'!s1266-'[2]$ зима'!r1266-'[2]$ зима'!p1266-'[2]$ зима'!o1266-'[2]$ зима'!n1266-'[2]$ зима'!m1266-'[2]$ зима'!l1266+'[2]$ зима'!q1266+'[2]$ зима'!w1266+'[2]$ зима'!ac1266+'[2]$ зима'!ai1266+'[2]$ зима'!ao1266+'[2]$ зима'!k1266</f>
        <v>8</v>
      </c>
      <c r="I1266" s="191" t="n">
        <f aca="false">'[2]$ зима'!ay1266*1.1</f>
        <v>1755.6</v>
      </c>
      <c r="J1266" s="171" t="n">
        <v>2018</v>
      </c>
    </row>
    <row r="1267" customFormat="false" ht="15" hidden="false" customHeight="false" outlineLevel="0" collapsed="false">
      <c r="A1267" s="196" t="s">
        <v>1945</v>
      </c>
      <c r="B1267" s="149" t="s">
        <v>3142</v>
      </c>
      <c r="C1267" s="148" t="s">
        <v>3613</v>
      </c>
      <c r="D1267" s="148"/>
      <c r="E1267" s="192" t="n">
        <v>98</v>
      </c>
      <c r="F1267" s="192" t="s">
        <v>970</v>
      </c>
      <c r="G1267" s="193"/>
      <c r="H1267" s="105" t="n">
        <f aca="false">'[2]$ зима'!j1267-'[2]$ зима'!au1267-'[2]$ зима'!at1267-'[2]$ зима'!as1267-'[2]$ зима'!ar1267-'[2]$ зима'!aq1267-'[2]$ зима'!ap1267-'[2]$ зима'!an1267-'[2]$ зима'!am1267-'[2]$ зима'!al1267-'[2]$ зима'!ak1267-'[2]$ зима'!aj1267-'[2]$ зима'!ah1267-'[2]$ зима'!ag1267-'[2]$ зима'!af1267-'[2]$ зима'!ae1267-'[2]$ зима'!ad1267-'[2]$ зима'!ab1267-'[2]$ зима'!aa1267-'[2]$ зима'!z1267-'[2]$ зима'!y1267-'[2]$ зима'!x1267-'[2]$ зима'!v1267-'[2]$ зима'!u1267-'[2]$ зима'!t1267-'[2]$ зима'!s1267-'[2]$ зима'!r1267-'[2]$ зима'!p1267-'[2]$ зима'!o1267-'[2]$ зима'!n1267-'[2]$ зима'!m1267-'[2]$ зима'!l1267+'[2]$ зима'!q1267+'[2]$ зима'!w1267+'[2]$ зима'!ac1267+'[2]$ зима'!ai1267+'[2]$ зима'!ao1267+'[2]$ зима'!k1267</f>
        <v>2</v>
      </c>
      <c r="I1267" s="191" t="n">
        <f aca="false">'[2]$ зима'!ay1267*1.1</f>
        <v>2648.8</v>
      </c>
    </row>
    <row r="1268" customFormat="false" ht="15" hidden="true" customHeight="false" outlineLevel="0" collapsed="false">
      <c r="A1268" s="196" t="s">
        <v>1945</v>
      </c>
      <c r="B1268" s="149" t="s">
        <v>3736</v>
      </c>
      <c r="C1268" s="148" t="s">
        <v>3737</v>
      </c>
      <c r="D1268" s="148"/>
      <c r="E1268" s="148"/>
      <c r="F1268" s="148"/>
      <c r="G1268" s="193"/>
      <c r="H1268" s="105" t="n">
        <f aca="false">'[2]$ зима'!j1268-'[2]$ зима'!au1268-'[2]$ зима'!at1268-'[2]$ зима'!as1268-'[2]$ зима'!ar1268-'[2]$ зима'!aq1268-'[2]$ зима'!ap1268-'[2]$ зима'!an1268-'[2]$ зима'!am1268-'[2]$ зима'!al1268-'[2]$ зима'!ak1268-'[2]$ зима'!aj1268-'[2]$ зима'!ah1268-'[2]$ зима'!ag1268-'[2]$ зима'!af1268-'[2]$ зима'!ae1268-'[2]$ зима'!ad1268-'[2]$ зима'!ab1268-'[2]$ зима'!aa1268-'[2]$ зима'!z1268-'[2]$ зима'!y1268-'[2]$ зима'!x1268-'[2]$ зима'!v1268-'[2]$ зима'!u1268-'[2]$ зима'!t1268-'[2]$ зима'!s1268-'[2]$ зима'!r1268-'[2]$ зима'!p1268-'[2]$ зима'!o1268-'[2]$ зима'!n1268-'[2]$ зима'!m1268-'[2]$ зима'!l1268+'[2]$ зима'!q1268+'[2]$ зима'!w1268+'[2]$ зима'!ac1268+'[2]$ зима'!ai1268+'[2]$ зима'!ao1268+'[2]$ зима'!k1268</f>
        <v>0</v>
      </c>
      <c r="I1268" s="191" t="n">
        <f aca="false">'[2]$ зима'!ay1268*1.1</f>
        <v>2063.6</v>
      </c>
      <c r="J1268" s="171" t="n">
        <v>2017</v>
      </c>
    </row>
    <row r="1269" customFormat="false" ht="15" hidden="true" customHeight="false" outlineLevel="0" collapsed="false">
      <c r="A1269" s="196" t="s">
        <v>1945</v>
      </c>
      <c r="B1269" s="149" t="s">
        <v>564</v>
      </c>
      <c r="C1269" s="148" t="s">
        <v>3738</v>
      </c>
      <c r="D1269" s="148"/>
      <c r="E1269" s="148"/>
      <c r="F1269" s="148"/>
      <c r="G1269" s="193"/>
      <c r="H1269" s="105" t="n">
        <f aca="false">'[2]$ зима'!j1269-'[2]$ зима'!au1269-'[2]$ зима'!at1269-'[2]$ зима'!as1269-'[2]$ зима'!ar1269-'[2]$ зима'!aq1269-'[2]$ зима'!ap1269-'[2]$ зима'!an1269-'[2]$ зима'!am1269-'[2]$ зима'!al1269-'[2]$ зима'!ak1269-'[2]$ зима'!aj1269-'[2]$ зима'!ah1269-'[2]$ зима'!ag1269-'[2]$ зима'!af1269-'[2]$ зима'!ae1269-'[2]$ зима'!ad1269-'[2]$ зима'!ab1269-'[2]$ зима'!aa1269-'[2]$ зима'!z1269-'[2]$ зима'!y1269-'[2]$ зима'!x1269-'[2]$ зима'!v1269-'[2]$ зима'!u1269-'[2]$ зима'!t1269-'[2]$ зима'!s1269-'[2]$ зима'!r1269-'[2]$ зима'!p1269-'[2]$ зима'!o1269-'[2]$ зима'!n1269-'[2]$ зима'!m1269-'[2]$ зима'!l1269+'[2]$ зима'!q1269+'[2]$ зима'!w1269+'[2]$ зима'!ac1269+'[2]$ зима'!ai1269+'[2]$ зима'!ao1269+'[2]$ зима'!k1269</f>
        <v>0</v>
      </c>
      <c r="I1269" s="191" t="n">
        <f aca="false">'[2]$ зима'!ay1269*1.1</f>
        <v>1755.6</v>
      </c>
    </row>
    <row r="1270" customFormat="false" ht="15" hidden="true" customHeight="false" outlineLevel="0" collapsed="false">
      <c r="A1270" s="196" t="s">
        <v>1960</v>
      </c>
      <c r="B1270" s="149" t="s">
        <v>601</v>
      </c>
      <c r="C1270" s="148" t="s">
        <v>3739</v>
      </c>
      <c r="D1270" s="148"/>
      <c r="E1270" s="148" t="n">
        <v>97</v>
      </c>
      <c r="F1270" s="148" t="s">
        <v>1455</v>
      </c>
      <c r="G1270" s="193"/>
      <c r="H1270" s="105" t="n">
        <f aca="false">'[2]$ зима'!j1270-'[2]$ зима'!au1270-'[2]$ зима'!at1270-'[2]$ зима'!as1270-'[2]$ зима'!ar1270-'[2]$ зима'!aq1270-'[2]$ зима'!ap1270-'[2]$ зима'!an1270-'[2]$ зима'!am1270-'[2]$ зима'!al1270-'[2]$ зима'!ak1270-'[2]$ зима'!aj1270-'[2]$ зима'!ah1270-'[2]$ зима'!ag1270-'[2]$ зима'!af1270-'[2]$ зима'!ae1270-'[2]$ зима'!ad1270-'[2]$ зима'!ab1270-'[2]$ зима'!aa1270-'[2]$ зима'!z1270-'[2]$ зима'!y1270-'[2]$ зима'!x1270-'[2]$ зима'!v1270-'[2]$ зима'!u1270-'[2]$ зима'!t1270-'[2]$ зима'!s1270-'[2]$ зима'!r1270-'[2]$ зима'!p1270-'[2]$ зима'!o1270-'[2]$ зима'!n1270-'[2]$ зима'!m1270-'[2]$ зима'!l1270+'[2]$ зима'!q1270+'[2]$ зима'!w1270+'[2]$ зима'!ac1270+'[2]$ зима'!ai1270+'[2]$ зима'!ao1270+'[2]$ зима'!k1270</f>
        <v>0</v>
      </c>
      <c r="I1270" s="191" t="n">
        <f aca="false">'[2]$ зима'!ay1270*1.1</f>
        <v>5236</v>
      </c>
      <c r="J1270" s="171" t="n">
        <v>2016</v>
      </c>
    </row>
    <row r="1271" customFormat="false" ht="15" hidden="true" customHeight="false" outlineLevel="0" collapsed="false">
      <c r="A1271" s="196" t="s">
        <v>1960</v>
      </c>
      <c r="B1271" s="149" t="s">
        <v>707</v>
      </c>
      <c r="C1271" s="148" t="s">
        <v>3740</v>
      </c>
      <c r="D1271" s="148"/>
      <c r="E1271" s="148"/>
      <c r="F1271" s="148"/>
      <c r="G1271" s="193" t="s">
        <v>868</v>
      </c>
      <c r="H1271" s="105" t="n">
        <f aca="false">'[2]$ зима'!j1271-'[2]$ зима'!au1271-'[2]$ зима'!at1271-'[2]$ зима'!as1271-'[2]$ зима'!ar1271-'[2]$ зима'!aq1271-'[2]$ зима'!ap1271-'[2]$ зима'!an1271-'[2]$ зима'!am1271-'[2]$ зима'!al1271-'[2]$ зима'!ak1271-'[2]$ зима'!aj1271-'[2]$ зима'!ah1271-'[2]$ зима'!ag1271-'[2]$ зима'!af1271-'[2]$ зима'!ae1271-'[2]$ зима'!ad1271-'[2]$ зима'!ab1271-'[2]$ зима'!aa1271-'[2]$ зима'!z1271-'[2]$ зима'!y1271-'[2]$ зима'!x1271-'[2]$ зима'!v1271-'[2]$ зима'!u1271-'[2]$ зима'!t1271-'[2]$ зима'!s1271-'[2]$ зима'!r1271-'[2]$ зима'!p1271-'[2]$ зима'!o1271-'[2]$ зима'!n1271-'[2]$ зима'!m1271-'[2]$ зима'!l1271+'[2]$ зима'!q1271+'[2]$ зима'!w1271+'[2]$ зима'!ac1271+'[2]$ зима'!ai1271+'[2]$ зима'!ao1271+'[2]$ зима'!k1271</f>
        <v>0</v>
      </c>
      <c r="I1271" s="191" t="n">
        <f aca="false">'[2]$ зима'!ay1271*1.1</f>
        <v>3080</v>
      </c>
    </row>
    <row r="1272" customFormat="false" ht="15" hidden="true" customHeight="false" outlineLevel="0" collapsed="false">
      <c r="A1272" s="196" t="s">
        <v>1960</v>
      </c>
      <c r="B1272" s="149" t="s">
        <v>707</v>
      </c>
      <c r="C1272" s="148" t="s">
        <v>3673</v>
      </c>
      <c r="D1272" s="148"/>
      <c r="E1272" s="148"/>
      <c r="F1272" s="148"/>
      <c r="G1272" s="193" t="s">
        <v>868</v>
      </c>
      <c r="H1272" s="105" t="n">
        <f aca="false">'[2]$ зима'!j1272-'[2]$ зима'!au1272-'[2]$ зима'!at1272-'[2]$ зима'!as1272-'[2]$ зима'!ar1272-'[2]$ зима'!aq1272-'[2]$ зима'!ap1272-'[2]$ зима'!an1272-'[2]$ зима'!am1272-'[2]$ зима'!al1272-'[2]$ зима'!ak1272-'[2]$ зима'!aj1272-'[2]$ зима'!ah1272-'[2]$ зима'!ag1272-'[2]$ зима'!af1272-'[2]$ зима'!ae1272-'[2]$ зима'!ad1272-'[2]$ зима'!ab1272-'[2]$ зима'!aa1272-'[2]$ зима'!z1272-'[2]$ зима'!y1272-'[2]$ зима'!x1272-'[2]$ зима'!v1272-'[2]$ зима'!u1272-'[2]$ зима'!t1272-'[2]$ зима'!s1272-'[2]$ зима'!r1272-'[2]$ зима'!p1272-'[2]$ зима'!o1272-'[2]$ зима'!n1272-'[2]$ зима'!m1272-'[2]$ зима'!l1272+'[2]$ зима'!q1272+'[2]$ зима'!w1272+'[2]$ зима'!ac1272+'[2]$ зима'!ai1272+'[2]$ зима'!ao1272+'[2]$ зима'!k1272</f>
        <v>0</v>
      </c>
      <c r="I1272" s="191" t="n">
        <f aca="false">'[2]$ зима'!ay1272*1.1</f>
        <v>4774</v>
      </c>
    </row>
    <row r="1273" customFormat="false" ht="15" hidden="true" customHeight="false" outlineLevel="0" collapsed="false">
      <c r="A1273" s="196" t="s">
        <v>1960</v>
      </c>
      <c r="B1273" s="149" t="s">
        <v>668</v>
      </c>
      <c r="C1273" s="148" t="s">
        <v>3233</v>
      </c>
      <c r="D1273" s="148"/>
      <c r="E1273" s="148"/>
      <c r="F1273" s="148"/>
      <c r="G1273" s="193"/>
      <c r="H1273" s="105" t="n">
        <f aca="false">'[2]$ зима'!j1273-'[2]$ зима'!au1273-'[2]$ зима'!at1273-'[2]$ зима'!as1273-'[2]$ зима'!ar1273-'[2]$ зима'!aq1273-'[2]$ зима'!ap1273-'[2]$ зима'!an1273-'[2]$ зима'!am1273-'[2]$ зима'!al1273-'[2]$ зима'!ak1273-'[2]$ зима'!aj1273-'[2]$ зима'!ah1273-'[2]$ зима'!ag1273-'[2]$ зима'!af1273-'[2]$ зима'!ae1273-'[2]$ зима'!ad1273-'[2]$ зима'!ab1273-'[2]$ зима'!aa1273-'[2]$ зима'!z1273-'[2]$ зима'!y1273-'[2]$ зима'!x1273-'[2]$ зима'!v1273-'[2]$ зима'!u1273-'[2]$ зима'!t1273-'[2]$ зима'!s1273-'[2]$ зима'!r1273-'[2]$ зима'!p1273-'[2]$ зима'!o1273-'[2]$ зима'!n1273-'[2]$ зима'!m1273-'[2]$ зима'!l1273+'[2]$ зима'!q1273+'[2]$ зима'!w1273+'[2]$ зима'!ac1273+'[2]$ зима'!ai1273+'[2]$ зима'!ao1273+'[2]$ зима'!k1273</f>
        <v>0</v>
      </c>
      <c r="I1273" s="191" t="n">
        <f aca="false">'[2]$ зима'!ay1273*1.1</f>
        <v>2618</v>
      </c>
    </row>
    <row r="1274" customFormat="false" ht="15" hidden="true" customHeight="false" outlineLevel="0" collapsed="false">
      <c r="A1274" s="196" t="s">
        <v>1960</v>
      </c>
      <c r="B1274" s="149" t="s">
        <v>668</v>
      </c>
      <c r="C1274" s="194" t="s">
        <v>3471</v>
      </c>
      <c r="D1274" s="148"/>
      <c r="E1274" s="148"/>
      <c r="F1274" s="148"/>
      <c r="G1274" s="193"/>
      <c r="H1274" s="105" t="n">
        <f aca="false">'[2]$ зима'!j1274-'[2]$ зима'!au1274-'[2]$ зима'!at1274-'[2]$ зима'!as1274-'[2]$ зима'!ar1274-'[2]$ зима'!aq1274-'[2]$ зима'!ap1274-'[2]$ зима'!an1274-'[2]$ зима'!am1274-'[2]$ зима'!al1274-'[2]$ зима'!ak1274-'[2]$ зима'!aj1274-'[2]$ зима'!ah1274-'[2]$ зима'!ag1274-'[2]$ зима'!af1274-'[2]$ зима'!ae1274-'[2]$ зима'!ad1274-'[2]$ зима'!ab1274-'[2]$ зима'!aa1274-'[2]$ зима'!z1274-'[2]$ зима'!y1274-'[2]$ зима'!x1274-'[2]$ зима'!v1274-'[2]$ зима'!u1274-'[2]$ зима'!t1274-'[2]$ зима'!s1274-'[2]$ зима'!r1274-'[2]$ зима'!p1274-'[2]$ зима'!o1274-'[2]$ зима'!n1274-'[2]$ зима'!m1274-'[2]$ зима'!l1274+'[2]$ зима'!q1274+'[2]$ зима'!w1274+'[2]$ зима'!ac1274+'[2]$ зима'!ai1274+'[2]$ зима'!ao1274+'[2]$ зима'!k1274</f>
        <v>0</v>
      </c>
      <c r="I1274" s="191" t="n">
        <f aca="false">'[2]$ зима'!ay1274*1.1</f>
        <v>3357.2</v>
      </c>
    </row>
    <row r="1275" customFormat="false" ht="15" hidden="false" customHeight="false" outlineLevel="0" collapsed="false">
      <c r="A1275" s="196" t="s">
        <v>1960</v>
      </c>
      <c r="B1275" s="149" t="s">
        <v>583</v>
      </c>
      <c r="C1275" s="148" t="s">
        <v>3282</v>
      </c>
      <c r="D1275" s="148"/>
      <c r="E1275" s="192"/>
      <c r="F1275" s="192"/>
      <c r="G1275" s="193" t="s">
        <v>933</v>
      </c>
      <c r="H1275" s="105" t="n">
        <f aca="false">'[2]$ зима'!j1275-'[2]$ зима'!au1275-'[2]$ зима'!at1275-'[2]$ зима'!as1275-'[2]$ зима'!ar1275-'[2]$ зима'!aq1275-'[2]$ зима'!ap1275-'[2]$ зима'!an1275-'[2]$ зима'!am1275-'[2]$ зима'!al1275-'[2]$ зима'!ak1275-'[2]$ зима'!aj1275-'[2]$ зима'!ah1275-'[2]$ зима'!ag1275-'[2]$ зима'!af1275-'[2]$ зима'!ae1275-'[2]$ зима'!ad1275-'[2]$ зима'!ab1275-'[2]$ зима'!aa1275-'[2]$ зима'!z1275-'[2]$ зима'!y1275-'[2]$ зима'!x1275-'[2]$ зима'!v1275-'[2]$ зима'!u1275-'[2]$ зима'!t1275-'[2]$ зима'!s1275-'[2]$ зима'!r1275-'[2]$ зима'!p1275-'[2]$ зима'!o1275-'[2]$ зима'!n1275-'[2]$ зима'!m1275-'[2]$ зима'!l1275+'[2]$ зима'!q1275+'[2]$ зима'!w1275+'[2]$ зима'!ac1275+'[2]$ зима'!ai1275+'[2]$ зима'!ao1275+'[2]$ зима'!k1275</f>
        <v>4</v>
      </c>
      <c r="I1275" s="191" t="n">
        <f aca="false">'[2]$ зима'!ay1275*1.1</f>
        <v>2525.6</v>
      </c>
      <c r="J1275" s="171" t="n">
        <v>2015</v>
      </c>
    </row>
    <row r="1276" customFormat="false" ht="15" hidden="false" customHeight="false" outlineLevel="0" collapsed="false">
      <c r="A1276" s="196" t="s">
        <v>1960</v>
      </c>
      <c r="B1276" s="149" t="s">
        <v>593</v>
      </c>
      <c r="C1276" s="148" t="s">
        <v>3741</v>
      </c>
      <c r="D1276" s="148"/>
      <c r="E1276" s="192"/>
      <c r="F1276" s="192"/>
      <c r="G1276" s="193"/>
      <c r="H1276" s="105" t="n">
        <f aca="false">'[2]$ зима'!j1276-'[2]$ зима'!au1276-'[2]$ зима'!at1276-'[2]$ зима'!as1276-'[2]$ зима'!ar1276-'[2]$ зима'!aq1276-'[2]$ зима'!ap1276-'[2]$ зима'!an1276-'[2]$ зима'!am1276-'[2]$ зима'!al1276-'[2]$ зима'!ak1276-'[2]$ зима'!aj1276-'[2]$ зима'!ah1276-'[2]$ зима'!ag1276-'[2]$ зима'!af1276-'[2]$ зима'!ae1276-'[2]$ зима'!ad1276-'[2]$ зима'!ab1276-'[2]$ зима'!aa1276-'[2]$ зима'!z1276-'[2]$ зима'!y1276-'[2]$ зима'!x1276-'[2]$ зима'!v1276-'[2]$ зима'!u1276-'[2]$ зима'!t1276-'[2]$ зима'!s1276-'[2]$ зима'!r1276-'[2]$ зима'!p1276-'[2]$ зима'!o1276-'[2]$ зима'!n1276-'[2]$ зима'!m1276-'[2]$ зима'!l1276+'[2]$ зима'!q1276+'[2]$ зима'!w1276+'[2]$ зима'!ac1276+'[2]$ зима'!ai1276+'[2]$ зима'!ao1276+'[2]$ зима'!k1276</f>
        <v>2</v>
      </c>
      <c r="I1276" s="191" t="n">
        <f aca="false">'[2]$ зима'!ay1276*1.1</f>
        <v>3696</v>
      </c>
    </row>
    <row r="1277" customFormat="false" ht="15" hidden="false" customHeight="false" outlineLevel="0" collapsed="false">
      <c r="A1277" s="196" t="s">
        <v>1960</v>
      </c>
      <c r="B1277" s="149" t="s">
        <v>593</v>
      </c>
      <c r="C1277" s="148" t="s">
        <v>3742</v>
      </c>
      <c r="D1277" s="148"/>
      <c r="E1277" s="192"/>
      <c r="F1277" s="192"/>
      <c r="G1277" s="193" t="s">
        <v>843</v>
      </c>
      <c r="H1277" s="105" t="n">
        <f aca="false">'[2]$ зима'!j1277-'[2]$ зима'!au1277-'[2]$ зима'!at1277-'[2]$ зима'!as1277-'[2]$ зима'!ar1277-'[2]$ зима'!aq1277-'[2]$ зима'!ap1277-'[2]$ зима'!an1277-'[2]$ зима'!am1277-'[2]$ зима'!al1277-'[2]$ зима'!ak1277-'[2]$ зима'!aj1277-'[2]$ зима'!ah1277-'[2]$ зима'!ag1277-'[2]$ зима'!af1277-'[2]$ зима'!ae1277-'[2]$ зима'!ad1277-'[2]$ зима'!ab1277-'[2]$ зима'!aa1277-'[2]$ зима'!z1277-'[2]$ зима'!y1277-'[2]$ зима'!x1277-'[2]$ зима'!v1277-'[2]$ зима'!u1277-'[2]$ зима'!t1277-'[2]$ зима'!s1277-'[2]$ зима'!r1277-'[2]$ зима'!p1277-'[2]$ зима'!o1277-'[2]$ зима'!n1277-'[2]$ зима'!m1277-'[2]$ зима'!l1277+'[2]$ зима'!q1277+'[2]$ зима'!w1277+'[2]$ зима'!ac1277+'[2]$ зима'!ai1277+'[2]$ зима'!ao1277+'[2]$ зима'!k1277</f>
        <v>4</v>
      </c>
      <c r="I1277" s="191" t="n">
        <f aca="false">'[2]$ зима'!ay1277*1.1</f>
        <v>4312</v>
      </c>
      <c r="J1277" s="171" t="n">
        <v>2015</v>
      </c>
    </row>
    <row r="1278" customFormat="false" ht="15" hidden="true" customHeight="false" outlineLevel="0" collapsed="false">
      <c r="A1278" s="196" t="s">
        <v>1960</v>
      </c>
      <c r="B1278" s="149" t="s">
        <v>564</v>
      </c>
      <c r="C1278" s="148" t="s">
        <v>3743</v>
      </c>
      <c r="D1278" s="148"/>
      <c r="E1278" s="148"/>
      <c r="F1278" s="148"/>
      <c r="G1278" s="193"/>
      <c r="H1278" s="105" t="n">
        <f aca="false">'[2]$ зима'!j1278-'[2]$ зима'!au1278-'[2]$ зима'!at1278-'[2]$ зима'!as1278-'[2]$ зима'!ar1278-'[2]$ зима'!aq1278-'[2]$ зима'!ap1278-'[2]$ зима'!an1278-'[2]$ зима'!am1278-'[2]$ зима'!al1278-'[2]$ зима'!ak1278-'[2]$ зима'!aj1278-'[2]$ зима'!ah1278-'[2]$ зима'!ag1278-'[2]$ зима'!af1278-'[2]$ зима'!ae1278-'[2]$ зима'!ad1278-'[2]$ зима'!ab1278-'[2]$ зима'!aa1278-'[2]$ зима'!z1278-'[2]$ зима'!y1278-'[2]$ зима'!x1278-'[2]$ зима'!v1278-'[2]$ зима'!u1278-'[2]$ зима'!t1278-'[2]$ зима'!s1278-'[2]$ зима'!r1278-'[2]$ зима'!p1278-'[2]$ зима'!o1278-'[2]$ зима'!n1278-'[2]$ зима'!m1278-'[2]$ зима'!l1278+'[2]$ зима'!q1278+'[2]$ зима'!w1278+'[2]$ зима'!ac1278+'[2]$ зима'!ai1278+'[2]$ зима'!ao1278+'[2]$ зима'!k1278</f>
        <v>0</v>
      </c>
      <c r="I1278" s="191" t="n">
        <f aca="false">'[2]$ зима'!ay1278*1.1</f>
        <v>2002</v>
      </c>
      <c r="J1278" s="171" t="n">
        <v>2017</v>
      </c>
    </row>
    <row r="1279" customFormat="false" ht="15" hidden="true" customHeight="false" outlineLevel="0" collapsed="false">
      <c r="A1279" s="196" t="s">
        <v>1960</v>
      </c>
      <c r="B1279" s="149" t="s">
        <v>1028</v>
      </c>
      <c r="C1279" s="148" t="s">
        <v>3532</v>
      </c>
      <c r="D1279" s="148"/>
      <c r="E1279" s="148"/>
      <c r="F1279" s="148"/>
      <c r="G1279" s="193"/>
      <c r="H1279" s="105" t="n">
        <f aca="false">'[2]$ зима'!j1279-'[2]$ зима'!au1279-'[2]$ зима'!at1279-'[2]$ зима'!as1279-'[2]$ зима'!ar1279-'[2]$ зима'!aq1279-'[2]$ зима'!ap1279-'[2]$ зима'!an1279-'[2]$ зима'!am1279-'[2]$ зима'!al1279-'[2]$ зима'!ak1279-'[2]$ зима'!aj1279-'[2]$ зима'!ah1279-'[2]$ зима'!ag1279-'[2]$ зима'!af1279-'[2]$ зима'!ae1279-'[2]$ зима'!ad1279-'[2]$ зима'!ab1279-'[2]$ зима'!aa1279-'[2]$ зима'!z1279-'[2]$ зима'!y1279-'[2]$ зима'!x1279-'[2]$ зима'!v1279-'[2]$ зима'!u1279-'[2]$ зима'!t1279-'[2]$ зима'!s1279-'[2]$ зима'!r1279-'[2]$ зима'!p1279-'[2]$ зима'!o1279-'[2]$ зима'!n1279-'[2]$ зима'!m1279-'[2]$ зима'!l1279+'[2]$ зима'!q1279+'[2]$ зима'!w1279+'[2]$ зима'!ac1279+'[2]$ зима'!ai1279+'[2]$ зима'!ao1279+'[2]$ зима'!k1279</f>
        <v>0</v>
      </c>
      <c r="I1279" s="191" t="n">
        <f aca="false">'[2]$ зима'!ay1279*1.1</f>
        <v>5236</v>
      </c>
    </row>
    <row r="1280" customFormat="false" ht="15" hidden="true" customHeight="false" outlineLevel="0" collapsed="false">
      <c r="A1280" s="196" t="s">
        <v>1974</v>
      </c>
      <c r="B1280" s="149" t="s">
        <v>601</v>
      </c>
      <c r="C1280" s="148" t="s">
        <v>3482</v>
      </c>
      <c r="D1280" s="148"/>
      <c r="E1280" s="148"/>
      <c r="F1280" s="148"/>
      <c r="G1280" s="193"/>
      <c r="H1280" s="105" t="n">
        <f aca="false">'[2]$ зима'!j1280-'[2]$ зима'!au1280-'[2]$ зима'!at1280-'[2]$ зима'!as1280-'[2]$ зима'!ar1280-'[2]$ зима'!aq1280-'[2]$ зима'!ap1280-'[2]$ зима'!an1280-'[2]$ зима'!am1280-'[2]$ зима'!al1280-'[2]$ зима'!ak1280-'[2]$ зима'!aj1280-'[2]$ зима'!ah1280-'[2]$ зима'!ag1280-'[2]$ зима'!af1280-'[2]$ зима'!ae1280-'[2]$ зима'!ad1280-'[2]$ зима'!ab1280-'[2]$ зима'!aa1280-'[2]$ зима'!z1280-'[2]$ зима'!y1280-'[2]$ зима'!x1280-'[2]$ зима'!v1280-'[2]$ зима'!u1280-'[2]$ зима'!t1280-'[2]$ зима'!s1280-'[2]$ зима'!r1280-'[2]$ зима'!p1280-'[2]$ зима'!o1280-'[2]$ зима'!n1280-'[2]$ зима'!m1280-'[2]$ зима'!l1280+'[2]$ зима'!q1280+'[2]$ зима'!w1280+'[2]$ зима'!ac1280+'[2]$ зима'!ai1280+'[2]$ зима'!ao1280+'[2]$ зима'!k1280</f>
        <v>0</v>
      </c>
      <c r="I1280" s="191" t="n">
        <f aca="false">'[2]$ зима'!ay1280*1.1</f>
        <v>4558.4</v>
      </c>
    </row>
    <row r="1281" customFormat="false" ht="15" hidden="true" customHeight="false" outlineLevel="0" collapsed="false">
      <c r="A1281" s="196" t="s">
        <v>1974</v>
      </c>
      <c r="B1281" s="149" t="s">
        <v>553</v>
      </c>
      <c r="C1281" s="148" t="s">
        <v>3321</v>
      </c>
      <c r="D1281" s="148"/>
      <c r="E1281" s="148"/>
      <c r="F1281" s="148"/>
      <c r="G1281" s="193"/>
      <c r="H1281" s="105" t="n">
        <f aca="false">'[2]$ зима'!j1281-'[2]$ зима'!au1281-'[2]$ зима'!at1281-'[2]$ зима'!as1281-'[2]$ зима'!ar1281-'[2]$ зима'!aq1281-'[2]$ зима'!ap1281-'[2]$ зима'!an1281-'[2]$ зима'!am1281-'[2]$ зима'!al1281-'[2]$ зима'!ak1281-'[2]$ зима'!aj1281-'[2]$ зима'!ah1281-'[2]$ зима'!ag1281-'[2]$ зима'!af1281-'[2]$ зима'!ae1281-'[2]$ зима'!ad1281-'[2]$ зима'!ab1281-'[2]$ зима'!aa1281-'[2]$ зима'!z1281-'[2]$ зима'!y1281-'[2]$ зима'!x1281-'[2]$ зима'!v1281-'[2]$ зима'!u1281-'[2]$ зима'!t1281-'[2]$ зима'!s1281-'[2]$ зима'!r1281-'[2]$ зима'!p1281-'[2]$ зима'!o1281-'[2]$ зима'!n1281-'[2]$ зима'!m1281-'[2]$ зима'!l1281+'[2]$ зима'!q1281+'[2]$ зима'!w1281+'[2]$ зима'!ac1281+'[2]$ зима'!ai1281+'[2]$ зима'!ao1281+'[2]$ зима'!k1281</f>
        <v>0</v>
      </c>
      <c r="I1281" s="191" t="n">
        <f aca="false">'[2]$ зима'!ay1281*1.1</f>
        <v>2217.6</v>
      </c>
    </row>
    <row r="1282" customFormat="false" ht="15" hidden="false" customHeight="false" outlineLevel="0" collapsed="false">
      <c r="A1282" s="196" t="s">
        <v>1974</v>
      </c>
      <c r="B1282" s="149" t="s">
        <v>557</v>
      </c>
      <c r="C1282" s="148" t="s">
        <v>3744</v>
      </c>
      <c r="D1282" s="148"/>
      <c r="E1282" s="192" t="n">
        <v>100</v>
      </c>
      <c r="F1282" s="192" t="s">
        <v>562</v>
      </c>
      <c r="G1282" s="193"/>
      <c r="H1282" s="105" t="n">
        <f aca="false">'[2]$ зима'!j1282-'[2]$ зима'!au1282-'[2]$ зима'!at1282-'[2]$ зима'!as1282-'[2]$ зима'!ar1282-'[2]$ зима'!aq1282-'[2]$ зима'!ap1282-'[2]$ зима'!an1282-'[2]$ зима'!am1282-'[2]$ зима'!al1282-'[2]$ зима'!ak1282-'[2]$ зима'!aj1282-'[2]$ зима'!ah1282-'[2]$ зима'!ag1282-'[2]$ зима'!af1282-'[2]$ зима'!ae1282-'[2]$ зима'!ad1282-'[2]$ зима'!ab1282-'[2]$ зима'!aa1282-'[2]$ зима'!z1282-'[2]$ зима'!y1282-'[2]$ зима'!x1282-'[2]$ зима'!v1282-'[2]$ зима'!u1282-'[2]$ зима'!t1282-'[2]$ зима'!s1282-'[2]$ зима'!r1282-'[2]$ зима'!p1282-'[2]$ зима'!o1282-'[2]$ зима'!n1282-'[2]$ зима'!m1282-'[2]$ зима'!l1282+'[2]$ зима'!q1282+'[2]$ зима'!w1282+'[2]$ зима'!ac1282+'[2]$ зима'!ai1282+'[2]$ зима'!ao1282+'[2]$ зима'!k1282</f>
        <v>4</v>
      </c>
      <c r="I1282" s="191" t="n">
        <f aca="false">'[2]$ зима'!ay1282*1.1</f>
        <v>2618</v>
      </c>
    </row>
    <row r="1283" customFormat="false" ht="15" hidden="true" customHeight="false" outlineLevel="0" collapsed="false">
      <c r="A1283" s="196" t="s">
        <v>1974</v>
      </c>
      <c r="B1283" s="149" t="s">
        <v>606</v>
      </c>
      <c r="C1283" s="148" t="s">
        <v>3715</v>
      </c>
      <c r="D1283" s="148"/>
      <c r="E1283" s="148"/>
      <c r="F1283" s="148"/>
      <c r="G1283" s="193"/>
      <c r="H1283" s="105" t="n">
        <f aca="false">'[2]$ зима'!j1283-'[2]$ зима'!au1283-'[2]$ зима'!at1283-'[2]$ зима'!as1283-'[2]$ зима'!ar1283-'[2]$ зима'!aq1283-'[2]$ зима'!ap1283-'[2]$ зима'!an1283-'[2]$ зима'!am1283-'[2]$ зима'!al1283-'[2]$ зима'!ak1283-'[2]$ зима'!aj1283-'[2]$ зима'!ah1283-'[2]$ зима'!ag1283-'[2]$ зима'!af1283-'[2]$ зима'!ae1283-'[2]$ зима'!ad1283-'[2]$ зима'!ab1283-'[2]$ зима'!aa1283-'[2]$ зима'!z1283-'[2]$ зима'!y1283-'[2]$ зима'!x1283-'[2]$ зима'!v1283-'[2]$ зима'!u1283-'[2]$ зима'!t1283-'[2]$ зима'!s1283-'[2]$ зима'!r1283-'[2]$ зима'!p1283-'[2]$ зима'!o1283-'[2]$ зима'!n1283-'[2]$ зима'!m1283-'[2]$ зима'!l1283+'[2]$ зима'!q1283+'[2]$ зима'!w1283+'[2]$ зима'!ac1283+'[2]$ зима'!ai1283+'[2]$ зима'!ao1283+'[2]$ зима'!k1283</f>
        <v>0</v>
      </c>
      <c r="I1283" s="191" t="n">
        <f aca="false">'[2]$ зима'!ay1283*1.1</f>
        <v>3234</v>
      </c>
    </row>
    <row r="1284" customFormat="false" ht="15" hidden="true" customHeight="false" outlineLevel="0" collapsed="false">
      <c r="A1284" s="196" t="s">
        <v>1974</v>
      </c>
      <c r="B1284" s="149" t="s">
        <v>606</v>
      </c>
      <c r="C1284" s="148" t="s">
        <v>3386</v>
      </c>
      <c r="D1284" s="148"/>
      <c r="E1284" s="148"/>
      <c r="F1284" s="148"/>
      <c r="G1284" s="193"/>
      <c r="H1284" s="105" t="n">
        <f aca="false">'[2]$ зима'!j1284-'[2]$ зима'!au1284-'[2]$ зима'!at1284-'[2]$ зима'!as1284-'[2]$ зима'!ar1284-'[2]$ зима'!aq1284-'[2]$ зима'!ap1284-'[2]$ зима'!an1284-'[2]$ зима'!am1284-'[2]$ зима'!al1284-'[2]$ зима'!ak1284-'[2]$ зима'!aj1284-'[2]$ зима'!ah1284-'[2]$ зима'!ag1284-'[2]$ зима'!af1284-'[2]$ зима'!ae1284-'[2]$ зима'!ad1284-'[2]$ зима'!ab1284-'[2]$ зима'!aa1284-'[2]$ зима'!z1284-'[2]$ зима'!y1284-'[2]$ зима'!x1284-'[2]$ зима'!v1284-'[2]$ зима'!u1284-'[2]$ зима'!t1284-'[2]$ зима'!s1284-'[2]$ зима'!r1284-'[2]$ зима'!p1284-'[2]$ зима'!o1284-'[2]$ зима'!n1284-'[2]$ зима'!m1284-'[2]$ зима'!l1284+'[2]$ зима'!q1284+'[2]$ зима'!w1284+'[2]$ зима'!ac1284+'[2]$ зима'!ai1284+'[2]$ зима'!ao1284+'[2]$ зима'!k1284</f>
        <v>0</v>
      </c>
      <c r="I1284" s="191" t="n">
        <f aca="false">'[2]$ зима'!ay1284*1.1</f>
        <v>3234</v>
      </c>
    </row>
    <row r="1285" customFormat="false" ht="15" hidden="false" customHeight="false" outlineLevel="0" collapsed="false">
      <c r="A1285" s="196" t="s">
        <v>1974</v>
      </c>
      <c r="B1285" s="149" t="s">
        <v>668</v>
      </c>
      <c r="C1285" s="194" t="s">
        <v>3402</v>
      </c>
      <c r="D1285" s="148"/>
      <c r="E1285" s="192"/>
      <c r="F1285" s="192"/>
      <c r="G1285" s="193" t="s">
        <v>609</v>
      </c>
      <c r="H1285" s="105" t="n">
        <f aca="false">'[2]$ зима'!j1285-'[2]$ зима'!au1285-'[2]$ зима'!at1285-'[2]$ зима'!as1285-'[2]$ зима'!ar1285-'[2]$ зима'!aq1285-'[2]$ зима'!ap1285-'[2]$ зима'!an1285-'[2]$ зима'!am1285-'[2]$ зима'!al1285-'[2]$ зима'!ak1285-'[2]$ зима'!aj1285-'[2]$ зима'!ah1285-'[2]$ зима'!ag1285-'[2]$ зима'!af1285-'[2]$ зима'!ae1285-'[2]$ зима'!ad1285-'[2]$ зима'!ab1285-'[2]$ зима'!aa1285-'[2]$ зима'!z1285-'[2]$ зима'!y1285-'[2]$ зима'!x1285-'[2]$ зима'!v1285-'[2]$ зима'!u1285-'[2]$ зима'!t1285-'[2]$ зима'!s1285-'[2]$ зима'!r1285-'[2]$ зима'!p1285-'[2]$ зима'!o1285-'[2]$ зима'!n1285-'[2]$ зима'!m1285-'[2]$ зима'!l1285+'[2]$ зима'!q1285+'[2]$ зима'!w1285+'[2]$ зима'!ac1285+'[2]$ зима'!ai1285+'[2]$ зима'!ao1285+'[2]$ зима'!k1285</f>
        <v>8</v>
      </c>
      <c r="I1285" s="191" t="n">
        <f aca="false">'[2]$ зима'!ay1285*1.1</f>
        <v>2710.4</v>
      </c>
      <c r="J1285" s="171" t="n">
        <v>2017</v>
      </c>
    </row>
    <row r="1286" customFormat="false" ht="15" hidden="false" customHeight="false" outlineLevel="0" collapsed="false">
      <c r="A1286" s="196" t="s">
        <v>1974</v>
      </c>
      <c r="B1286" s="149" t="s">
        <v>1471</v>
      </c>
      <c r="C1286" s="148" t="s">
        <v>3219</v>
      </c>
      <c r="D1286" s="148"/>
      <c r="E1286" s="192" t="n">
        <v>104</v>
      </c>
      <c r="F1286" s="192" t="s">
        <v>3220</v>
      </c>
      <c r="G1286" s="193" t="s">
        <v>609</v>
      </c>
      <c r="H1286" s="105" t="n">
        <f aca="false">'[2]$ зима'!j1286-'[2]$ зима'!au1286-'[2]$ зима'!at1286-'[2]$ зима'!as1286-'[2]$ зима'!ar1286-'[2]$ зима'!aq1286-'[2]$ зима'!ap1286-'[2]$ зима'!an1286-'[2]$ зима'!am1286-'[2]$ зима'!al1286-'[2]$ зима'!ak1286-'[2]$ зима'!aj1286-'[2]$ зима'!ah1286-'[2]$ зима'!ag1286-'[2]$ зима'!af1286-'[2]$ зима'!ae1286-'[2]$ зима'!ad1286-'[2]$ зима'!ab1286-'[2]$ зима'!aa1286-'[2]$ зима'!z1286-'[2]$ зима'!y1286-'[2]$ зима'!x1286-'[2]$ зима'!v1286-'[2]$ зима'!u1286-'[2]$ зима'!t1286-'[2]$ зима'!s1286-'[2]$ зима'!r1286-'[2]$ зима'!p1286-'[2]$ зима'!o1286-'[2]$ зима'!n1286-'[2]$ зима'!m1286-'[2]$ зима'!l1286+'[2]$ зима'!q1286+'[2]$ зима'!w1286+'[2]$ зима'!ac1286+'[2]$ зима'!ai1286+'[2]$ зима'!ao1286+'[2]$ зима'!k1286</f>
        <v>4</v>
      </c>
      <c r="I1286" s="191" t="n">
        <f aca="false">'[2]$ зима'!ay1286*1.1</f>
        <v>2710.4</v>
      </c>
      <c r="J1286" s="171" t="n">
        <v>2018</v>
      </c>
    </row>
    <row r="1287" customFormat="false" ht="15" hidden="true" customHeight="false" outlineLevel="0" collapsed="false">
      <c r="A1287" s="196" t="s">
        <v>1974</v>
      </c>
      <c r="B1287" s="149" t="s">
        <v>583</v>
      </c>
      <c r="C1287" s="148" t="s">
        <v>3313</v>
      </c>
      <c r="D1287" s="148"/>
      <c r="E1287" s="148"/>
      <c r="F1287" s="148"/>
      <c r="G1287" s="193"/>
      <c r="H1287" s="105" t="n">
        <f aca="false">'[2]$ зима'!j1287-'[2]$ зима'!au1287-'[2]$ зима'!at1287-'[2]$ зима'!as1287-'[2]$ зима'!ar1287-'[2]$ зима'!aq1287-'[2]$ зима'!ap1287-'[2]$ зима'!an1287-'[2]$ зима'!am1287-'[2]$ зима'!al1287-'[2]$ зима'!ak1287-'[2]$ зима'!aj1287-'[2]$ зима'!ah1287-'[2]$ зима'!ag1287-'[2]$ зима'!af1287-'[2]$ зима'!ae1287-'[2]$ зима'!ad1287-'[2]$ зима'!ab1287-'[2]$ зима'!aa1287-'[2]$ зима'!z1287-'[2]$ зима'!y1287-'[2]$ зима'!x1287-'[2]$ зима'!v1287-'[2]$ зима'!u1287-'[2]$ зима'!t1287-'[2]$ зима'!s1287-'[2]$ зима'!r1287-'[2]$ зима'!p1287-'[2]$ зима'!o1287-'[2]$ зима'!n1287-'[2]$ зима'!m1287-'[2]$ зима'!l1287+'[2]$ зима'!q1287+'[2]$ зима'!w1287+'[2]$ зима'!ac1287+'[2]$ зима'!ai1287+'[2]$ зима'!ao1287+'[2]$ зима'!k1287</f>
        <v>0</v>
      </c>
      <c r="I1287" s="191" t="n">
        <f aca="false">'[2]$ зима'!ay1287*1.1</f>
        <v>2402.4</v>
      </c>
    </row>
    <row r="1288" customFormat="false" ht="15" hidden="false" customHeight="false" outlineLevel="0" collapsed="false">
      <c r="A1288" s="196" t="s">
        <v>1974</v>
      </c>
      <c r="B1288" s="149" t="s">
        <v>613</v>
      </c>
      <c r="C1288" s="148" t="s">
        <v>3745</v>
      </c>
      <c r="D1288" s="148"/>
      <c r="E1288" s="192"/>
      <c r="F1288" s="192"/>
      <c r="G1288" s="193"/>
      <c r="H1288" s="105" t="n">
        <f aca="false">'[2]$ зима'!j1288-'[2]$ зима'!au1288-'[2]$ зима'!at1288-'[2]$ зима'!as1288-'[2]$ зима'!ar1288-'[2]$ зима'!aq1288-'[2]$ зима'!ap1288-'[2]$ зима'!an1288-'[2]$ зима'!am1288-'[2]$ зима'!al1288-'[2]$ зима'!ak1288-'[2]$ зима'!aj1288-'[2]$ зима'!ah1288-'[2]$ зима'!ag1288-'[2]$ зима'!af1288-'[2]$ зима'!ae1288-'[2]$ зима'!ad1288-'[2]$ зима'!ab1288-'[2]$ зима'!aa1288-'[2]$ зима'!z1288-'[2]$ зима'!y1288-'[2]$ зима'!x1288-'[2]$ зима'!v1288-'[2]$ зима'!u1288-'[2]$ зима'!t1288-'[2]$ зима'!s1288-'[2]$ зима'!r1288-'[2]$ зима'!p1288-'[2]$ зима'!o1288-'[2]$ зима'!n1288-'[2]$ зима'!m1288-'[2]$ зима'!l1288+'[2]$ зима'!q1288+'[2]$ зима'!w1288+'[2]$ зима'!ac1288+'[2]$ зима'!ai1288+'[2]$ зима'!ao1288+'[2]$ зима'!k1288</f>
        <v>8</v>
      </c>
      <c r="I1288" s="191" t="n">
        <f aca="false">'[2]$ зима'!ay1288*1.1</f>
        <v>2464</v>
      </c>
    </row>
    <row r="1289" customFormat="false" ht="15" hidden="true" customHeight="false" outlineLevel="0" collapsed="false">
      <c r="A1289" s="196" t="s">
        <v>1974</v>
      </c>
      <c r="B1289" s="149" t="s">
        <v>593</v>
      </c>
      <c r="C1289" s="148" t="s">
        <v>3746</v>
      </c>
      <c r="D1289" s="148"/>
      <c r="E1289" s="148"/>
      <c r="F1289" s="148"/>
      <c r="G1289" s="193"/>
      <c r="H1289" s="105" t="n">
        <f aca="false">'[2]$ зима'!j1289-'[2]$ зима'!au1289-'[2]$ зима'!at1289-'[2]$ зима'!as1289-'[2]$ зима'!ar1289-'[2]$ зима'!aq1289-'[2]$ зима'!ap1289-'[2]$ зима'!an1289-'[2]$ зима'!am1289-'[2]$ зима'!al1289-'[2]$ зима'!ak1289-'[2]$ зима'!aj1289-'[2]$ зима'!ah1289-'[2]$ зима'!ag1289-'[2]$ зима'!af1289-'[2]$ зима'!ae1289-'[2]$ зима'!ad1289-'[2]$ зима'!ab1289-'[2]$ зима'!aa1289-'[2]$ зима'!z1289-'[2]$ зима'!y1289-'[2]$ зима'!x1289-'[2]$ зима'!v1289-'[2]$ зима'!u1289-'[2]$ зима'!t1289-'[2]$ зима'!s1289-'[2]$ зима'!r1289-'[2]$ зима'!p1289-'[2]$ зима'!o1289-'[2]$ зима'!n1289-'[2]$ зима'!m1289-'[2]$ зима'!l1289+'[2]$ зима'!q1289+'[2]$ зима'!w1289+'[2]$ зима'!ac1289+'[2]$ зима'!ai1289+'[2]$ зима'!ao1289+'[2]$ зима'!k1289</f>
        <v>0</v>
      </c>
      <c r="I1289" s="191" t="n">
        <f aca="false">'[2]$ зима'!ay1289*1.1</f>
        <v>4743.2</v>
      </c>
    </row>
    <row r="1290" customFormat="false" ht="15" hidden="true" customHeight="false" outlineLevel="0" collapsed="false">
      <c r="A1290" s="196" t="s">
        <v>1974</v>
      </c>
      <c r="B1290" s="149" t="s">
        <v>586</v>
      </c>
      <c r="C1290" s="148" t="s">
        <v>3747</v>
      </c>
      <c r="D1290" s="148"/>
      <c r="E1290" s="148"/>
      <c r="F1290" s="148"/>
      <c r="G1290" s="193"/>
      <c r="H1290" s="105" t="n">
        <f aca="false">'[2]$ зима'!j1290-'[2]$ зима'!au1290-'[2]$ зима'!at1290-'[2]$ зима'!as1290-'[2]$ зима'!ar1290-'[2]$ зима'!aq1290-'[2]$ зима'!ap1290-'[2]$ зима'!an1290-'[2]$ зима'!am1290-'[2]$ зима'!al1290-'[2]$ зима'!ak1290-'[2]$ зима'!aj1290-'[2]$ зима'!ah1290-'[2]$ зима'!ag1290-'[2]$ зима'!af1290-'[2]$ зима'!ae1290-'[2]$ зима'!ad1290-'[2]$ зима'!ab1290-'[2]$ зима'!aa1290-'[2]$ зима'!z1290-'[2]$ зима'!y1290-'[2]$ зима'!x1290-'[2]$ зима'!v1290-'[2]$ зима'!u1290-'[2]$ зима'!t1290-'[2]$ зима'!s1290-'[2]$ зима'!r1290-'[2]$ зима'!p1290-'[2]$ зима'!o1290-'[2]$ зима'!n1290-'[2]$ зима'!m1290-'[2]$ зима'!l1290+'[2]$ зима'!q1290+'[2]$ зима'!w1290+'[2]$ зима'!ac1290+'[2]$ зима'!ai1290+'[2]$ зима'!ao1290+'[2]$ зима'!k1290</f>
        <v>0</v>
      </c>
      <c r="I1290" s="191" t="n">
        <f aca="false">'[2]$ зима'!ay1290*1.1</f>
        <v>1786.4</v>
      </c>
    </row>
    <row r="1291" customFormat="false" ht="15" hidden="true" customHeight="false" outlineLevel="0" collapsed="false">
      <c r="A1291" s="196" t="s">
        <v>1974</v>
      </c>
      <c r="B1291" s="149" t="s">
        <v>3142</v>
      </c>
      <c r="C1291" s="148" t="s">
        <v>3748</v>
      </c>
      <c r="D1291" s="148" t="s">
        <v>3127</v>
      </c>
      <c r="E1291" s="148"/>
      <c r="F1291" s="148"/>
      <c r="G1291" s="193"/>
      <c r="H1291" s="105" t="n">
        <f aca="false">'[2]$ зима'!j1291-'[2]$ зима'!au1291-'[2]$ зима'!at1291-'[2]$ зима'!as1291-'[2]$ зима'!ar1291-'[2]$ зима'!aq1291-'[2]$ зима'!ap1291-'[2]$ зима'!an1291-'[2]$ зима'!am1291-'[2]$ зима'!al1291-'[2]$ зима'!ak1291-'[2]$ зима'!aj1291-'[2]$ зима'!ah1291-'[2]$ зима'!ag1291-'[2]$ зима'!af1291-'[2]$ зима'!ae1291-'[2]$ зима'!ad1291-'[2]$ зима'!ab1291-'[2]$ зима'!aa1291-'[2]$ зима'!z1291-'[2]$ зима'!y1291-'[2]$ зима'!x1291-'[2]$ зима'!v1291-'[2]$ зима'!u1291-'[2]$ зима'!t1291-'[2]$ зима'!s1291-'[2]$ зима'!r1291-'[2]$ зима'!p1291-'[2]$ зима'!o1291-'[2]$ зима'!n1291-'[2]$ зима'!m1291-'[2]$ зима'!l1291+'[2]$ зима'!q1291+'[2]$ зима'!w1291+'[2]$ зима'!ac1291+'[2]$ зима'!ai1291+'[2]$ зима'!ao1291+'[2]$ зима'!k1291</f>
        <v>0</v>
      </c>
      <c r="I1291" s="191" t="n">
        <f aca="false">'[2]$ зима'!ay1291*1.1</f>
        <v>2618</v>
      </c>
    </row>
    <row r="1292" customFormat="false" ht="15" hidden="false" customHeight="false" outlineLevel="0" collapsed="false">
      <c r="A1292" s="196" t="s">
        <v>1974</v>
      </c>
      <c r="B1292" s="149" t="s">
        <v>1149</v>
      </c>
      <c r="C1292" s="148" t="s">
        <v>3749</v>
      </c>
      <c r="D1292" s="148" t="s">
        <v>3147</v>
      </c>
      <c r="E1292" s="192"/>
      <c r="F1292" s="192"/>
      <c r="G1292" s="193"/>
      <c r="H1292" s="105" t="n">
        <f aca="false">'[2]$ зима'!j1292-'[2]$ зима'!au1292-'[2]$ зима'!at1292-'[2]$ зима'!as1292-'[2]$ зима'!ar1292-'[2]$ зима'!aq1292-'[2]$ зима'!ap1292-'[2]$ зима'!an1292-'[2]$ зима'!am1292-'[2]$ зима'!al1292-'[2]$ зима'!ak1292-'[2]$ зима'!aj1292-'[2]$ зима'!ah1292-'[2]$ зима'!ag1292-'[2]$ зима'!af1292-'[2]$ зима'!ae1292-'[2]$ зима'!ad1292-'[2]$ зима'!ab1292-'[2]$ зима'!aa1292-'[2]$ зима'!z1292-'[2]$ зима'!y1292-'[2]$ зима'!x1292-'[2]$ зима'!v1292-'[2]$ зима'!u1292-'[2]$ зима'!t1292-'[2]$ зима'!s1292-'[2]$ зима'!r1292-'[2]$ зима'!p1292-'[2]$ зима'!o1292-'[2]$ зима'!n1292-'[2]$ зима'!m1292-'[2]$ зима'!l1292+'[2]$ зима'!q1292+'[2]$ зима'!w1292+'[2]$ зима'!ac1292+'[2]$ зима'!ai1292+'[2]$ зима'!ao1292+'[2]$ зима'!k1292</f>
        <v>2</v>
      </c>
      <c r="I1292" s="191" t="n">
        <f aca="false">'[2]$ зима'!ay1292*1.1</f>
        <v>3696</v>
      </c>
    </row>
    <row r="1293" customFormat="false" ht="15" hidden="true" customHeight="false" outlineLevel="0" collapsed="false">
      <c r="A1293" s="196" t="s">
        <v>1974</v>
      </c>
      <c r="B1293" s="149" t="s">
        <v>3432</v>
      </c>
      <c r="C1293" s="148" t="s">
        <v>3750</v>
      </c>
      <c r="D1293" s="148"/>
      <c r="E1293" s="148"/>
      <c r="F1293" s="148"/>
      <c r="G1293" s="193"/>
      <c r="H1293" s="105" t="n">
        <f aca="false">'[2]$ зима'!j1293-'[2]$ зима'!au1293-'[2]$ зима'!at1293-'[2]$ зима'!as1293-'[2]$ зима'!ar1293-'[2]$ зима'!aq1293-'[2]$ зима'!ap1293-'[2]$ зима'!an1293-'[2]$ зима'!am1293-'[2]$ зима'!al1293-'[2]$ зима'!ak1293-'[2]$ зима'!aj1293-'[2]$ зима'!ah1293-'[2]$ зима'!ag1293-'[2]$ зима'!af1293-'[2]$ зима'!ae1293-'[2]$ зима'!ad1293-'[2]$ зима'!ab1293-'[2]$ зима'!aa1293-'[2]$ зима'!z1293-'[2]$ зима'!y1293-'[2]$ зима'!x1293-'[2]$ зима'!v1293-'[2]$ зима'!u1293-'[2]$ зима'!t1293-'[2]$ зима'!s1293-'[2]$ зима'!r1293-'[2]$ зима'!p1293-'[2]$ зима'!o1293-'[2]$ зима'!n1293-'[2]$ зима'!m1293-'[2]$ зима'!l1293+'[2]$ зима'!q1293+'[2]$ зима'!w1293+'[2]$ зима'!ac1293+'[2]$ зима'!ai1293+'[2]$ зима'!ao1293+'[2]$ зима'!k1293</f>
        <v>0</v>
      </c>
      <c r="I1293" s="191" t="n">
        <f aca="false">'[2]$ зима'!ay1293*1.1</f>
        <v>1940.4</v>
      </c>
    </row>
    <row r="1294" customFormat="false" ht="15" hidden="false" customHeight="false" outlineLevel="0" collapsed="false">
      <c r="A1294" s="196" t="s">
        <v>1974</v>
      </c>
      <c r="B1294" s="149" t="s">
        <v>621</v>
      </c>
      <c r="C1294" s="148" t="s">
        <v>3626</v>
      </c>
      <c r="D1294" s="148"/>
      <c r="E1294" s="192" t="n">
        <v>100</v>
      </c>
      <c r="F1294" s="192" t="s">
        <v>562</v>
      </c>
      <c r="G1294" s="193"/>
      <c r="H1294" s="105" t="n">
        <f aca="false">'[2]$ зима'!j1294-'[2]$ зима'!au1294-'[2]$ зима'!at1294-'[2]$ зима'!as1294-'[2]$ зима'!ar1294-'[2]$ зима'!aq1294-'[2]$ зима'!ap1294-'[2]$ зима'!an1294-'[2]$ зима'!am1294-'[2]$ зима'!al1294-'[2]$ зима'!ak1294-'[2]$ зима'!aj1294-'[2]$ зима'!ah1294-'[2]$ зима'!ag1294-'[2]$ зима'!af1294-'[2]$ зима'!ae1294-'[2]$ зима'!ad1294-'[2]$ зима'!ab1294-'[2]$ зима'!aa1294-'[2]$ зима'!z1294-'[2]$ зима'!y1294-'[2]$ зима'!x1294-'[2]$ зима'!v1294-'[2]$ зима'!u1294-'[2]$ зима'!t1294-'[2]$ зима'!s1294-'[2]$ зима'!r1294-'[2]$ зима'!p1294-'[2]$ зима'!o1294-'[2]$ зима'!n1294-'[2]$ зима'!m1294-'[2]$ зима'!l1294+'[2]$ зима'!q1294+'[2]$ зима'!w1294+'[2]$ зима'!ac1294+'[2]$ зима'!ai1294+'[2]$ зима'!ao1294+'[2]$ зима'!k1294</f>
        <v>4</v>
      </c>
      <c r="I1294" s="191" t="n">
        <f aca="false">'[2]$ зима'!ay1294*1.1</f>
        <v>1848</v>
      </c>
    </row>
    <row r="1295" customFormat="false" ht="15" hidden="true" customHeight="false" outlineLevel="0" collapsed="false">
      <c r="A1295" s="196" t="s">
        <v>1974</v>
      </c>
      <c r="B1295" s="149" t="s">
        <v>564</v>
      </c>
      <c r="C1295" s="148" t="s">
        <v>3751</v>
      </c>
      <c r="D1295" s="148"/>
      <c r="E1295" s="148"/>
      <c r="F1295" s="148"/>
      <c r="G1295" s="193"/>
      <c r="H1295" s="105" t="n">
        <f aca="false">'[2]$ зима'!j1295-'[2]$ зима'!au1295-'[2]$ зима'!at1295-'[2]$ зима'!as1295-'[2]$ зима'!ar1295-'[2]$ зима'!aq1295-'[2]$ зима'!ap1295-'[2]$ зима'!an1295-'[2]$ зима'!am1295-'[2]$ зима'!al1295-'[2]$ зима'!ak1295-'[2]$ зима'!aj1295-'[2]$ зима'!ah1295-'[2]$ зима'!ag1295-'[2]$ зима'!af1295-'[2]$ зима'!ae1295-'[2]$ зима'!ad1295-'[2]$ зима'!ab1295-'[2]$ зима'!aa1295-'[2]$ зима'!z1295-'[2]$ зима'!y1295-'[2]$ зима'!x1295-'[2]$ зима'!v1295-'[2]$ зима'!u1295-'[2]$ зима'!t1295-'[2]$ зима'!s1295-'[2]$ зима'!r1295-'[2]$ зима'!p1295-'[2]$ зима'!o1295-'[2]$ зима'!n1295-'[2]$ зима'!m1295-'[2]$ зима'!l1295+'[2]$ зима'!q1295+'[2]$ зима'!w1295+'[2]$ зима'!ac1295+'[2]$ зима'!ai1295+'[2]$ зима'!ao1295+'[2]$ зима'!k1295</f>
        <v>0</v>
      </c>
      <c r="I1295" s="191" t="n">
        <f aca="false">'[2]$ зима'!ay1295*1.1</f>
        <v>1848</v>
      </c>
    </row>
    <row r="1296" customFormat="false" ht="15" hidden="false" customHeight="false" outlineLevel="0" collapsed="false">
      <c r="A1296" s="196" t="s">
        <v>1974</v>
      </c>
      <c r="B1296" s="149" t="s">
        <v>589</v>
      </c>
      <c r="C1296" s="148" t="s">
        <v>3259</v>
      </c>
      <c r="D1296" s="148"/>
      <c r="E1296" s="192" t="n">
        <v>100</v>
      </c>
      <c r="F1296" s="192" t="s">
        <v>3207</v>
      </c>
      <c r="G1296" s="193" t="s">
        <v>626</v>
      </c>
      <c r="H1296" s="105" t="n">
        <f aca="false">'[2]$ зима'!j1296-'[2]$ зима'!au1296-'[2]$ зима'!at1296-'[2]$ зима'!as1296-'[2]$ зима'!ar1296-'[2]$ зима'!aq1296-'[2]$ зима'!ap1296-'[2]$ зима'!an1296-'[2]$ зима'!am1296-'[2]$ зима'!al1296-'[2]$ зима'!ak1296-'[2]$ зима'!aj1296-'[2]$ зима'!ah1296-'[2]$ зима'!ag1296-'[2]$ зима'!af1296-'[2]$ зима'!ae1296-'[2]$ зима'!ad1296-'[2]$ зима'!ab1296-'[2]$ зима'!aa1296-'[2]$ зима'!z1296-'[2]$ зима'!y1296-'[2]$ зима'!x1296-'[2]$ зима'!v1296-'[2]$ зима'!u1296-'[2]$ зима'!t1296-'[2]$ зима'!s1296-'[2]$ зима'!r1296-'[2]$ зима'!p1296-'[2]$ зима'!o1296-'[2]$ зима'!n1296-'[2]$ зима'!m1296-'[2]$ зима'!l1296+'[2]$ зима'!q1296+'[2]$ зима'!w1296+'[2]$ зима'!ac1296+'[2]$ зима'!ai1296+'[2]$ зима'!ao1296+'[2]$ зима'!k1296</f>
        <v>4</v>
      </c>
      <c r="I1296" s="191" t="n">
        <f aca="false">'[2]$ зима'!ay1296*1.1</f>
        <v>3998.72</v>
      </c>
      <c r="J1296" s="171" t="n">
        <v>2018</v>
      </c>
    </row>
    <row r="1297" customFormat="false" ht="15" hidden="false" customHeight="false" outlineLevel="0" collapsed="false">
      <c r="A1297" s="196" t="s">
        <v>1974</v>
      </c>
      <c r="B1297" s="149" t="s">
        <v>1028</v>
      </c>
      <c r="C1297" s="148" t="s">
        <v>3712</v>
      </c>
      <c r="D1297" s="148"/>
      <c r="E1297" s="192" t="n">
        <v>100</v>
      </c>
      <c r="F1297" s="192" t="s">
        <v>3207</v>
      </c>
      <c r="G1297" s="193" t="s">
        <v>626</v>
      </c>
      <c r="H1297" s="105" t="n">
        <f aca="false">'[2]$ зима'!j1297-'[2]$ зима'!au1297-'[2]$ зима'!at1297-'[2]$ зима'!as1297-'[2]$ зима'!ar1297-'[2]$ зима'!aq1297-'[2]$ зима'!ap1297-'[2]$ зима'!an1297-'[2]$ зима'!am1297-'[2]$ зима'!al1297-'[2]$ зима'!ak1297-'[2]$ зима'!aj1297-'[2]$ зима'!ah1297-'[2]$ зима'!ag1297-'[2]$ зима'!af1297-'[2]$ зима'!ae1297-'[2]$ зима'!ad1297-'[2]$ зима'!ab1297-'[2]$ зима'!aa1297-'[2]$ зима'!z1297-'[2]$ зима'!y1297-'[2]$ зима'!x1297-'[2]$ зима'!v1297-'[2]$ зима'!u1297-'[2]$ зима'!t1297-'[2]$ зима'!s1297-'[2]$ зима'!r1297-'[2]$ зима'!p1297-'[2]$ зима'!o1297-'[2]$ зима'!n1297-'[2]$ зима'!m1297-'[2]$ зима'!l1297+'[2]$ зима'!q1297+'[2]$ зима'!w1297+'[2]$ зима'!ac1297+'[2]$ зима'!ai1297+'[2]$ зима'!ao1297+'[2]$ зима'!k1297</f>
        <v>4</v>
      </c>
      <c r="I1297" s="191" t="n">
        <f aca="false">'[2]$ зима'!ay1297*1.1</f>
        <v>3542</v>
      </c>
      <c r="J1297" s="171" t="n">
        <v>2017</v>
      </c>
    </row>
    <row r="1298" customFormat="false" ht="15" hidden="false" customHeight="false" outlineLevel="0" collapsed="false">
      <c r="A1298" s="196" t="s">
        <v>1988</v>
      </c>
      <c r="B1298" s="149" t="s">
        <v>568</v>
      </c>
      <c r="C1298" s="148" t="s">
        <v>3752</v>
      </c>
      <c r="D1298" s="148"/>
      <c r="E1298" s="192"/>
      <c r="F1298" s="192"/>
      <c r="G1298" s="193" t="s">
        <v>640</v>
      </c>
      <c r="H1298" s="105" t="n">
        <f aca="false">'[2]$ зима'!j1298-'[2]$ зима'!au1298-'[2]$ зима'!at1298-'[2]$ зима'!as1298-'[2]$ зима'!ar1298-'[2]$ зима'!aq1298-'[2]$ зима'!ap1298-'[2]$ зима'!an1298-'[2]$ зима'!am1298-'[2]$ зима'!al1298-'[2]$ зима'!ak1298-'[2]$ зима'!aj1298-'[2]$ зима'!ah1298-'[2]$ зима'!ag1298-'[2]$ зима'!af1298-'[2]$ зима'!ae1298-'[2]$ зима'!ad1298-'[2]$ зима'!ab1298-'[2]$ зима'!aa1298-'[2]$ зима'!z1298-'[2]$ зима'!y1298-'[2]$ зима'!x1298-'[2]$ зима'!v1298-'[2]$ зима'!u1298-'[2]$ зима'!t1298-'[2]$ зима'!s1298-'[2]$ зима'!r1298-'[2]$ зима'!p1298-'[2]$ зима'!o1298-'[2]$ зима'!n1298-'[2]$ зима'!m1298-'[2]$ зима'!l1298+'[2]$ зима'!q1298+'[2]$ зима'!w1298+'[2]$ зима'!ac1298+'[2]$ зима'!ai1298+'[2]$ зима'!ao1298+'[2]$ зима'!k1298</f>
        <v>2</v>
      </c>
      <c r="I1298" s="191" t="n">
        <f aca="false">'[2]$ зима'!ay1298*1.1</f>
        <v>2464</v>
      </c>
    </row>
    <row r="1299" customFormat="false" ht="15" hidden="true" customHeight="false" outlineLevel="0" collapsed="false">
      <c r="A1299" s="196" t="s">
        <v>1988</v>
      </c>
      <c r="B1299" s="149" t="s">
        <v>601</v>
      </c>
      <c r="C1299" s="148" t="s">
        <v>3753</v>
      </c>
      <c r="D1299" s="148"/>
      <c r="E1299" s="148" t="n">
        <v>109</v>
      </c>
      <c r="F1299" s="148" t="s">
        <v>832</v>
      </c>
      <c r="G1299" s="193" t="s">
        <v>1954</v>
      </c>
      <c r="H1299" s="105" t="n">
        <f aca="false">'[2]$ зима'!j1299-'[2]$ зима'!au1299-'[2]$ зима'!at1299-'[2]$ зима'!as1299-'[2]$ зима'!ar1299-'[2]$ зима'!aq1299-'[2]$ зима'!ap1299-'[2]$ зима'!an1299-'[2]$ зима'!am1299-'[2]$ зима'!al1299-'[2]$ зима'!ak1299-'[2]$ зима'!aj1299-'[2]$ зима'!ah1299-'[2]$ зима'!ag1299-'[2]$ зима'!af1299-'[2]$ зима'!ae1299-'[2]$ зима'!ad1299-'[2]$ зима'!ab1299-'[2]$ зима'!aa1299-'[2]$ зима'!z1299-'[2]$ зима'!y1299-'[2]$ зима'!x1299-'[2]$ зима'!v1299-'[2]$ зима'!u1299-'[2]$ зима'!t1299-'[2]$ зима'!s1299-'[2]$ зима'!r1299-'[2]$ зима'!p1299-'[2]$ зима'!o1299-'[2]$ зима'!n1299-'[2]$ зима'!m1299-'[2]$ зима'!l1299+'[2]$ зима'!q1299+'[2]$ зима'!w1299+'[2]$ зима'!ac1299+'[2]$ зима'!ai1299+'[2]$ зима'!ao1299+'[2]$ зима'!k1299</f>
        <v>0</v>
      </c>
      <c r="I1299" s="191" t="n">
        <f aca="false">'[2]$ зима'!ay1299*1.1</f>
        <v>4466</v>
      </c>
    </row>
    <row r="1300" customFormat="false" ht="15" hidden="true" customHeight="false" outlineLevel="0" collapsed="false">
      <c r="A1300" s="196" t="s">
        <v>1988</v>
      </c>
      <c r="B1300" s="149" t="s">
        <v>601</v>
      </c>
      <c r="C1300" s="148" t="s">
        <v>3482</v>
      </c>
      <c r="D1300" s="148"/>
      <c r="E1300" s="148"/>
      <c r="F1300" s="148"/>
      <c r="G1300" s="193"/>
      <c r="H1300" s="105" t="n">
        <f aca="false">'[2]$ зима'!j1300-'[2]$ зима'!au1300-'[2]$ зима'!at1300-'[2]$ зима'!as1300-'[2]$ зима'!ar1300-'[2]$ зима'!aq1300-'[2]$ зима'!ap1300-'[2]$ зима'!an1300-'[2]$ зима'!am1300-'[2]$ зима'!al1300-'[2]$ зима'!ak1300-'[2]$ зима'!aj1300-'[2]$ зима'!ah1300-'[2]$ зима'!ag1300-'[2]$ зима'!af1300-'[2]$ зима'!ae1300-'[2]$ зима'!ad1300-'[2]$ зима'!ab1300-'[2]$ зима'!aa1300-'[2]$ зима'!z1300-'[2]$ зима'!y1300-'[2]$ зима'!x1300-'[2]$ зима'!v1300-'[2]$ зима'!u1300-'[2]$ зима'!t1300-'[2]$ зима'!s1300-'[2]$ зима'!r1300-'[2]$ зима'!p1300-'[2]$ зима'!o1300-'[2]$ зима'!n1300-'[2]$ зима'!m1300-'[2]$ зима'!l1300+'[2]$ зима'!q1300+'[2]$ зима'!w1300+'[2]$ зима'!ac1300+'[2]$ зима'!ai1300+'[2]$ зима'!ao1300+'[2]$ зима'!k1300</f>
        <v>0</v>
      </c>
      <c r="I1300" s="191" t="n">
        <f aca="false">'[2]$ зима'!ay1300*1.1</f>
        <v>4835.6</v>
      </c>
    </row>
    <row r="1301" customFormat="false" ht="15" hidden="false" customHeight="false" outlineLevel="0" collapsed="false">
      <c r="A1301" s="196" t="s">
        <v>1988</v>
      </c>
      <c r="B1301" s="149" t="s">
        <v>3484</v>
      </c>
      <c r="C1301" s="148" t="s">
        <v>3754</v>
      </c>
      <c r="D1301" s="148"/>
      <c r="E1301" s="192" t="n">
        <v>107</v>
      </c>
      <c r="F1301" s="192" t="s">
        <v>3216</v>
      </c>
      <c r="G1301" s="193" t="s">
        <v>520</v>
      </c>
      <c r="H1301" s="105" t="n">
        <f aca="false">'[2]$ зима'!j1301-'[2]$ зима'!au1301-'[2]$ зима'!at1301-'[2]$ зима'!as1301-'[2]$ зима'!ar1301-'[2]$ зима'!aq1301-'[2]$ зима'!ap1301-'[2]$ зима'!an1301-'[2]$ зима'!am1301-'[2]$ зима'!al1301-'[2]$ зима'!ak1301-'[2]$ зима'!aj1301-'[2]$ зима'!ah1301-'[2]$ зима'!ag1301-'[2]$ зима'!af1301-'[2]$ зима'!ae1301-'[2]$ зима'!ad1301-'[2]$ зима'!ab1301-'[2]$ зима'!aa1301-'[2]$ зима'!z1301-'[2]$ зима'!y1301-'[2]$ зима'!x1301-'[2]$ зима'!v1301-'[2]$ зима'!u1301-'[2]$ зима'!t1301-'[2]$ зима'!s1301-'[2]$ зима'!r1301-'[2]$ зима'!p1301-'[2]$ зима'!o1301-'[2]$ зима'!n1301-'[2]$ зима'!m1301-'[2]$ зима'!l1301+'[2]$ зима'!q1301+'[2]$ зима'!w1301+'[2]$ зима'!ac1301+'[2]$ зима'!ai1301+'[2]$ зима'!ao1301+'[2]$ зима'!k1301</f>
        <v>4</v>
      </c>
      <c r="I1301" s="191" t="n">
        <f aca="false">'[2]$ зима'!ay1301*1.1</f>
        <v>2002</v>
      </c>
      <c r="J1301" s="171" t="n">
        <v>2018</v>
      </c>
    </row>
    <row r="1302" customFormat="false" ht="15" hidden="false" customHeight="false" outlineLevel="0" collapsed="false">
      <c r="A1302" s="232" t="s">
        <v>1988</v>
      </c>
      <c r="B1302" s="157" t="s">
        <v>557</v>
      </c>
      <c r="C1302" s="158"/>
      <c r="D1302" s="158"/>
      <c r="E1302" s="224"/>
      <c r="F1302" s="224"/>
      <c r="G1302" s="218"/>
      <c r="H1302" s="105" t="n">
        <f aca="false">'[2]$ зима'!j1302-'[2]$ зима'!au1302-'[2]$ зима'!at1302-'[2]$ зима'!as1302-'[2]$ зима'!ar1302-'[2]$ зима'!aq1302-'[2]$ зима'!ap1302-'[2]$ зима'!an1302-'[2]$ зима'!am1302-'[2]$ зима'!al1302-'[2]$ зима'!ak1302-'[2]$ зима'!aj1302-'[2]$ зима'!ah1302-'[2]$ зима'!ag1302-'[2]$ зима'!af1302-'[2]$ зима'!ae1302-'[2]$ зима'!ad1302-'[2]$ зима'!ab1302-'[2]$ зима'!aa1302-'[2]$ зима'!z1302-'[2]$ зима'!y1302-'[2]$ зима'!x1302-'[2]$ зима'!v1302-'[2]$ зима'!u1302-'[2]$ зима'!t1302-'[2]$ зима'!s1302-'[2]$ зима'!r1302-'[2]$ зима'!p1302-'[2]$ зима'!o1302-'[2]$ зима'!n1302-'[2]$ зима'!m1302-'[2]$ зима'!l1302+'[2]$ зима'!q1302+'[2]$ зима'!w1302+'[2]$ зима'!ac1302+'[2]$ зима'!ai1302+'[2]$ зима'!ao1302+'[2]$ зима'!k1302</f>
        <v>2</v>
      </c>
      <c r="I1302" s="219" t="n">
        <f aca="false">'[2]$ зима'!ay1302*1.1</f>
        <v>770</v>
      </c>
    </row>
    <row r="1303" customFormat="false" ht="15" hidden="true" customHeight="false" outlineLevel="0" collapsed="false">
      <c r="A1303" s="196" t="s">
        <v>1988</v>
      </c>
      <c r="B1303" s="149" t="s">
        <v>948</v>
      </c>
      <c r="C1303" s="148" t="s">
        <v>3755</v>
      </c>
      <c r="D1303" s="148"/>
      <c r="E1303" s="148"/>
      <c r="F1303" s="148"/>
      <c r="G1303" s="193"/>
      <c r="H1303" s="105" t="n">
        <f aca="false">'[2]$ зима'!j1303-'[2]$ зима'!au1303-'[2]$ зима'!at1303-'[2]$ зима'!as1303-'[2]$ зима'!ar1303-'[2]$ зима'!aq1303-'[2]$ зима'!ap1303-'[2]$ зима'!an1303-'[2]$ зима'!am1303-'[2]$ зима'!al1303-'[2]$ зима'!ak1303-'[2]$ зима'!aj1303-'[2]$ зима'!ah1303-'[2]$ зима'!ag1303-'[2]$ зима'!af1303-'[2]$ зима'!ae1303-'[2]$ зима'!ad1303-'[2]$ зима'!ab1303-'[2]$ зима'!aa1303-'[2]$ зима'!z1303-'[2]$ зима'!y1303-'[2]$ зима'!x1303-'[2]$ зима'!v1303-'[2]$ зима'!u1303-'[2]$ зима'!t1303-'[2]$ зима'!s1303-'[2]$ зима'!r1303-'[2]$ зима'!p1303-'[2]$ зима'!o1303-'[2]$ зима'!n1303-'[2]$ зима'!m1303-'[2]$ зима'!l1303+'[2]$ зима'!q1303+'[2]$ зима'!w1303+'[2]$ зима'!ac1303+'[2]$ зима'!ai1303+'[2]$ зима'!ao1303+'[2]$ зима'!k1303</f>
        <v>0</v>
      </c>
      <c r="I1303" s="191" t="n">
        <f aca="false">'[2]$ зима'!ay1303*1.1</f>
        <v>4004</v>
      </c>
      <c r="J1303" s="171" t="s">
        <v>3756</v>
      </c>
    </row>
    <row r="1304" customFormat="false" ht="15" hidden="true" customHeight="false" outlineLevel="0" collapsed="false">
      <c r="A1304" s="196" t="s">
        <v>1988</v>
      </c>
      <c r="B1304" s="149" t="s">
        <v>606</v>
      </c>
      <c r="C1304" s="148" t="s">
        <v>3757</v>
      </c>
      <c r="D1304" s="148"/>
      <c r="E1304" s="148" t="n">
        <v>107</v>
      </c>
      <c r="F1304" s="148" t="s">
        <v>832</v>
      </c>
      <c r="G1304" s="193"/>
      <c r="H1304" s="105" t="n">
        <f aca="false">'[2]$ зима'!j1304-'[2]$ зима'!au1304-'[2]$ зима'!at1304-'[2]$ зима'!as1304-'[2]$ зима'!ar1304-'[2]$ зима'!aq1304-'[2]$ зима'!ap1304-'[2]$ зима'!an1304-'[2]$ зима'!am1304-'[2]$ зима'!al1304-'[2]$ зима'!ak1304-'[2]$ зима'!aj1304-'[2]$ зима'!ah1304-'[2]$ зима'!ag1304-'[2]$ зима'!af1304-'[2]$ зима'!ae1304-'[2]$ зима'!ad1304-'[2]$ зима'!ab1304-'[2]$ зима'!aa1304-'[2]$ зима'!z1304-'[2]$ зима'!y1304-'[2]$ зима'!x1304-'[2]$ зима'!v1304-'[2]$ зима'!u1304-'[2]$ зима'!t1304-'[2]$ зима'!s1304-'[2]$ зима'!r1304-'[2]$ зима'!p1304-'[2]$ зима'!o1304-'[2]$ зима'!n1304-'[2]$ зима'!m1304-'[2]$ зима'!l1304+'[2]$ зима'!q1304+'[2]$ зима'!w1304+'[2]$ зима'!ac1304+'[2]$ зима'!ai1304+'[2]$ зима'!ao1304+'[2]$ зима'!k1304</f>
        <v>0</v>
      </c>
      <c r="I1304" s="191" t="n">
        <f aca="false">'[2]$ зима'!ay1304*1.1</f>
        <v>2956.8</v>
      </c>
    </row>
    <row r="1305" customFormat="false" ht="15" hidden="true" customHeight="false" outlineLevel="0" collapsed="false">
      <c r="A1305" s="196" t="s">
        <v>1988</v>
      </c>
      <c r="B1305" s="149" t="s">
        <v>606</v>
      </c>
      <c r="C1305" s="148" t="s">
        <v>3758</v>
      </c>
      <c r="D1305" s="148"/>
      <c r="E1305" s="148" t="n">
        <v>103</v>
      </c>
      <c r="F1305" s="148" t="s">
        <v>562</v>
      </c>
      <c r="G1305" s="193"/>
      <c r="H1305" s="105" t="n">
        <f aca="false">'[2]$ зима'!j1305-'[2]$ зима'!au1305-'[2]$ зима'!at1305-'[2]$ зима'!as1305-'[2]$ зима'!ar1305-'[2]$ зима'!aq1305-'[2]$ зима'!ap1305-'[2]$ зима'!an1305-'[2]$ зима'!am1305-'[2]$ зима'!al1305-'[2]$ зима'!ak1305-'[2]$ зима'!aj1305-'[2]$ зима'!ah1305-'[2]$ зима'!ag1305-'[2]$ зима'!af1305-'[2]$ зима'!ae1305-'[2]$ зима'!ad1305-'[2]$ зима'!ab1305-'[2]$ зима'!aa1305-'[2]$ зима'!z1305-'[2]$ зима'!y1305-'[2]$ зима'!x1305-'[2]$ зима'!v1305-'[2]$ зима'!u1305-'[2]$ зима'!t1305-'[2]$ зима'!s1305-'[2]$ зима'!r1305-'[2]$ зима'!p1305-'[2]$ зима'!o1305-'[2]$ зима'!n1305-'[2]$ зима'!m1305-'[2]$ зима'!l1305+'[2]$ зима'!q1305+'[2]$ зима'!w1305+'[2]$ зима'!ac1305+'[2]$ зима'!ai1305+'[2]$ зима'!ao1305+'[2]$ зима'!k1305</f>
        <v>0</v>
      </c>
      <c r="I1305" s="191" t="n">
        <f aca="false">'[2]$ зима'!ay1305*1.1</f>
        <v>3234</v>
      </c>
      <c r="J1305" s="171" t="n">
        <v>2017</v>
      </c>
    </row>
    <row r="1306" customFormat="false" ht="15" hidden="false" customHeight="false" outlineLevel="0" collapsed="false">
      <c r="A1306" s="196" t="s">
        <v>1988</v>
      </c>
      <c r="B1306" s="149" t="s">
        <v>668</v>
      </c>
      <c r="C1306" s="194" t="s">
        <v>3402</v>
      </c>
      <c r="D1306" s="148"/>
      <c r="E1306" s="192"/>
      <c r="F1306" s="192" t="s">
        <v>3286</v>
      </c>
      <c r="G1306" s="193" t="s">
        <v>609</v>
      </c>
      <c r="H1306" s="105" t="n">
        <f aca="false">'[2]$ зима'!j1306-'[2]$ зима'!au1306-'[2]$ зима'!at1306-'[2]$ зима'!as1306-'[2]$ зима'!ar1306-'[2]$ зима'!aq1306-'[2]$ зима'!ap1306-'[2]$ зима'!an1306-'[2]$ зима'!am1306-'[2]$ зима'!al1306-'[2]$ зима'!ak1306-'[2]$ зима'!aj1306-'[2]$ зима'!ah1306-'[2]$ зима'!ag1306-'[2]$ зима'!af1306-'[2]$ зима'!ae1306-'[2]$ зима'!ad1306-'[2]$ зима'!ab1306-'[2]$ зима'!aa1306-'[2]$ зима'!z1306-'[2]$ зима'!y1306-'[2]$ зима'!x1306-'[2]$ зима'!v1306-'[2]$ зима'!u1306-'[2]$ зима'!t1306-'[2]$ зима'!s1306-'[2]$ зима'!r1306-'[2]$ зима'!p1306-'[2]$ зима'!o1306-'[2]$ зима'!n1306-'[2]$ зима'!m1306-'[2]$ зима'!l1306+'[2]$ зима'!q1306+'[2]$ зима'!w1306+'[2]$ зима'!ac1306+'[2]$ зима'!ai1306+'[2]$ зима'!ao1306+'[2]$ зима'!k1306</f>
        <v>4</v>
      </c>
      <c r="I1306" s="191" t="n">
        <f aca="false">'[2]$ зима'!ay1306*1.1</f>
        <v>2710.4</v>
      </c>
      <c r="J1306" s="171" t="n">
        <v>2017</v>
      </c>
    </row>
    <row r="1307" customFormat="false" ht="15" hidden="true" customHeight="false" outlineLevel="0" collapsed="false">
      <c r="A1307" s="196" t="s">
        <v>1988</v>
      </c>
      <c r="B1307" s="149" t="s">
        <v>574</v>
      </c>
      <c r="C1307" s="148" t="s">
        <v>3516</v>
      </c>
      <c r="D1307" s="148"/>
      <c r="E1307" s="148"/>
      <c r="F1307" s="148"/>
      <c r="G1307" s="193" t="s">
        <v>576</v>
      </c>
      <c r="H1307" s="105" t="n">
        <f aca="false">'[2]$ зима'!j1307-'[2]$ зима'!au1307-'[2]$ зима'!at1307-'[2]$ зима'!as1307-'[2]$ зима'!ar1307-'[2]$ зима'!aq1307-'[2]$ зима'!ap1307-'[2]$ зима'!an1307-'[2]$ зима'!am1307-'[2]$ зима'!al1307-'[2]$ зима'!ak1307-'[2]$ зима'!aj1307-'[2]$ зима'!ah1307-'[2]$ зима'!ag1307-'[2]$ зима'!af1307-'[2]$ зима'!ae1307-'[2]$ зима'!ad1307-'[2]$ зима'!ab1307-'[2]$ зима'!aa1307-'[2]$ зима'!z1307-'[2]$ зима'!y1307-'[2]$ зима'!x1307-'[2]$ зима'!v1307-'[2]$ зима'!u1307-'[2]$ зима'!t1307-'[2]$ зима'!s1307-'[2]$ зима'!r1307-'[2]$ зима'!p1307-'[2]$ зима'!o1307-'[2]$ зима'!n1307-'[2]$ зима'!m1307-'[2]$ зима'!l1307+'[2]$ зима'!q1307+'[2]$ зима'!w1307+'[2]$ зима'!ac1307+'[2]$ зима'!ai1307+'[2]$ зима'!ao1307+'[2]$ зима'!k1307</f>
        <v>0</v>
      </c>
      <c r="I1307" s="191" t="n">
        <f aca="false">'[2]$ зима'!ay1307*1.1</f>
        <v>2708.31</v>
      </c>
    </row>
    <row r="1308" customFormat="false" ht="15" hidden="false" customHeight="false" outlineLevel="0" collapsed="false">
      <c r="A1308" s="196" t="s">
        <v>1988</v>
      </c>
      <c r="B1308" s="149" t="s">
        <v>1471</v>
      </c>
      <c r="C1308" s="148" t="s">
        <v>3219</v>
      </c>
      <c r="D1308" s="148"/>
      <c r="E1308" s="192" t="n">
        <v>107</v>
      </c>
      <c r="F1308" s="192" t="s">
        <v>3220</v>
      </c>
      <c r="G1308" s="193"/>
      <c r="H1308" s="105" t="n">
        <f aca="false">'[2]$ зима'!j1308-'[2]$ зима'!au1308-'[2]$ зима'!at1308-'[2]$ зима'!as1308-'[2]$ зима'!ar1308-'[2]$ зима'!aq1308-'[2]$ зима'!ap1308-'[2]$ зима'!an1308-'[2]$ зима'!am1308-'[2]$ зима'!al1308-'[2]$ зима'!ak1308-'[2]$ зима'!aj1308-'[2]$ зима'!ah1308-'[2]$ зима'!ag1308-'[2]$ зима'!af1308-'[2]$ зима'!ae1308-'[2]$ зима'!ad1308-'[2]$ зима'!ab1308-'[2]$ зима'!aa1308-'[2]$ зима'!z1308-'[2]$ зима'!y1308-'[2]$ зима'!x1308-'[2]$ зима'!v1308-'[2]$ зима'!u1308-'[2]$ зима'!t1308-'[2]$ зима'!s1308-'[2]$ зима'!r1308-'[2]$ зима'!p1308-'[2]$ зима'!o1308-'[2]$ зима'!n1308-'[2]$ зима'!m1308-'[2]$ зима'!l1308+'[2]$ зима'!q1308+'[2]$ зима'!w1308+'[2]$ зима'!ac1308+'[2]$ зима'!ai1308+'[2]$ зима'!ao1308+'[2]$ зима'!k1308</f>
        <v>8</v>
      </c>
      <c r="I1308" s="191" t="n">
        <f aca="false">'[2]$ зима'!ay1308*1.1</f>
        <v>2772</v>
      </c>
      <c r="J1308" s="171" t="n">
        <v>2018</v>
      </c>
    </row>
    <row r="1309" customFormat="false" ht="15" hidden="true" customHeight="false" outlineLevel="0" collapsed="false">
      <c r="A1309" s="196" t="s">
        <v>1988</v>
      </c>
      <c r="B1309" s="149" t="s">
        <v>583</v>
      </c>
      <c r="C1309" s="148" t="s">
        <v>3303</v>
      </c>
      <c r="D1309" s="148"/>
      <c r="E1309" s="148"/>
      <c r="F1309" s="148"/>
      <c r="G1309" s="193"/>
      <c r="H1309" s="105" t="n">
        <f aca="false">'[2]$ зима'!j1309-'[2]$ зима'!au1309-'[2]$ зима'!at1309-'[2]$ зима'!as1309-'[2]$ зима'!ar1309-'[2]$ зима'!aq1309-'[2]$ зима'!ap1309-'[2]$ зима'!an1309-'[2]$ зима'!am1309-'[2]$ зима'!al1309-'[2]$ зима'!ak1309-'[2]$ зима'!aj1309-'[2]$ зима'!ah1309-'[2]$ зима'!ag1309-'[2]$ зима'!af1309-'[2]$ зима'!ae1309-'[2]$ зима'!ad1309-'[2]$ зима'!ab1309-'[2]$ зима'!aa1309-'[2]$ зима'!z1309-'[2]$ зима'!y1309-'[2]$ зима'!x1309-'[2]$ зима'!v1309-'[2]$ зима'!u1309-'[2]$ зима'!t1309-'[2]$ зима'!s1309-'[2]$ зима'!r1309-'[2]$ зима'!p1309-'[2]$ зима'!o1309-'[2]$ зима'!n1309-'[2]$ зима'!m1309-'[2]$ зима'!l1309+'[2]$ зима'!q1309+'[2]$ зима'!w1309+'[2]$ зима'!ac1309+'[2]$ зима'!ai1309+'[2]$ зима'!ao1309+'[2]$ зима'!k1309</f>
        <v>0</v>
      </c>
      <c r="I1309" s="191" t="n">
        <f aca="false">'[2]$ зима'!ay1309*1.1</f>
        <v>2525.6</v>
      </c>
    </row>
    <row r="1310" customFormat="false" ht="15" hidden="false" customHeight="false" outlineLevel="0" collapsed="false">
      <c r="A1310" s="196" t="s">
        <v>1988</v>
      </c>
      <c r="B1310" s="149" t="s">
        <v>593</v>
      </c>
      <c r="C1310" s="148" t="s">
        <v>3666</v>
      </c>
      <c r="D1310" s="148"/>
      <c r="E1310" s="192" t="n">
        <v>107</v>
      </c>
      <c r="F1310" s="192" t="s">
        <v>832</v>
      </c>
      <c r="G1310" s="193" t="s">
        <v>663</v>
      </c>
      <c r="H1310" s="105" t="n">
        <f aca="false">'[2]$ зима'!j1310-'[2]$ зима'!au1310-'[2]$ зима'!at1310-'[2]$ зима'!as1310-'[2]$ зима'!ar1310-'[2]$ зима'!aq1310-'[2]$ зима'!ap1310-'[2]$ зима'!an1310-'[2]$ зима'!am1310-'[2]$ зима'!al1310-'[2]$ зима'!ak1310-'[2]$ зима'!aj1310-'[2]$ зима'!ah1310-'[2]$ зима'!ag1310-'[2]$ зима'!af1310-'[2]$ зима'!ae1310-'[2]$ зима'!ad1310-'[2]$ зима'!ab1310-'[2]$ зима'!aa1310-'[2]$ зима'!z1310-'[2]$ зима'!y1310-'[2]$ зима'!x1310-'[2]$ зима'!v1310-'[2]$ зима'!u1310-'[2]$ зима'!t1310-'[2]$ зима'!s1310-'[2]$ зима'!r1310-'[2]$ зима'!p1310-'[2]$ зима'!o1310-'[2]$ зима'!n1310-'[2]$ зима'!m1310-'[2]$ зима'!l1310+'[2]$ зима'!q1310+'[2]$ зима'!w1310+'[2]$ зима'!ac1310+'[2]$ зима'!ai1310+'[2]$ зима'!ao1310+'[2]$ зима'!k1310</f>
        <v>4</v>
      </c>
      <c r="I1310" s="191" t="n">
        <f aca="false">'[2]$ зима'!ay1310*1.1</f>
        <v>4466</v>
      </c>
      <c r="J1310" s="171" t="n">
        <v>2017</v>
      </c>
    </row>
    <row r="1311" customFormat="false" ht="15" hidden="false" customHeight="false" outlineLevel="0" collapsed="false">
      <c r="A1311" s="196" t="s">
        <v>1988</v>
      </c>
      <c r="B1311" s="149" t="s">
        <v>593</v>
      </c>
      <c r="C1311" s="148" t="s">
        <v>3759</v>
      </c>
      <c r="D1311" s="148" t="s">
        <v>3147</v>
      </c>
      <c r="E1311" s="192"/>
      <c r="F1311" s="192"/>
      <c r="G1311" s="193"/>
      <c r="H1311" s="105" t="n">
        <f aca="false">'[2]$ зима'!j1311-'[2]$ зима'!au1311-'[2]$ зима'!at1311-'[2]$ зима'!as1311-'[2]$ зима'!ar1311-'[2]$ зима'!aq1311-'[2]$ зима'!ap1311-'[2]$ зима'!an1311-'[2]$ зима'!am1311-'[2]$ зима'!al1311-'[2]$ зима'!ak1311-'[2]$ зима'!aj1311-'[2]$ зима'!ah1311-'[2]$ зима'!ag1311-'[2]$ зима'!af1311-'[2]$ зима'!ae1311-'[2]$ зима'!ad1311-'[2]$ зима'!ab1311-'[2]$ зима'!aa1311-'[2]$ зима'!z1311-'[2]$ зима'!y1311-'[2]$ зима'!x1311-'[2]$ зима'!v1311-'[2]$ зима'!u1311-'[2]$ зима'!t1311-'[2]$ зима'!s1311-'[2]$ зима'!r1311-'[2]$ зима'!p1311-'[2]$ зима'!o1311-'[2]$ зима'!n1311-'[2]$ зима'!m1311-'[2]$ зима'!l1311+'[2]$ зима'!q1311+'[2]$ зима'!w1311+'[2]$ зима'!ac1311+'[2]$ зима'!ai1311+'[2]$ зима'!ao1311+'[2]$ зима'!k1311</f>
        <v>4</v>
      </c>
      <c r="I1311" s="191" t="n">
        <f aca="false">'[2]$ зима'!ay1311*1.1</f>
        <v>4466</v>
      </c>
    </row>
    <row r="1312" customFormat="false" ht="15" hidden="false" customHeight="false" outlineLevel="0" collapsed="false">
      <c r="A1312" s="196" t="s">
        <v>1988</v>
      </c>
      <c r="B1312" s="149" t="s">
        <v>593</v>
      </c>
      <c r="C1312" s="148" t="s">
        <v>3534</v>
      </c>
      <c r="D1312" s="148"/>
      <c r="E1312" s="192"/>
      <c r="F1312" s="192"/>
      <c r="G1312" s="193" t="s">
        <v>3711</v>
      </c>
      <c r="H1312" s="105" t="n">
        <f aca="false">'[2]$ зима'!j1312-'[2]$ зима'!au1312-'[2]$ зима'!at1312-'[2]$ зима'!as1312-'[2]$ зима'!ar1312-'[2]$ зима'!aq1312-'[2]$ зима'!ap1312-'[2]$ зима'!an1312-'[2]$ зима'!am1312-'[2]$ зима'!al1312-'[2]$ зима'!ak1312-'[2]$ зима'!aj1312-'[2]$ зима'!ah1312-'[2]$ зима'!ag1312-'[2]$ зима'!af1312-'[2]$ зима'!ae1312-'[2]$ зима'!ad1312-'[2]$ зима'!ab1312-'[2]$ зима'!aa1312-'[2]$ зима'!z1312-'[2]$ зима'!y1312-'[2]$ зима'!x1312-'[2]$ зима'!v1312-'[2]$ зима'!u1312-'[2]$ зима'!t1312-'[2]$ зима'!s1312-'[2]$ зима'!r1312-'[2]$ зима'!p1312-'[2]$ зима'!o1312-'[2]$ зима'!n1312-'[2]$ зима'!m1312-'[2]$ зима'!l1312+'[2]$ зима'!q1312+'[2]$ зима'!w1312+'[2]$ зима'!ac1312+'[2]$ зима'!ai1312+'[2]$ зима'!ao1312+'[2]$ зима'!k1312</f>
        <v>2</v>
      </c>
      <c r="I1312" s="191" t="n">
        <f aca="false">'[2]$ зима'!ay1312*1.1</f>
        <v>4835.6</v>
      </c>
      <c r="J1312" s="171" t="n">
        <v>2017</v>
      </c>
    </row>
    <row r="1313" customFormat="false" ht="15" hidden="false" customHeight="false" outlineLevel="0" collapsed="false">
      <c r="A1313" s="196" t="s">
        <v>1988</v>
      </c>
      <c r="B1313" s="149" t="s">
        <v>586</v>
      </c>
      <c r="C1313" s="148" t="s">
        <v>3133</v>
      </c>
      <c r="D1313" s="148"/>
      <c r="E1313" s="192"/>
      <c r="F1313" s="192" t="s">
        <v>3286</v>
      </c>
      <c r="G1313" s="193"/>
      <c r="H1313" s="105" t="n">
        <f aca="false">'[2]$ зима'!j1313-'[2]$ зима'!au1313-'[2]$ зима'!at1313-'[2]$ зима'!as1313-'[2]$ зима'!ar1313-'[2]$ зима'!aq1313-'[2]$ зима'!ap1313-'[2]$ зима'!an1313-'[2]$ зима'!am1313-'[2]$ зима'!al1313-'[2]$ зима'!ak1313-'[2]$ зима'!aj1313-'[2]$ зима'!ah1313-'[2]$ зима'!ag1313-'[2]$ зима'!af1313-'[2]$ зима'!ae1313-'[2]$ зима'!ad1313-'[2]$ зима'!ab1313-'[2]$ зима'!aa1313-'[2]$ зима'!z1313-'[2]$ зима'!y1313-'[2]$ зима'!x1313-'[2]$ зима'!v1313-'[2]$ зима'!u1313-'[2]$ зима'!t1313-'[2]$ зима'!s1313-'[2]$ зима'!r1313-'[2]$ зима'!p1313-'[2]$ зима'!o1313-'[2]$ зима'!n1313-'[2]$ зима'!m1313-'[2]$ зима'!l1313+'[2]$ зима'!q1313+'[2]$ зима'!w1313+'[2]$ зима'!ac1313+'[2]$ зима'!ai1313+'[2]$ зима'!ao1313+'[2]$ зима'!k1313</f>
        <v>4</v>
      </c>
      <c r="I1313" s="191" t="n">
        <f aca="false">'[2]$ зима'!ay1313*1.1</f>
        <v>1940.4</v>
      </c>
    </row>
    <row r="1314" customFormat="false" ht="15" hidden="true" customHeight="false" outlineLevel="0" collapsed="false">
      <c r="A1314" s="196" t="s">
        <v>1988</v>
      </c>
      <c r="B1314" s="149" t="s">
        <v>3142</v>
      </c>
      <c r="C1314" s="148" t="s">
        <v>3382</v>
      </c>
      <c r="D1314" s="148"/>
      <c r="E1314" s="148"/>
      <c r="F1314" s="148"/>
      <c r="G1314" s="193"/>
      <c r="H1314" s="105" t="n">
        <f aca="false">'[2]$ зима'!j1314-'[2]$ зима'!au1314-'[2]$ зима'!at1314-'[2]$ зима'!as1314-'[2]$ зима'!ar1314-'[2]$ зима'!aq1314-'[2]$ зима'!ap1314-'[2]$ зима'!an1314-'[2]$ зима'!am1314-'[2]$ зима'!al1314-'[2]$ зима'!ak1314-'[2]$ зима'!aj1314-'[2]$ зима'!ah1314-'[2]$ зима'!ag1314-'[2]$ зима'!af1314-'[2]$ зима'!ae1314-'[2]$ зима'!ad1314-'[2]$ зима'!ab1314-'[2]$ зима'!aa1314-'[2]$ зима'!z1314-'[2]$ зима'!y1314-'[2]$ зима'!x1314-'[2]$ зима'!v1314-'[2]$ зима'!u1314-'[2]$ зима'!t1314-'[2]$ зима'!s1314-'[2]$ зима'!r1314-'[2]$ зима'!p1314-'[2]$ зима'!o1314-'[2]$ зима'!n1314-'[2]$ зима'!m1314-'[2]$ зима'!l1314+'[2]$ зима'!q1314+'[2]$ зима'!w1314+'[2]$ зима'!ac1314+'[2]$ зима'!ai1314+'[2]$ зима'!ao1314+'[2]$ зима'!k1314</f>
        <v>0</v>
      </c>
      <c r="I1314" s="191" t="n">
        <f aca="false">'[2]$ зима'!ay1314*1.1</f>
        <v>3234</v>
      </c>
    </row>
    <row r="1315" customFormat="false" ht="15" hidden="false" customHeight="false" outlineLevel="0" collapsed="false">
      <c r="A1315" s="196" t="s">
        <v>1988</v>
      </c>
      <c r="B1315" s="149" t="s">
        <v>1149</v>
      </c>
      <c r="C1315" s="148" t="s">
        <v>3760</v>
      </c>
      <c r="D1315" s="148" t="s">
        <v>3147</v>
      </c>
      <c r="E1315" s="192"/>
      <c r="F1315" s="192"/>
      <c r="G1315" s="193"/>
      <c r="H1315" s="105" t="n">
        <f aca="false">'[2]$ зима'!j1315-'[2]$ зима'!au1315-'[2]$ зима'!at1315-'[2]$ зима'!as1315-'[2]$ зима'!ar1315-'[2]$ зима'!aq1315-'[2]$ зима'!ap1315-'[2]$ зима'!an1315-'[2]$ зима'!am1315-'[2]$ зима'!al1315-'[2]$ зима'!ak1315-'[2]$ зима'!aj1315-'[2]$ зима'!ah1315-'[2]$ зима'!ag1315-'[2]$ зима'!af1315-'[2]$ зима'!ae1315-'[2]$ зима'!ad1315-'[2]$ зима'!ab1315-'[2]$ зима'!aa1315-'[2]$ зима'!z1315-'[2]$ зима'!y1315-'[2]$ зима'!x1315-'[2]$ зима'!v1315-'[2]$ зима'!u1315-'[2]$ зима'!t1315-'[2]$ зима'!s1315-'[2]$ зима'!r1315-'[2]$ зима'!p1315-'[2]$ зима'!o1315-'[2]$ зима'!n1315-'[2]$ зима'!m1315-'[2]$ зима'!l1315+'[2]$ зима'!q1315+'[2]$ зима'!w1315+'[2]$ зима'!ac1315+'[2]$ зима'!ai1315+'[2]$ зима'!ao1315+'[2]$ зима'!k1315</f>
        <v>4</v>
      </c>
      <c r="I1315" s="191" t="n">
        <f aca="false">'[2]$ зима'!ay1315*1.1</f>
        <v>4004</v>
      </c>
    </row>
    <row r="1316" customFormat="false" ht="15" hidden="true" customHeight="false" outlineLevel="0" collapsed="false">
      <c r="A1316" s="196" t="s">
        <v>1988</v>
      </c>
      <c r="B1316" s="149" t="s">
        <v>3142</v>
      </c>
      <c r="C1316" s="148" t="s">
        <v>3761</v>
      </c>
      <c r="D1316" s="148"/>
      <c r="E1316" s="148"/>
      <c r="F1316" s="148"/>
      <c r="G1316" s="193" t="s">
        <v>857</v>
      </c>
      <c r="H1316" s="105" t="n">
        <f aca="false">'[2]$ зима'!j1316-'[2]$ зима'!au1316-'[2]$ зима'!at1316-'[2]$ зима'!as1316-'[2]$ зима'!ar1316-'[2]$ зима'!aq1316-'[2]$ зима'!ap1316-'[2]$ зима'!an1316-'[2]$ зима'!am1316-'[2]$ зима'!al1316-'[2]$ зима'!ak1316-'[2]$ зима'!aj1316-'[2]$ зима'!ah1316-'[2]$ зима'!ag1316-'[2]$ зима'!af1316-'[2]$ зима'!ae1316-'[2]$ зима'!ad1316-'[2]$ зима'!ab1316-'[2]$ зима'!aa1316-'[2]$ зима'!z1316-'[2]$ зима'!y1316-'[2]$ зима'!x1316-'[2]$ зима'!v1316-'[2]$ зима'!u1316-'[2]$ зима'!t1316-'[2]$ зима'!s1316-'[2]$ зима'!r1316-'[2]$ зима'!p1316-'[2]$ зима'!o1316-'[2]$ зима'!n1316-'[2]$ зима'!m1316-'[2]$ зима'!l1316+'[2]$ зима'!q1316+'[2]$ зима'!w1316+'[2]$ зима'!ac1316+'[2]$ зима'!ai1316+'[2]$ зима'!ao1316+'[2]$ зима'!k1316</f>
        <v>0</v>
      </c>
      <c r="I1316" s="191" t="n">
        <f aca="false">'[2]$ зима'!ay1316*1.1</f>
        <v>2402.4</v>
      </c>
    </row>
    <row r="1317" customFormat="false" ht="15" hidden="true" customHeight="false" outlineLevel="0" collapsed="false">
      <c r="A1317" s="196" t="s">
        <v>1988</v>
      </c>
      <c r="B1317" s="149" t="s">
        <v>677</v>
      </c>
      <c r="C1317" s="148" t="s">
        <v>3762</v>
      </c>
      <c r="D1317" s="148"/>
      <c r="E1317" s="148"/>
      <c r="F1317" s="148"/>
      <c r="G1317" s="193"/>
      <c r="H1317" s="105" t="n">
        <f aca="false">'[2]$ зима'!j1317-'[2]$ зима'!au1317-'[2]$ зима'!at1317-'[2]$ зима'!as1317-'[2]$ зима'!ar1317-'[2]$ зима'!aq1317-'[2]$ зима'!ap1317-'[2]$ зима'!an1317-'[2]$ зима'!am1317-'[2]$ зима'!al1317-'[2]$ зима'!ak1317-'[2]$ зима'!aj1317-'[2]$ зима'!ah1317-'[2]$ зима'!ag1317-'[2]$ зима'!af1317-'[2]$ зима'!ae1317-'[2]$ зима'!ad1317-'[2]$ зима'!ab1317-'[2]$ зима'!aa1317-'[2]$ зима'!z1317-'[2]$ зима'!y1317-'[2]$ зима'!x1317-'[2]$ зима'!v1317-'[2]$ зима'!u1317-'[2]$ зима'!t1317-'[2]$ зима'!s1317-'[2]$ зима'!r1317-'[2]$ зима'!p1317-'[2]$ зима'!o1317-'[2]$ зима'!n1317-'[2]$ зима'!m1317-'[2]$ зима'!l1317+'[2]$ зима'!q1317+'[2]$ зима'!w1317+'[2]$ зима'!ac1317+'[2]$ зима'!ai1317+'[2]$ зима'!ao1317+'[2]$ зима'!k1317</f>
        <v>0</v>
      </c>
      <c r="I1317" s="191" t="n">
        <f aca="false">'[2]$ зима'!ay1317*1.1</f>
        <v>2310</v>
      </c>
    </row>
    <row r="1318" customFormat="false" ht="15" hidden="true" customHeight="false" outlineLevel="0" collapsed="false">
      <c r="A1318" s="188" t="s">
        <v>1988</v>
      </c>
      <c r="B1318" s="149" t="s">
        <v>3500</v>
      </c>
      <c r="C1318" s="148" t="s">
        <v>3763</v>
      </c>
      <c r="D1318" s="148"/>
      <c r="E1318" s="148"/>
      <c r="F1318" s="148"/>
      <c r="G1318" s="193"/>
      <c r="H1318" s="105" t="n">
        <f aca="false">'[2]$ зима'!j1318-'[2]$ зима'!au1318-'[2]$ зима'!at1318-'[2]$ зима'!as1318-'[2]$ зима'!ar1318-'[2]$ зима'!aq1318-'[2]$ зима'!ap1318-'[2]$ зима'!an1318-'[2]$ зима'!am1318-'[2]$ зима'!al1318-'[2]$ зима'!ak1318-'[2]$ зима'!aj1318-'[2]$ зима'!ah1318-'[2]$ зима'!ag1318-'[2]$ зима'!af1318-'[2]$ зима'!ae1318-'[2]$ зима'!ad1318-'[2]$ зима'!ab1318-'[2]$ зима'!aa1318-'[2]$ зима'!z1318-'[2]$ зима'!y1318-'[2]$ зима'!x1318-'[2]$ зима'!v1318-'[2]$ зима'!u1318-'[2]$ зима'!t1318-'[2]$ зима'!s1318-'[2]$ зима'!r1318-'[2]$ зима'!p1318-'[2]$ зима'!o1318-'[2]$ зима'!n1318-'[2]$ зима'!m1318-'[2]$ зима'!l1318+'[2]$ зима'!q1318+'[2]$ зима'!w1318+'[2]$ зима'!ac1318+'[2]$ зима'!ai1318+'[2]$ зима'!ao1318+'[2]$ зима'!k1318</f>
        <v>0</v>
      </c>
      <c r="I1318" s="191" t="n">
        <f aca="false">'[2]$ зима'!ay1318*1.1</f>
        <v>2002</v>
      </c>
    </row>
    <row r="1319" customFormat="false" ht="15" hidden="false" customHeight="false" outlineLevel="0" collapsed="false">
      <c r="A1319" s="188" t="s">
        <v>1988</v>
      </c>
      <c r="B1319" s="149" t="s">
        <v>564</v>
      </c>
      <c r="C1319" s="148" t="s">
        <v>3764</v>
      </c>
      <c r="D1319" s="148"/>
      <c r="E1319" s="192" t="n">
        <v>107</v>
      </c>
      <c r="F1319" s="192" t="s">
        <v>562</v>
      </c>
      <c r="G1319" s="193"/>
      <c r="H1319" s="105" t="n">
        <f aca="false">'[2]$ зима'!j1319-'[2]$ зима'!au1319-'[2]$ зима'!at1319-'[2]$ зима'!as1319-'[2]$ зима'!ar1319-'[2]$ зима'!aq1319-'[2]$ зима'!ap1319-'[2]$ зима'!an1319-'[2]$ зима'!am1319-'[2]$ зима'!al1319-'[2]$ зима'!ak1319-'[2]$ зима'!aj1319-'[2]$ зима'!ah1319-'[2]$ зима'!ag1319-'[2]$ зима'!af1319-'[2]$ зима'!ae1319-'[2]$ зима'!ad1319-'[2]$ зима'!ab1319-'[2]$ зима'!aa1319-'[2]$ зима'!z1319-'[2]$ зима'!y1319-'[2]$ зима'!x1319-'[2]$ зима'!v1319-'[2]$ зима'!u1319-'[2]$ зима'!t1319-'[2]$ зима'!s1319-'[2]$ зима'!r1319-'[2]$ зима'!p1319-'[2]$ зима'!o1319-'[2]$ зима'!n1319-'[2]$ зима'!m1319-'[2]$ зима'!l1319+'[2]$ зима'!q1319+'[2]$ зима'!w1319+'[2]$ зима'!ac1319+'[2]$ зима'!ai1319+'[2]$ зима'!ao1319+'[2]$ зима'!k1319</f>
        <v>4</v>
      </c>
      <c r="I1319" s="191" t="n">
        <f aca="false">'[2]$ зима'!ay1319*1.1</f>
        <v>2156</v>
      </c>
      <c r="J1319" s="171" t="n">
        <v>2017</v>
      </c>
    </row>
    <row r="1320" customFormat="false" ht="15" hidden="false" customHeight="false" outlineLevel="0" collapsed="false">
      <c r="A1320" s="188" t="s">
        <v>1988</v>
      </c>
      <c r="B1320" s="149" t="s">
        <v>589</v>
      </c>
      <c r="C1320" s="148" t="s">
        <v>3765</v>
      </c>
      <c r="D1320" s="148" t="s">
        <v>3354</v>
      </c>
      <c r="E1320" s="192"/>
      <c r="F1320" s="192"/>
      <c r="G1320" s="193" t="s">
        <v>626</v>
      </c>
      <c r="H1320" s="105" t="n">
        <f aca="false">'[2]$ зима'!j1320-'[2]$ зима'!au1320-'[2]$ зима'!at1320-'[2]$ зима'!as1320-'[2]$ зима'!ar1320-'[2]$ зима'!aq1320-'[2]$ зима'!ap1320-'[2]$ зима'!an1320-'[2]$ зима'!am1320-'[2]$ зима'!al1320-'[2]$ зима'!ak1320-'[2]$ зима'!aj1320-'[2]$ зима'!ah1320-'[2]$ зима'!ag1320-'[2]$ зима'!af1320-'[2]$ зима'!ae1320-'[2]$ зима'!ad1320-'[2]$ зима'!ab1320-'[2]$ зима'!aa1320-'[2]$ зима'!z1320-'[2]$ зима'!y1320-'[2]$ зима'!x1320-'[2]$ зима'!v1320-'[2]$ зима'!u1320-'[2]$ зима'!t1320-'[2]$ зима'!s1320-'[2]$ зима'!r1320-'[2]$ зима'!p1320-'[2]$ зима'!o1320-'[2]$ зима'!n1320-'[2]$ зима'!m1320-'[2]$ зима'!l1320+'[2]$ зима'!q1320+'[2]$ зима'!w1320+'[2]$ зима'!ac1320+'[2]$ зима'!ai1320+'[2]$ зима'!ao1320+'[2]$ зима'!k1320</f>
        <v>4</v>
      </c>
      <c r="I1320" s="191" t="n">
        <f aca="false">'[2]$ зима'!ay1320*1.1</f>
        <v>2811.6</v>
      </c>
    </row>
    <row r="1321" customFormat="false" ht="15" hidden="true" customHeight="false" outlineLevel="0" collapsed="false">
      <c r="A1321" s="188" t="s">
        <v>1988</v>
      </c>
      <c r="B1321" s="149" t="s">
        <v>589</v>
      </c>
      <c r="C1321" s="148" t="s">
        <v>3766</v>
      </c>
      <c r="D1321" s="148"/>
      <c r="E1321" s="148"/>
      <c r="F1321" s="148"/>
      <c r="G1321" s="193" t="s">
        <v>626</v>
      </c>
      <c r="H1321" s="105" t="n">
        <f aca="false">'[2]$ зима'!j1321-'[2]$ зима'!au1321-'[2]$ зима'!at1321-'[2]$ зима'!as1321-'[2]$ зима'!ar1321-'[2]$ зима'!aq1321-'[2]$ зима'!ap1321-'[2]$ зима'!an1321-'[2]$ зима'!am1321-'[2]$ зима'!al1321-'[2]$ зима'!ak1321-'[2]$ зима'!aj1321-'[2]$ зима'!ah1321-'[2]$ зима'!ag1321-'[2]$ зима'!af1321-'[2]$ зима'!ae1321-'[2]$ зима'!ad1321-'[2]$ зима'!ab1321-'[2]$ зима'!aa1321-'[2]$ зима'!z1321-'[2]$ зима'!y1321-'[2]$ зима'!x1321-'[2]$ зима'!v1321-'[2]$ зима'!u1321-'[2]$ зима'!t1321-'[2]$ зима'!s1321-'[2]$ зима'!r1321-'[2]$ зима'!p1321-'[2]$ зима'!o1321-'[2]$ зима'!n1321-'[2]$ зима'!m1321-'[2]$ зима'!l1321+'[2]$ зима'!q1321+'[2]$ зима'!w1321+'[2]$ зима'!ac1321+'[2]$ зима'!ai1321+'[2]$ зима'!ao1321+'[2]$ зима'!k1321</f>
        <v>0</v>
      </c>
      <c r="I1321" s="191" t="n">
        <f aca="false">'[2]$ зима'!ay1321*1.1</f>
        <v>3828.99</v>
      </c>
    </row>
    <row r="1322" customFormat="false" ht="15" hidden="false" customHeight="false" outlineLevel="0" collapsed="false">
      <c r="A1322" s="196" t="s">
        <v>1988</v>
      </c>
      <c r="B1322" s="149" t="s">
        <v>589</v>
      </c>
      <c r="C1322" s="148" t="s">
        <v>3209</v>
      </c>
      <c r="D1322" s="148"/>
      <c r="E1322" s="192" t="n">
        <v>107</v>
      </c>
      <c r="F1322" s="192" t="s">
        <v>3207</v>
      </c>
      <c r="G1322" s="193" t="s">
        <v>626</v>
      </c>
      <c r="H1322" s="105" t="n">
        <f aca="false">'[2]$ зима'!j1322-'[2]$ зима'!au1322-'[2]$ зима'!at1322-'[2]$ зима'!as1322-'[2]$ зима'!ar1322-'[2]$ зима'!aq1322-'[2]$ зима'!ap1322-'[2]$ зима'!an1322-'[2]$ зима'!am1322-'[2]$ зима'!al1322-'[2]$ зима'!ak1322-'[2]$ зима'!aj1322-'[2]$ зима'!ah1322-'[2]$ зима'!ag1322-'[2]$ зима'!af1322-'[2]$ зима'!ae1322-'[2]$ зима'!ad1322-'[2]$ зима'!ab1322-'[2]$ зима'!aa1322-'[2]$ зима'!z1322-'[2]$ зима'!y1322-'[2]$ зима'!x1322-'[2]$ зима'!v1322-'[2]$ зима'!u1322-'[2]$ зима'!t1322-'[2]$ зима'!s1322-'[2]$ зима'!r1322-'[2]$ зима'!p1322-'[2]$ зима'!o1322-'[2]$ зима'!n1322-'[2]$ зима'!m1322-'[2]$ зима'!l1322+'[2]$ зима'!q1322+'[2]$ зима'!w1322+'[2]$ зима'!ac1322+'[2]$ зима'!ai1322+'[2]$ зима'!ao1322+'[2]$ зима'!k1322</f>
        <v>8</v>
      </c>
      <c r="I1322" s="191" t="n">
        <f aca="false">'[2]$ зима'!ay1322*1.1</f>
        <v>3936.24</v>
      </c>
      <c r="J1322" s="171" t="n">
        <v>2018</v>
      </c>
    </row>
    <row r="1323" customFormat="false" ht="15" hidden="true" customHeight="false" outlineLevel="0" collapsed="false">
      <c r="A1323" s="228" t="s">
        <v>1988</v>
      </c>
      <c r="B1323" s="148" t="s">
        <v>1028</v>
      </c>
      <c r="C1323" s="148" t="s">
        <v>3767</v>
      </c>
      <c r="D1323" s="148"/>
      <c r="E1323" s="148"/>
      <c r="F1323" s="148"/>
      <c r="G1323" s="193"/>
      <c r="H1323" s="105" t="n">
        <f aca="false">'[2]$ зима'!j1323-'[2]$ зима'!au1323-'[2]$ зима'!at1323-'[2]$ зима'!as1323-'[2]$ зима'!ar1323-'[2]$ зима'!aq1323-'[2]$ зима'!ap1323-'[2]$ зима'!an1323-'[2]$ зима'!am1323-'[2]$ зима'!al1323-'[2]$ зима'!ak1323-'[2]$ зима'!aj1323-'[2]$ зима'!ah1323-'[2]$ зима'!ag1323-'[2]$ зима'!af1323-'[2]$ зима'!ae1323-'[2]$ зима'!ad1323-'[2]$ зима'!ab1323-'[2]$ зима'!aa1323-'[2]$ зима'!z1323-'[2]$ зима'!y1323-'[2]$ зима'!x1323-'[2]$ зима'!v1323-'[2]$ зима'!u1323-'[2]$ зима'!t1323-'[2]$ зима'!s1323-'[2]$ зима'!r1323-'[2]$ зима'!p1323-'[2]$ зима'!o1323-'[2]$ зима'!n1323-'[2]$ зима'!m1323-'[2]$ зима'!l1323+'[2]$ зима'!q1323+'[2]$ зима'!w1323+'[2]$ зима'!ac1323+'[2]$ зима'!ai1323+'[2]$ зима'!ao1323+'[2]$ зима'!k1323</f>
        <v>0</v>
      </c>
      <c r="I1323" s="191" t="n">
        <f aca="false">'[2]$ зима'!ay1323*1.1</f>
        <v>3080</v>
      </c>
    </row>
    <row r="1324" customFormat="false" ht="15" hidden="true" customHeight="false" outlineLevel="0" collapsed="false">
      <c r="A1324" s="228" t="s">
        <v>1988</v>
      </c>
      <c r="B1324" s="148" t="s">
        <v>1028</v>
      </c>
      <c r="C1324" s="148" t="s">
        <v>3768</v>
      </c>
      <c r="D1324" s="148"/>
      <c r="E1324" s="148"/>
      <c r="F1324" s="148"/>
      <c r="G1324" s="193"/>
      <c r="H1324" s="105" t="n">
        <f aca="false">'[2]$ зима'!j1324-'[2]$ зима'!au1324-'[2]$ зима'!at1324-'[2]$ зима'!as1324-'[2]$ зима'!ar1324-'[2]$ зима'!aq1324-'[2]$ зима'!ap1324-'[2]$ зима'!an1324-'[2]$ зима'!am1324-'[2]$ зима'!al1324-'[2]$ зима'!ak1324-'[2]$ зима'!aj1324-'[2]$ зима'!ah1324-'[2]$ зима'!ag1324-'[2]$ зима'!af1324-'[2]$ зима'!ae1324-'[2]$ зима'!ad1324-'[2]$ зима'!ab1324-'[2]$ зима'!aa1324-'[2]$ зима'!z1324-'[2]$ зима'!y1324-'[2]$ зима'!x1324-'[2]$ зима'!v1324-'[2]$ зима'!u1324-'[2]$ зима'!t1324-'[2]$ зима'!s1324-'[2]$ зима'!r1324-'[2]$ зима'!p1324-'[2]$ зима'!o1324-'[2]$ зима'!n1324-'[2]$ зима'!m1324-'[2]$ зима'!l1324+'[2]$ зима'!q1324+'[2]$ зима'!w1324+'[2]$ зима'!ac1324+'[2]$ зима'!ai1324+'[2]$ зима'!ao1324+'[2]$ зима'!k1324</f>
        <v>0</v>
      </c>
      <c r="I1324" s="191" t="n">
        <f aca="false">'[2]$ зима'!ay1324*1.1</f>
        <v>3850</v>
      </c>
    </row>
    <row r="1325" customFormat="false" ht="15" hidden="false" customHeight="false" outlineLevel="0" collapsed="false">
      <c r="A1325" s="228" t="s">
        <v>1988</v>
      </c>
      <c r="B1325" s="148" t="s">
        <v>1028</v>
      </c>
      <c r="C1325" s="148" t="s">
        <v>3329</v>
      </c>
      <c r="D1325" s="148" t="s">
        <v>3147</v>
      </c>
      <c r="E1325" s="192"/>
      <c r="F1325" s="192"/>
      <c r="G1325" s="193"/>
      <c r="H1325" s="105" t="n">
        <f aca="false">'[2]$ зима'!j1325-'[2]$ зима'!au1325-'[2]$ зима'!at1325-'[2]$ зима'!as1325-'[2]$ зима'!ar1325-'[2]$ зима'!aq1325-'[2]$ зима'!ap1325-'[2]$ зима'!an1325-'[2]$ зима'!am1325-'[2]$ зима'!al1325-'[2]$ зима'!ak1325-'[2]$ зима'!aj1325-'[2]$ зима'!ah1325-'[2]$ зима'!ag1325-'[2]$ зима'!af1325-'[2]$ зима'!ae1325-'[2]$ зима'!ad1325-'[2]$ зима'!ab1325-'[2]$ зима'!aa1325-'[2]$ зима'!z1325-'[2]$ зима'!y1325-'[2]$ зима'!x1325-'[2]$ зима'!v1325-'[2]$ зима'!u1325-'[2]$ зима'!t1325-'[2]$ зима'!s1325-'[2]$ зима'!r1325-'[2]$ зима'!p1325-'[2]$ зима'!o1325-'[2]$ зима'!n1325-'[2]$ зима'!m1325-'[2]$ зима'!l1325+'[2]$ зима'!q1325+'[2]$ зима'!w1325+'[2]$ зима'!ac1325+'[2]$ зима'!ai1325+'[2]$ зима'!ao1325+'[2]$ зима'!k1325</f>
        <v>4</v>
      </c>
      <c r="I1325" s="191" t="n">
        <f aca="false">'[2]$ зима'!ay1325*1.1</f>
        <v>3234</v>
      </c>
    </row>
    <row r="1326" customFormat="false" ht="15" hidden="false" customHeight="false" outlineLevel="0" collapsed="false">
      <c r="A1326" s="228" t="s">
        <v>1988</v>
      </c>
      <c r="B1326" s="148" t="s">
        <v>1028</v>
      </c>
      <c r="C1326" s="148" t="s">
        <v>3506</v>
      </c>
      <c r="D1326" s="148" t="s">
        <v>3147</v>
      </c>
      <c r="E1326" s="192"/>
      <c r="F1326" s="192"/>
      <c r="G1326" s="193"/>
      <c r="H1326" s="105" t="n">
        <f aca="false">'[2]$ зима'!j1326-'[2]$ зима'!au1326-'[2]$ зима'!at1326-'[2]$ зима'!as1326-'[2]$ зима'!ar1326-'[2]$ зима'!aq1326-'[2]$ зима'!ap1326-'[2]$ зима'!an1326-'[2]$ зима'!am1326-'[2]$ зима'!al1326-'[2]$ зима'!ak1326-'[2]$ зима'!aj1326-'[2]$ зима'!ah1326-'[2]$ зима'!ag1326-'[2]$ зима'!af1326-'[2]$ зима'!ae1326-'[2]$ зима'!ad1326-'[2]$ зима'!ab1326-'[2]$ зима'!aa1326-'[2]$ зима'!z1326-'[2]$ зима'!y1326-'[2]$ зима'!x1326-'[2]$ зима'!v1326-'[2]$ зима'!u1326-'[2]$ зима'!t1326-'[2]$ зима'!s1326-'[2]$ зима'!r1326-'[2]$ зима'!p1326-'[2]$ зима'!o1326-'[2]$ зима'!n1326-'[2]$ зима'!m1326-'[2]$ зима'!l1326+'[2]$ зима'!q1326+'[2]$ зима'!w1326+'[2]$ зима'!ac1326+'[2]$ зима'!ai1326+'[2]$ зима'!ao1326+'[2]$ зима'!k1326</f>
        <v>4</v>
      </c>
      <c r="I1326" s="191" t="n">
        <f aca="false">'[2]$ зима'!ay1326*1.1</f>
        <v>3234</v>
      </c>
    </row>
    <row r="1327" customFormat="false" ht="15" hidden="true" customHeight="false" outlineLevel="0" collapsed="false">
      <c r="A1327" s="196" t="s">
        <v>2020</v>
      </c>
      <c r="B1327" s="148" t="s">
        <v>601</v>
      </c>
      <c r="C1327" s="148" t="s">
        <v>3482</v>
      </c>
      <c r="D1327" s="148"/>
      <c r="E1327" s="148"/>
      <c r="F1327" s="148"/>
      <c r="G1327" s="193"/>
      <c r="H1327" s="105" t="n">
        <f aca="false">'[2]$ зима'!j1327-'[2]$ зима'!au1327-'[2]$ зима'!at1327-'[2]$ зима'!as1327-'[2]$ зима'!ar1327-'[2]$ зима'!aq1327-'[2]$ зима'!ap1327-'[2]$ зима'!an1327-'[2]$ зима'!am1327-'[2]$ зима'!al1327-'[2]$ зима'!ak1327-'[2]$ зима'!aj1327-'[2]$ зима'!ah1327-'[2]$ зима'!ag1327-'[2]$ зима'!af1327-'[2]$ зима'!ae1327-'[2]$ зима'!ad1327-'[2]$ зима'!ab1327-'[2]$ зима'!aa1327-'[2]$ зима'!z1327-'[2]$ зима'!y1327-'[2]$ зима'!x1327-'[2]$ зима'!v1327-'[2]$ зима'!u1327-'[2]$ зима'!t1327-'[2]$ зима'!s1327-'[2]$ зима'!r1327-'[2]$ зима'!p1327-'[2]$ зима'!o1327-'[2]$ зима'!n1327-'[2]$ зима'!m1327-'[2]$ зима'!l1327+'[2]$ зима'!q1327+'[2]$ зима'!w1327+'[2]$ зима'!ac1327+'[2]$ зима'!ai1327+'[2]$ зима'!ao1327+'[2]$ зима'!k1327</f>
        <v>0</v>
      </c>
      <c r="I1327" s="191" t="n">
        <f aca="false">'[2]$ зима'!ay1327*1.1</f>
        <v>4004</v>
      </c>
    </row>
    <row r="1328" customFormat="false" ht="15" hidden="true" customHeight="false" outlineLevel="0" collapsed="false">
      <c r="A1328" s="196" t="s">
        <v>2020</v>
      </c>
      <c r="B1328" s="149" t="s">
        <v>589</v>
      </c>
      <c r="C1328" s="148" t="s">
        <v>3769</v>
      </c>
      <c r="D1328" s="148"/>
      <c r="E1328" s="148"/>
      <c r="F1328" s="148"/>
      <c r="G1328" s="193" t="s">
        <v>626</v>
      </c>
      <c r="H1328" s="105" t="n">
        <f aca="false">'[2]$ зима'!j1328-'[2]$ зима'!au1328-'[2]$ зима'!at1328-'[2]$ зима'!as1328-'[2]$ зима'!ar1328-'[2]$ зима'!aq1328-'[2]$ зима'!ap1328-'[2]$ зима'!an1328-'[2]$ зима'!am1328-'[2]$ зима'!al1328-'[2]$ зима'!ak1328-'[2]$ зима'!aj1328-'[2]$ зима'!ah1328-'[2]$ зима'!ag1328-'[2]$ зима'!af1328-'[2]$ зима'!ae1328-'[2]$ зима'!ad1328-'[2]$ зима'!ab1328-'[2]$ зима'!aa1328-'[2]$ зима'!z1328-'[2]$ зима'!y1328-'[2]$ зима'!x1328-'[2]$ зима'!v1328-'[2]$ зима'!u1328-'[2]$ зима'!t1328-'[2]$ зима'!s1328-'[2]$ зима'!r1328-'[2]$ зима'!p1328-'[2]$ зима'!o1328-'[2]$ зима'!n1328-'[2]$ зима'!m1328-'[2]$ зима'!l1328+'[2]$ зима'!q1328+'[2]$ зима'!w1328+'[2]$ зима'!ac1328+'[2]$ зима'!ai1328+'[2]$ зима'!ao1328+'[2]$ зима'!k1328</f>
        <v>0</v>
      </c>
      <c r="I1328" s="191" t="n">
        <f aca="false">'[2]$ зима'!ay1328*1.1</f>
        <v>3113</v>
      </c>
      <c r="J1328" s="171" t="n">
        <v>2013</v>
      </c>
    </row>
    <row r="1329" customFormat="false" ht="15" hidden="true" customHeight="false" outlineLevel="0" collapsed="false">
      <c r="A1329" s="196" t="s">
        <v>2023</v>
      </c>
      <c r="B1329" s="149" t="s">
        <v>601</v>
      </c>
      <c r="C1329" s="148" t="s">
        <v>3770</v>
      </c>
      <c r="D1329" s="148"/>
      <c r="E1329" s="148" t="n">
        <v>93</v>
      </c>
      <c r="F1329" s="148" t="s">
        <v>1455</v>
      </c>
      <c r="G1329" s="193"/>
      <c r="H1329" s="105" t="n">
        <f aca="false">'[2]$ зима'!j1329-'[2]$ зима'!au1329-'[2]$ зима'!at1329-'[2]$ зима'!as1329-'[2]$ зима'!ar1329-'[2]$ зима'!aq1329-'[2]$ зима'!ap1329-'[2]$ зима'!an1329-'[2]$ зима'!am1329-'[2]$ зима'!al1329-'[2]$ зима'!ak1329-'[2]$ зима'!aj1329-'[2]$ зима'!ah1329-'[2]$ зима'!ag1329-'[2]$ зима'!af1329-'[2]$ зима'!ae1329-'[2]$ зима'!ad1329-'[2]$ зима'!ab1329-'[2]$ зима'!aa1329-'[2]$ зима'!z1329-'[2]$ зима'!y1329-'[2]$ зима'!x1329-'[2]$ зима'!v1329-'[2]$ зима'!u1329-'[2]$ зима'!t1329-'[2]$ зима'!s1329-'[2]$ зима'!r1329-'[2]$ зима'!p1329-'[2]$ зима'!o1329-'[2]$ зима'!n1329-'[2]$ зима'!m1329-'[2]$ зима'!l1329+'[2]$ зима'!q1329+'[2]$ зима'!w1329+'[2]$ зима'!ac1329+'[2]$ зима'!ai1329+'[2]$ зима'!ao1329+'[2]$ зима'!k1329</f>
        <v>0</v>
      </c>
      <c r="I1329" s="191" t="n">
        <f aca="false">'[2]$ зима'!ay1329*1.1</f>
        <v>4466</v>
      </c>
    </row>
    <row r="1330" customFormat="false" ht="15" hidden="false" customHeight="false" outlineLevel="0" collapsed="false">
      <c r="A1330" s="196" t="s">
        <v>2023</v>
      </c>
      <c r="B1330" s="149" t="s">
        <v>707</v>
      </c>
      <c r="C1330" s="148" t="s">
        <v>3771</v>
      </c>
      <c r="D1330" s="148"/>
      <c r="E1330" s="192"/>
      <c r="F1330" s="192"/>
      <c r="G1330" s="193"/>
      <c r="H1330" s="105" t="n">
        <f aca="false">'[2]$ зима'!j1330-'[2]$ зима'!au1330-'[2]$ зима'!at1330-'[2]$ зима'!as1330-'[2]$ зима'!ar1330-'[2]$ зима'!aq1330-'[2]$ зима'!ap1330-'[2]$ зима'!an1330-'[2]$ зима'!am1330-'[2]$ зима'!al1330-'[2]$ зима'!ak1330-'[2]$ зима'!aj1330-'[2]$ зима'!ah1330-'[2]$ зима'!ag1330-'[2]$ зима'!af1330-'[2]$ зима'!ae1330-'[2]$ зима'!ad1330-'[2]$ зима'!ab1330-'[2]$ зима'!aa1330-'[2]$ зима'!z1330-'[2]$ зима'!y1330-'[2]$ зима'!x1330-'[2]$ зима'!v1330-'[2]$ зима'!u1330-'[2]$ зима'!t1330-'[2]$ зима'!s1330-'[2]$ зима'!r1330-'[2]$ зима'!p1330-'[2]$ зима'!o1330-'[2]$ зима'!n1330-'[2]$ зима'!m1330-'[2]$ зима'!l1330+'[2]$ зима'!q1330+'[2]$ зима'!w1330+'[2]$ зима'!ac1330+'[2]$ зима'!ai1330+'[2]$ зима'!ao1330+'[2]$ зима'!k1330</f>
        <v>1</v>
      </c>
      <c r="I1330" s="191" t="n">
        <f aca="false">'[2]$ зима'!ay1330*1.1</f>
        <v>1232</v>
      </c>
    </row>
    <row r="1331" customFormat="false" ht="15" hidden="false" customHeight="false" outlineLevel="0" collapsed="false">
      <c r="A1331" s="196" t="s">
        <v>2023</v>
      </c>
      <c r="B1331" s="149" t="s">
        <v>606</v>
      </c>
      <c r="C1331" s="148" t="s">
        <v>3125</v>
      </c>
      <c r="D1331" s="148"/>
      <c r="E1331" s="192"/>
      <c r="F1331" s="192"/>
      <c r="G1331" s="193"/>
      <c r="H1331" s="105" t="n">
        <f aca="false">'[2]$ зима'!j1331-'[2]$ зима'!au1331-'[2]$ зима'!at1331-'[2]$ зима'!as1331-'[2]$ зима'!ar1331-'[2]$ зима'!aq1331-'[2]$ зима'!ap1331-'[2]$ зима'!an1331-'[2]$ зима'!am1331-'[2]$ зима'!al1331-'[2]$ зима'!ak1331-'[2]$ зима'!aj1331-'[2]$ зима'!ah1331-'[2]$ зима'!ag1331-'[2]$ зима'!af1331-'[2]$ зима'!ae1331-'[2]$ зима'!ad1331-'[2]$ зима'!ab1331-'[2]$ зима'!aa1331-'[2]$ зима'!z1331-'[2]$ зима'!y1331-'[2]$ зима'!x1331-'[2]$ зима'!v1331-'[2]$ зима'!u1331-'[2]$ зима'!t1331-'[2]$ зима'!s1331-'[2]$ зима'!r1331-'[2]$ зима'!p1331-'[2]$ зима'!o1331-'[2]$ зима'!n1331-'[2]$ зима'!m1331-'[2]$ зима'!l1331+'[2]$ зима'!q1331+'[2]$ зима'!w1331+'[2]$ зима'!ac1331+'[2]$ зима'!ai1331+'[2]$ зима'!ao1331+'[2]$ зима'!k1331</f>
        <v>6</v>
      </c>
      <c r="I1331" s="191" t="n">
        <f aca="false">'[2]$ зима'!ay1331*1.1</f>
        <v>3942.4</v>
      </c>
    </row>
    <row r="1332" customFormat="false" ht="15" hidden="false" customHeight="false" outlineLevel="0" collapsed="false">
      <c r="A1332" s="196" t="s">
        <v>2023</v>
      </c>
      <c r="B1332" s="149" t="s">
        <v>606</v>
      </c>
      <c r="C1332" s="148" t="s">
        <v>3156</v>
      </c>
      <c r="D1332" s="148"/>
      <c r="E1332" s="192" t="n">
        <v>97</v>
      </c>
      <c r="F1332" s="192" t="s">
        <v>3216</v>
      </c>
      <c r="G1332" s="193"/>
      <c r="H1332" s="105" t="n">
        <f aca="false">'[2]$ зима'!j1332-'[2]$ зима'!au1332-'[2]$ зима'!at1332-'[2]$ зима'!as1332-'[2]$ зима'!ar1332-'[2]$ зима'!aq1332-'[2]$ зима'!ap1332-'[2]$ зима'!an1332-'[2]$ зима'!am1332-'[2]$ зима'!al1332-'[2]$ зима'!ak1332-'[2]$ зима'!aj1332-'[2]$ зима'!ah1332-'[2]$ зима'!ag1332-'[2]$ зима'!af1332-'[2]$ зима'!ae1332-'[2]$ зима'!ad1332-'[2]$ зима'!ab1332-'[2]$ зима'!aa1332-'[2]$ зима'!z1332-'[2]$ зима'!y1332-'[2]$ зима'!x1332-'[2]$ зима'!v1332-'[2]$ зима'!u1332-'[2]$ зима'!t1332-'[2]$ зима'!s1332-'[2]$ зима'!r1332-'[2]$ зима'!p1332-'[2]$ зима'!o1332-'[2]$ зима'!n1332-'[2]$ зима'!m1332-'[2]$ зима'!l1332+'[2]$ зима'!q1332+'[2]$ зима'!w1332+'[2]$ зима'!ac1332+'[2]$ зима'!ai1332+'[2]$ зима'!ao1332+'[2]$ зима'!k1332</f>
        <v>4</v>
      </c>
      <c r="I1332" s="191" t="n">
        <f aca="false">'[2]$ зима'!ay1332*1.1</f>
        <v>3942.4</v>
      </c>
    </row>
    <row r="1333" customFormat="false" ht="15" hidden="true" customHeight="false" outlineLevel="0" collapsed="false">
      <c r="A1333" s="196" t="s">
        <v>2023</v>
      </c>
      <c r="B1333" s="149" t="s">
        <v>583</v>
      </c>
      <c r="C1333" s="148" t="s">
        <v>3772</v>
      </c>
      <c r="D1333" s="148"/>
      <c r="E1333" s="148" t="n">
        <v>97</v>
      </c>
      <c r="F1333" s="148" t="s">
        <v>970</v>
      </c>
      <c r="G1333" s="193"/>
      <c r="H1333" s="105" t="n">
        <f aca="false">'[2]$ зима'!j1333-'[2]$ зима'!au1333-'[2]$ зима'!at1333-'[2]$ зима'!as1333-'[2]$ зима'!ar1333-'[2]$ зима'!aq1333-'[2]$ зима'!ap1333-'[2]$ зима'!an1333-'[2]$ зима'!am1333-'[2]$ зима'!al1333-'[2]$ зима'!ak1333-'[2]$ зима'!aj1333-'[2]$ зима'!ah1333-'[2]$ зима'!ag1333-'[2]$ зима'!af1333-'[2]$ зима'!ae1333-'[2]$ зима'!ad1333-'[2]$ зима'!ab1333-'[2]$ зима'!aa1333-'[2]$ зима'!z1333-'[2]$ зима'!y1333-'[2]$ зима'!x1333-'[2]$ зима'!v1333-'[2]$ зима'!u1333-'[2]$ зима'!t1333-'[2]$ зима'!s1333-'[2]$ зима'!r1333-'[2]$ зима'!p1333-'[2]$ зима'!o1333-'[2]$ зима'!n1333-'[2]$ зима'!m1333-'[2]$ зима'!l1333+'[2]$ зима'!q1333+'[2]$ зима'!w1333+'[2]$ зима'!ac1333+'[2]$ зима'!ai1333+'[2]$ зима'!ao1333+'[2]$ зима'!k1333</f>
        <v>0</v>
      </c>
      <c r="I1333" s="191" t="n">
        <f aca="false">'[2]$ зима'!ay1333*1.1</f>
        <v>2464</v>
      </c>
    </row>
    <row r="1334" customFormat="false" ht="15" hidden="true" customHeight="false" outlineLevel="0" collapsed="false">
      <c r="A1334" s="196" t="s">
        <v>2023</v>
      </c>
      <c r="B1334" s="149" t="s">
        <v>1149</v>
      </c>
      <c r="C1334" s="148" t="s">
        <v>3170</v>
      </c>
      <c r="D1334" s="148"/>
      <c r="E1334" s="148"/>
      <c r="F1334" s="148"/>
      <c r="G1334" s="193"/>
      <c r="H1334" s="105" t="n">
        <f aca="false">'[2]$ зима'!j1334-'[2]$ зима'!au1334-'[2]$ зима'!at1334-'[2]$ зима'!as1334-'[2]$ зима'!ar1334-'[2]$ зима'!aq1334-'[2]$ зима'!ap1334-'[2]$ зима'!an1334-'[2]$ зима'!am1334-'[2]$ зима'!al1334-'[2]$ зима'!ak1334-'[2]$ зима'!aj1334-'[2]$ зима'!ah1334-'[2]$ зима'!ag1334-'[2]$ зима'!af1334-'[2]$ зима'!ae1334-'[2]$ зима'!ad1334-'[2]$ зима'!ab1334-'[2]$ зима'!aa1334-'[2]$ зима'!z1334-'[2]$ зима'!y1334-'[2]$ зима'!x1334-'[2]$ зима'!v1334-'[2]$ зима'!u1334-'[2]$ зима'!t1334-'[2]$ зима'!s1334-'[2]$ зима'!r1334-'[2]$ зима'!p1334-'[2]$ зима'!o1334-'[2]$ зима'!n1334-'[2]$ зима'!m1334-'[2]$ зима'!l1334+'[2]$ зима'!q1334+'[2]$ зима'!w1334+'[2]$ зима'!ac1334+'[2]$ зима'!ai1334+'[2]$ зима'!ao1334+'[2]$ зима'!k1334</f>
        <v>0</v>
      </c>
      <c r="I1334" s="191" t="n">
        <f aca="false">'[2]$ зима'!ay1334*1.1</f>
        <v>2772</v>
      </c>
    </row>
    <row r="1335" customFormat="false" ht="15" hidden="true" customHeight="false" outlineLevel="0" collapsed="false">
      <c r="A1335" s="196" t="s">
        <v>2023</v>
      </c>
      <c r="B1335" s="149" t="s">
        <v>677</v>
      </c>
      <c r="C1335" s="194" t="s">
        <v>3135</v>
      </c>
      <c r="D1335" s="148"/>
      <c r="E1335" s="148"/>
      <c r="F1335" s="148"/>
      <c r="G1335" s="193"/>
      <c r="H1335" s="105" t="n">
        <f aca="false">'[2]$ зима'!j1335-'[2]$ зима'!au1335-'[2]$ зима'!at1335-'[2]$ зима'!as1335-'[2]$ зима'!ar1335-'[2]$ зима'!aq1335-'[2]$ зима'!ap1335-'[2]$ зима'!an1335-'[2]$ зима'!am1335-'[2]$ зима'!al1335-'[2]$ зима'!ak1335-'[2]$ зима'!aj1335-'[2]$ зима'!ah1335-'[2]$ зима'!ag1335-'[2]$ зима'!af1335-'[2]$ зима'!ae1335-'[2]$ зима'!ad1335-'[2]$ зима'!ab1335-'[2]$ зима'!aa1335-'[2]$ зима'!z1335-'[2]$ зима'!y1335-'[2]$ зима'!x1335-'[2]$ зима'!v1335-'[2]$ зима'!u1335-'[2]$ зима'!t1335-'[2]$ зима'!s1335-'[2]$ зима'!r1335-'[2]$ зима'!p1335-'[2]$ зима'!o1335-'[2]$ зима'!n1335-'[2]$ зима'!m1335-'[2]$ зима'!l1335+'[2]$ зима'!q1335+'[2]$ зима'!w1335+'[2]$ зима'!ac1335+'[2]$ зима'!ai1335+'[2]$ зима'!ao1335+'[2]$ зима'!k1335</f>
        <v>0</v>
      </c>
      <c r="I1335" s="191" t="n">
        <f aca="false">'[2]$ зима'!ay1335*1.1</f>
        <v>2156</v>
      </c>
    </row>
    <row r="1336" customFormat="false" ht="15" hidden="true" customHeight="false" outlineLevel="0" collapsed="false">
      <c r="A1336" s="196" t="s">
        <v>2023</v>
      </c>
      <c r="B1336" s="149" t="s">
        <v>3736</v>
      </c>
      <c r="C1336" s="148" t="s">
        <v>3773</v>
      </c>
      <c r="D1336" s="148"/>
      <c r="E1336" s="148"/>
      <c r="F1336" s="148"/>
      <c r="G1336" s="193"/>
      <c r="H1336" s="105" t="n">
        <f aca="false">'[2]$ зима'!j1336-'[2]$ зима'!au1336-'[2]$ зима'!at1336-'[2]$ зима'!as1336-'[2]$ зима'!ar1336-'[2]$ зима'!aq1336-'[2]$ зима'!ap1336-'[2]$ зима'!an1336-'[2]$ зима'!am1336-'[2]$ зима'!al1336-'[2]$ зима'!ak1336-'[2]$ зима'!aj1336-'[2]$ зима'!ah1336-'[2]$ зима'!ag1336-'[2]$ зима'!af1336-'[2]$ зима'!ae1336-'[2]$ зима'!ad1336-'[2]$ зима'!ab1336-'[2]$ зима'!aa1336-'[2]$ зима'!z1336-'[2]$ зима'!y1336-'[2]$ зима'!x1336-'[2]$ зима'!v1336-'[2]$ зима'!u1336-'[2]$ зима'!t1336-'[2]$ зима'!s1336-'[2]$ зима'!r1336-'[2]$ зима'!p1336-'[2]$ зима'!o1336-'[2]$ зима'!n1336-'[2]$ зима'!m1336-'[2]$ зима'!l1336+'[2]$ зима'!q1336+'[2]$ зима'!w1336+'[2]$ зима'!ac1336+'[2]$ зима'!ai1336+'[2]$ зима'!ao1336+'[2]$ зима'!k1336</f>
        <v>0</v>
      </c>
      <c r="I1336" s="191" t="n">
        <f aca="false">'[2]$ зима'!ay1336*1.1</f>
        <v>2032.8</v>
      </c>
      <c r="J1336" s="171" t="n">
        <v>2017</v>
      </c>
    </row>
    <row r="1337" customFormat="false" ht="15" hidden="true" customHeight="false" outlineLevel="0" collapsed="false">
      <c r="A1337" s="196" t="s">
        <v>2023</v>
      </c>
      <c r="B1337" s="149" t="s">
        <v>589</v>
      </c>
      <c r="C1337" s="148" t="s">
        <v>3774</v>
      </c>
      <c r="D1337" s="148"/>
      <c r="E1337" s="148"/>
      <c r="F1337" s="148"/>
      <c r="G1337" s="193" t="s">
        <v>626</v>
      </c>
      <c r="H1337" s="105" t="n">
        <f aca="false">'[2]$ зима'!j1337-'[2]$ зима'!au1337-'[2]$ зима'!at1337-'[2]$ зима'!as1337-'[2]$ зима'!ar1337-'[2]$ зима'!aq1337-'[2]$ зима'!ap1337-'[2]$ зима'!an1337-'[2]$ зима'!am1337-'[2]$ зима'!al1337-'[2]$ зима'!ak1337-'[2]$ зима'!aj1337-'[2]$ зима'!ah1337-'[2]$ зима'!ag1337-'[2]$ зима'!af1337-'[2]$ зима'!ae1337-'[2]$ зима'!ad1337-'[2]$ зима'!ab1337-'[2]$ зима'!aa1337-'[2]$ зима'!z1337-'[2]$ зима'!y1337-'[2]$ зима'!x1337-'[2]$ зима'!v1337-'[2]$ зима'!u1337-'[2]$ зима'!t1337-'[2]$ зима'!s1337-'[2]$ зима'!r1337-'[2]$ зима'!p1337-'[2]$ зима'!o1337-'[2]$ зима'!n1337-'[2]$ зима'!m1337-'[2]$ зима'!l1337+'[2]$ зима'!q1337+'[2]$ зима'!w1337+'[2]$ зима'!ac1337+'[2]$ зима'!ai1337+'[2]$ зима'!ao1337+'[2]$ зима'!k1337</f>
        <v>0</v>
      </c>
      <c r="I1337" s="191" t="n">
        <f aca="false">'[2]$ зима'!ay1337*1.1</f>
        <v>4358.2</v>
      </c>
    </row>
    <row r="1338" customFormat="false" ht="15" hidden="true" customHeight="false" outlineLevel="0" collapsed="false">
      <c r="A1338" s="196" t="s">
        <v>2023</v>
      </c>
      <c r="B1338" s="149" t="s">
        <v>1028</v>
      </c>
      <c r="C1338" s="148" t="s">
        <v>3775</v>
      </c>
      <c r="D1338" s="148"/>
      <c r="E1338" s="148"/>
      <c r="F1338" s="148"/>
      <c r="G1338" s="193"/>
      <c r="H1338" s="105" t="n">
        <f aca="false">'[2]$ зима'!j1338-'[2]$ зима'!au1338-'[2]$ зима'!at1338-'[2]$ зима'!as1338-'[2]$ зима'!ar1338-'[2]$ зима'!aq1338-'[2]$ зима'!ap1338-'[2]$ зима'!an1338-'[2]$ зима'!am1338-'[2]$ зима'!al1338-'[2]$ зима'!ak1338-'[2]$ зима'!aj1338-'[2]$ зима'!ah1338-'[2]$ зима'!ag1338-'[2]$ зима'!af1338-'[2]$ зима'!ae1338-'[2]$ зима'!ad1338-'[2]$ зима'!ab1338-'[2]$ зима'!aa1338-'[2]$ зима'!z1338-'[2]$ зима'!y1338-'[2]$ зима'!x1338-'[2]$ зима'!v1338-'[2]$ зима'!u1338-'[2]$ зима'!t1338-'[2]$ зима'!s1338-'[2]$ зима'!r1338-'[2]$ зима'!p1338-'[2]$ зима'!o1338-'[2]$ зима'!n1338-'[2]$ зима'!m1338-'[2]$ зима'!l1338+'[2]$ зима'!q1338+'[2]$ зима'!w1338+'[2]$ зима'!ac1338+'[2]$ зима'!ai1338+'[2]$ зима'!ao1338+'[2]$ зима'!k1338</f>
        <v>0</v>
      </c>
      <c r="I1338" s="191" t="n">
        <f aca="false">'[2]$ зима'!ay1338*1.1</f>
        <v>3696</v>
      </c>
    </row>
    <row r="1339" customFormat="false" ht="15" hidden="true" customHeight="false" outlineLevel="0" collapsed="false">
      <c r="A1339" s="196" t="s">
        <v>2037</v>
      </c>
      <c r="B1339" s="149" t="s">
        <v>601</v>
      </c>
      <c r="C1339" s="148" t="s">
        <v>3150</v>
      </c>
      <c r="D1339" s="148"/>
      <c r="E1339" s="148"/>
      <c r="F1339" s="148"/>
      <c r="G1339" s="193"/>
      <c r="H1339" s="105" t="n">
        <f aca="false">'[2]$ зима'!j1339-'[2]$ зима'!au1339-'[2]$ зима'!at1339-'[2]$ зима'!as1339-'[2]$ зима'!ar1339-'[2]$ зима'!aq1339-'[2]$ зима'!ap1339-'[2]$ зима'!an1339-'[2]$ зима'!am1339-'[2]$ зима'!al1339-'[2]$ зима'!ak1339-'[2]$ зима'!aj1339-'[2]$ зима'!ah1339-'[2]$ зима'!ag1339-'[2]$ зима'!af1339-'[2]$ зима'!ae1339-'[2]$ зима'!ad1339-'[2]$ зима'!ab1339-'[2]$ зима'!aa1339-'[2]$ зима'!z1339-'[2]$ зима'!y1339-'[2]$ зима'!x1339-'[2]$ зима'!v1339-'[2]$ зима'!u1339-'[2]$ зима'!t1339-'[2]$ зима'!s1339-'[2]$ зима'!r1339-'[2]$ зима'!p1339-'[2]$ зима'!o1339-'[2]$ зима'!n1339-'[2]$ зима'!m1339-'[2]$ зима'!l1339+'[2]$ зима'!q1339+'[2]$ зима'!w1339+'[2]$ зима'!ac1339+'[2]$ зима'!ai1339+'[2]$ зима'!ao1339+'[2]$ зима'!k1339</f>
        <v>0</v>
      </c>
      <c r="I1339" s="191" t="n">
        <f aca="false">'[2]$ зима'!ay1339*1.1</f>
        <v>5390</v>
      </c>
    </row>
    <row r="1340" customFormat="false" ht="15" hidden="true" customHeight="false" outlineLevel="0" collapsed="false">
      <c r="A1340" s="196" t="s">
        <v>2037</v>
      </c>
      <c r="B1340" s="149" t="s">
        <v>744</v>
      </c>
      <c r="C1340" s="148" t="s">
        <v>3651</v>
      </c>
      <c r="D1340" s="148"/>
      <c r="E1340" s="148"/>
      <c r="F1340" s="148"/>
      <c r="G1340" s="193" t="s">
        <v>2153</v>
      </c>
      <c r="H1340" s="105" t="n">
        <f aca="false">'[2]$ зима'!j1340-'[2]$ зима'!au1340-'[2]$ зима'!at1340-'[2]$ зима'!as1340-'[2]$ зима'!ar1340-'[2]$ зима'!aq1340-'[2]$ зима'!ap1340-'[2]$ зима'!an1340-'[2]$ зима'!am1340-'[2]$ зима'!al1340-'[2]$ зима'!ak1340-'[2]$ зима'!aj1340-'[2]$ зима'!ah1340-'[2]$ зима'!ag1340-'[2]$ зима'!af1340-'[2]$ зима'!ae1340-'[2]$ зима'!ad1340-'[2]$ зима'!ab1340-'[2]$ зима'!aa1340-'[2]$ зима'!z1340-'[2]$ зима'!y1340-'[2]$ зима'!x1340-'[2]$ зима'!v1340-'[2]$ зима'!u1340-'[2]$ зима'!t1340-'[2]$ зима'!s1340-'[2]$ зима'!r1340-'[2]$ зима'!p1340-'[2]$ зима'!o1340-'[2]$ зима'!n1340-'[2]$ зима'!m1340-'[2]$ зима'!l1340+'[2]$ зима'!q1340+'[2]$ зима'!w1340+'[2]$ зима'!ac1340+'[2]$ зима'!ai1340+'[2]$ зима'!ao1340+'[2]$ зима'!k1340</f>
        <v>0</v>
      </c>
      <c r="I1340" s="191" t="n">
        <f aca="false">'[2]$ зима'!ay1340*1.1</f>
        <v>3234</v>
      </c>
      <c r="J1340" s="171" t="n">
        <v>2017</v>
      </c>
    </row>
    <row r="1341" customFormat="false" ht="15" hidden="false" customHeight="false" outlineLevel="0" collapsed="false">
      <c r="A1341" s="196" t="s">
        <v>2037</v>
      </c>
      <c r="B1341" s="149" t="s">
        <v>606</v>
      </c>
      <c r="C1341" s="148" t="s">
        <v>3125</v>
      </c>
      <c r="D1341" s="148"/>
      <c r="E1341" s="192"/>
      <c r="F1341" s="192" t="s">
        <v>3286</v>
      </c>
      <c r="G1341" s="193"/>
      <c r="H1341" s="105" t="n">
        <f aca="false">'[2]$ зима'!j1341-'[2]$ зима'!au1341-'[2]$ зима'!at1341-'[2]$ зима'!as1341-'[2]$ зима'!ar1341-'[2]$ зима'!aq1341-'[2]$ зима'!ap1341-'[2]$ зима'!an1341-'[2]$ зима'!am1341-'[2]$ зима'!al1341-'[2]$ зима'!ak1341-'[2]$ зима'!aj1341-'[2]$ зима'!ah1341-'[2]$ зима'!ag1341-'[2]$ зима'!af1341-'[2]$ зима'!ae1341-'[2]$ зима'!ad1341-'[2]$ зима'!ab1341-'[2]$ зима'!aa1341-'[2]$ зима'!z1341-'[2]$ зима'!y1341-'[2]$ зима'!x1341-'[2]$ зима'!v1341-'[2]$ зима'!u1341-'[2]$ зима'!t1341-'[2]$ зима'!s1341-'[2]$ зима'!r1341-'[2]$ зима'!p1341-'[2]$ зима'!o1341-'[2]$ зима'!n1341-'[2]$ зима'!m1341-'[2]$ зима'!l1341+'[2]$ зима'!q1341+'[2]$ зима'!w1341+'[2]$ зима'!ac1341+'[2]$ зима'!ai1341+'[2]$ зима'!ao1341+'[2]$ зима'!k1341</f>
        <v>4</v>
      </c>
      <c r="I1341" s="191" t="n">
        <f aca="false">'[2]$ зима'!ay1341*1.1</f>
        <v>3696</v>
      </c>
    </row>
    <row r="1342" customFormat="false" ht="15" hidden="true" customHeight="false" outlineLevel="0" collapsed="false">
      <c r="A1342" s="196" t="s">
        <v>2037</v>
      </c>
      <c r="B1342" s="149" t="s">
        <v>606</v>
      </c>
      <c r="C1342" s="148" t="s">
        <v>3776</v>
      </c>
      <c r="D1342" s="148"/>
      <c r="E1342" s="148" t="n">
        <v>100</v>
      </c>
      <c r="F1342" s="148" t="s">
        <v>562</v>
      </c>
      <c r="G1342" s="193"/>
      <c r="H1342" s="105" t="n">
        <f aca="false">'[2]$ зима'!j1342-'[2]$ зима'!au1342-'[2]$ зима'!at1342-'[2]$ зима'!as1342-'[2]$ зима'!ar1342-'[2]$ зима'!aq1342-'[2]$ зима'!ap1342-'[2]$ зима'!an1342-'[2]$ зима'!am1342-'[2]$ зима'!al1342-'[2]$ зима'!ak1342-'[2]$ зима'!aj1342-'[2]$ зима'!ah1342-'[2]$ зима'!ag1342-'[2]$ зима'!af1342-'[2]$ зима'!ae1342-'[2]$ зима'!ad1342-'[2]$ зима'!ab1342-'[2]$ зима'!aa1342-'[2]$ зима'!z1342-'[2]$ зима'!y1342-'[2]$ зима'!x1342-'[2]$ зима'!v1342-'[2]$ зима'!u1342-'[2]$ зима'!t1342-'[2]$ зима'!s1342-'[2]$ зима'!r1342-'[2]$ зима'!p1342-'[2]$ зима'!o1342-'[2]$ зима'!n1342-'[2]$ зима'!m1342-'[2]$ зима'!l1342+'[2]$ зима'!q1342+'[2]$ зима'!w1342+'[2]$ зима'!ac1342+'[2]$ зима'!ai1342+'[2]$ зима'!ao1342+'[2]$ зима'!k1342</f>
        <v>0</v>
      </c>
      <c r="I1342" s="191" t="n">
        <f aca="false">'[2]$ зима'!ay1342*1.1</f>
        <v>3696</v>
      </c>
    </row>
    <row r="1343" customFormat="false" ht="15" hidden="true" customHeight="false" outlineLevel="0" collapsed="false">
      <c r="A1343" s="196" t="s">
        <v>2037</v>
      </c>
      <c r="B1343" s="149" t="s">
        <v>574</v>
      </c>
      <c r="C1343" s="148" t="s">
        <v>3200</v>
      </c>
      <c r="D1343" s="148"/>
      <c r="E1343" s="148"/>
      <c r="F1343" s="148"/>
      <c r="G1343" s="193" t="s">
        <v>576</v>
      </c>
      <c r="H1343" s="105" t="n">
        <f aca="false">'[2]$ зима'!j1343-'[2]$ зима'!au1343-'[2]$ зима'!at1343-'[2]$ зима'!as1343-'[2]$ зима'!ar1343-'[2]$ зима'!aq1343-'[2]$ зима'!ap1343-'[2]$ зима'!an1343-'[2]$ зима'!am1343-'[2]$ зима'!al1343-'[2]$ зима'!ak1343-'[2]$ зима'!aj1343-'[2]$ зима'!ah1343-'[2]$ зима'!ag1343-'[2]$ зима'!af1343-'[2]$ зима'!ae1343-'[2]$ зима'!ad1343-'[2]$ зима'!ab1343-'[2]$ зима'!aa1343-'[2]$ зима'!z1343-'[2]$ зима'!y1343-'[2]$ зима'!x1343-'[2]$ зима'!v1343-'[2]$ зима'!u1343-'[2]$ зима'!t1343-'[2]$ зима'!s1343-'[2]$ зима'!r1343-'[2]$ зима'!p1343-'[2]$ зима'!o1343-'[2]$ зима'!n1343-'[2]$ зима'!m1343-'[2]$ зима'!l1343+'[2]$ зима'!q1343+'[2]$ зима'!w1343+'[2]$ зима'!ac1343+'[2]$ зима'!ai1343+'[2]$ зима'!ao1343+'[2]$ зима'!k1343</f>
        <v>0</v>
      </c>
      <c r="I1343" s="191" t="n">
        <f aca="false">'[2]$ зима'!ay1343*1.1</f>
        <v>3424.3</v>
      </c>
    </row>
    <row r="1344" customFormat="false" ht="15" hidden="false" customHeight="false" outlineLevel="0" collapsed="false">
      <c r="A1344" s="196" t="s">
        <v>2037</v>
      </c>
      <c r="B1344" s="149" t="s">
        <v>583</v>
      </c>
      <c r="C1344" s="148" t="s">
        <v>3303</v>
      </c>
      <c r="D1344" s="148" t="s">
        <v>3354</v>
      </c>
      <c r="E1344" s="192"/>
      <c r="F1344" s="192" t="s">
        <v>3286</v>
      </c>
      <c r="G1344" s="193"/>
      <c r="H1344" s="105" t="n">
        <f aca="false">'[2]$ зима'!j1344-'[2]$ зима'!au1344-'[2]$ зима'!at1344-'[2]$ зима'!as1344-'[2]$ зима'!ar1344-'[2]$ зима'!aq1344-'[2]$ зима'!ap1344-'[2]$ зима'!an1344-'[2]$ зима'!am1344-'[2]$ зима'!al1344-'[2]$ зима'!ak1344-'[2]$ зима'!aj1344-'[2]$ зима'!ah1344-'[2]$ зима'!ag1344-'[2]$ зима'!af1344-'[2]$ зима'!ae1344-'[2]$ зима'!ad1344-'[2]$ зима'!ab1344-'[2]$ зима'!aa1344-'[2]$ зима'!z1344-'[2]$ зима'!y1344-'[2]$ зима'!x1344-'[2]$ зима'!v1344-'[2]$ зима'!u1344-'[2]$ зима'!t1344-'[2]$ зима'!s1344-'[2]$ зима'!r1344-'[2]$ зима'!p1344-'[2]$ зима'!o1344-'[2]$ зима'!n1344-'[2]$ зима'!m1344-'[2]$ зима'!l1344+'[2]$ зима'!q1344+'[2]$ зима'!w1344+'[2]$ зима'!ac1344+'[2]$ зима'!ai1344+'[2]$ зима'!ao1344+'[2]$ зима'!k1344</f>
        <v>4</v>
      </c>
      <c r="I1344" s="191" t="n">
        <f aca="false">'[2]$ зима'!ay1344*1.1</f>
        <v>2648.8</v>
      </c>
    </row>
    <row r="1345" customFormat="false" ht="15" hidden="true" customHeight="false" outlineLevel="0" collapsed="false">
      <c r="A1345" s="196" t="s">
        <v>2037</v>
      </c>
      <c r="B1345" s="149" t="s">
        <v>593</v>
      </c>
      <c r="C1345" s="148" t="s">
        <v>3777</v>
      </c>
      <c r="D1345" s="148"/>
      <c r="E1345" s="148" t="n">
        <v>100</v>
      </c>
      <c r="F1345" s="148" t="s">
        <v>832</v>
      </c>
      <c r="G1345" s="193" t="s">
        <v>1954</v>
      </c>
      <c r="H1345" s="105" t="n">
        <f aca="false">'[2]$ зима'!j1345-'[2]$ зима'!au1345-'[2]$ зима'!at1345-'[2]$ зима'!as1345-'[2]$ зима'!ar1345-'[2]$ зима'!aq1345-'[2]$ зима'!ap1345-'[2]$ зима'!an1345-'[2]$ зима'!am1345-'[2]$ зима'!al1345-'[2]$ зима'!ak1345-'[2]$ зима'!aj1345-'[2]$ зима'!ah1345-'[2]$ зима'!ag1345-'[2]$ зима'!af1345-'[2]$ зима'!ae1345-'[2]$ зима'!ad1345-'[2]$ зима'!ab1345-'[2]$ зима'!aa1345-'[2]$ зима'!z1345-'[2]$ зима'!y1345-'[2]$ зима'!x1345-'[2]$ зима'!v1345-'[2]$ зима'!u1345-'[2]$ зима'!t1345-'[2]$ зима'!s1345-'[2]$ зима'!r1345-'[2]$ зима'!p1345-'[2]$ зима'!o1345-'[2]$ зима'!n1345-'[2]$ зима'!m1345-'[2]$ зима'!l1345+'[2]$ зима'!q1345+'[2]$ зима'!w1345+'[2]$ зима'!ac1345+'[2]$ зима'!ai1345+'[2]$ зима'!ao1345+'[2]$ зима'!k1345</f>
        <v>0</v>
      </c>
      <c r="I1345" s="191" t="n">
        <f aca="false">'[2]$ зима'!ay1345*1.1</f>
        <v>5390</v>
      </c>
    </row>
    <row r="1346" customFormat="false" ht="15" hidden="false" customHeight="false" outlineLevel="0" collapsed="false">
      <c r="A1346" s="196" t="s">
        <v>2037</v>
      </c>
      <c r="B1346" s="149" t="s">
        <v>589</v>
      </c>
      <c r="C1346" s="148" t="s">
        <v>3209</v>
      </c>
      <c r="D1346" s="148"/>
      <c r="E1346" s="192" t="n">
        <v>100</v>
      </c>
      <c r="F1346" s="192" t="s">
        <v>3207</v>
      </c>
      <c r="G1346" s="193" t="s">
        <v>626</v>
      </c>
      <c r="H1346" s="105" t="n">
        <f aca="false">'[2]$ зима'!j1346-'[2]$ зима'!au1346-'[2]$ зима'!at1346-'[2]$ зима'!as1346-'[2]$ зима'!ar1346-'[2]$ зима'!aq1346-'[2]$ зима'!ap1346-'[2]$ зима'!an1346-'[2]$ зима'!am1346-'[2]$ зима'!al1346-'[2]$ зима'!ak1346-'[2]$ зима'!aj1346-'[2]$ зима'!ah1346-'[2]$ зима'!ag1346-'[2]$ зима'!af1346-'[2]$ зима'!ae1346-'[2]$ зима'!ad1346-'[2]$ зима'!ab1346-'[2]$ зима'!aa1346-'[2]$ зима'!z1346-'[2]$ зима'!y1346-'[2]$ зима'!x1346-'[2]$ зима'!v1346-'[2]$ зима'!u1346-'[2]$ зима'!t1346-'[2]$ зима'!s1346-'[2]$ зима'!r1346-'[2]$ зима'!p1346-'[2]$ зима'!o1346-'[2]$ зима'!n1346-'[2]$ зима'!m1346-'[2]$ зима'!l1346+'[2]$ зима'!q1346+'[2]$ зима'!w1346+'[2]$ зима'!ac1346+'[2]$ зима'!ai1346+'[2]$ зима'!ao1346+'[2]$ зима'!k1346</f>
        <v>4</v>
      </c>
      <c r="I1346" s="191" t="n">
        <f aca="false">'[2]$ зима'!ay1346*1.1</f>
        <v>4592.28</v>
      </c>
      <c r="J1346" s="171" t="n">
        <v>2018</v>
      </c>
    </row>
    <row r="1347" customFormat="false" ht="15" hidden="false" customHeight="false" outlineLevel="0" collapsed="false">
      <c r="A1347" s="196" t="s">
        <v>2037</v>
      </c>
      <c r="B1347" s="149" t="s">
        <v>564</v>
      </c>
      <c r="C1347" s="148" t="s">
        <v>3540</v>
      </c>
      <c r="D1347" s="148"/>
      <c r="E1347" s="192" t="n">
        <v>100</v>
      </c>
      <c r="F1347" s="192" t="s">
        <v>3220</v>
      </c>
      <c r="G1347" s="193"/>
      <c r="H1347" s="105" t="n">
        <f aca="false">'[2]$ зима'!j1347-'[2]$ зима'!au1347-'[2]$ зима'!at1347-'[2]$ зима'!as1347-'[2]$ зима'!ar1347-'[2]$ зима'!aq1347-'[2]$ зима'!ap1347-'[2]$ зима'!an1347-'[2]$ зима'!am1347-'[2]$ зима'!al1347-'[2]$ зима'!ak1347-'[2]$ зима'!aj1347-'[2]$ зима'!ah1347-'[2]$ зима'!ag1347-'[2]$ зима'!af1347-'[2]$ зима'!ae1347-'[2]$ зима'!ad1347-'[2]$ зима'!ab1347-'[2]$ зима'!aa1347-'[2]$ зима'!z1347-'[2]$ зима'!y1347-'[2]$ зима'!x1347-'[2]$ зима'!v1347-'[2]$ зима'!u1347-'[2]$ зима'!t1347-'[2]$ зима'!s1347-'[2]$ зима'!r1347-'[2]$ зима'!p1347-'[2]$ зима'!o1347-'[2]$ зима'!n1347-'[2]$ зима'!m1347-'[2]$ зима'!l1347+'[2]$ зима'!q1347+'[2]$ зима'!w1347+'[2]$ зима'!ac1347+'[2]$ зима'!ai1347+'[2]$ зима'!ao1347+'[2]$ зима'!k1347</f>
        <v>6</v>
      </c>
      <c r="I1347" s="191" t="n">
        <f aca="false">'[2]$ зима'!ay1347*1.1</f>
        <v>2002</v>
      </c>
      <c r="J1347" s="171" t="n">
        <v>2017</v>
      </c>
    </row>
    <row r="1348" customFormat="false" ht="15" hidden="false" customHeight="false" outlineLevel="0" collapsed="false">
      <c r="A1348" s="232" t="s">
        <v>2037</v>
      </c>
      <c r="B1348" s="157" t="s">
        <v>1149</v>
      </c>
      <c r="C1348" s="158" t="s">
        <v>3170</v>
      </c>
      <c r="D1348" s="158"/>
      <c r="E1348" s="224"/>
      <c r="F1348" s="224"/>
      <c r="G1348" s="218"/>
      <c r="H1348" s="105" t="n">
        <f aca="false">'[2]$ зима'!j1348-'[2]$ зима'!au1348-'[2]$ зима'!at1348-'[2]$ зима'!as1348-'[2]$ зима'!ar1348-'[2]$ зима'!aq1348-'[2]$ зима'!ap1348-'[2]$ зима'!an1348-'[2]$ зима'!am1348-'[2]$ зима'!al1348-'[2]$ зима'!ak1348-'[2]$ зима'!aj1348-'[2]$ зима'!ah1348-'[2]$ зима'!ag1348-'[2]$ зима'!af1348-'[2]$ зима'!ae1348-'[2]$ зима'!ad1348-'[2]$ зима'!ab1348-'[2]$ зима'!aa1348-'[2]$ зима'!z1348-'[2]$ зима'!y1348-'[2]$ зима'!x1348-'[2]$ зима'!v1348-'[2]$ зима'!u1348-'[2]$ зима'!t1348-'[2]$ зима'!s1348-'[2]$ зима'!r1348-'[2]$ зима'!p1348-'[2]$ зима'!o1348-'[2]$ зима'!n1348-'[2]$ зима'!m1348-'[2]$ зима'!l1348+'[2]$ зима'!q1348+'[2]$ зима'!w1348+'[2]$ зима'!ac1348+'[2]$ зима'!ai1348+'[2]$ зима'!ao1348+'[2]$ зима'!k1348</f>
        <v>4</v>
      </c>
      <c r="I1348" s="219" t="n">
        <f aca="false">'[2]$ зима'!ay1348*1.1</f>
        <v>0</v>
      </c>
    </row>
    <row r="1349" customFormat="false" ht="15" hidden="true" customHeight="false" outlineLevel="0" collapsed="false">
      <c r="A1349" s="196" t="s">
        <v>2057</v>
      </c>
      <c r="B1349" s="149" t="s">
        <v>658</v>
      </c>
      <c r="C1349" s="148" t="s">
        <v>3537</v>
      </c>
      <c r="D1349" s="148"/>
      <c r="E1349" s="148"/>
      <c r="F1349" s="148"/>
      <c r="G1349" s="193"/>
      <c r="H1349" s="105" t="n">
        <f aca="false">'[2]$ зима'!j1349-'[2]$ зима'!au1349-'[2]$ зима'!at1349-'[2]$ зима'!as1349-'[2]$ зима'!ar1349-'[2]$ зима'!aq1349-'[2]$ зима'!ap1349-'[2]$ зима'!an1349-'[2]$ зима'!am1349-'[2]$ зима'!al1349-'[2]$ зима'!ak1349-'[2]$ зима'!aj1349-'[2]$ зима'!ah1349-'[2]$ зима'!ag1349-'[2]$ зима'!af1349-'[2]$ зима'!ae1349-'[2]$ зима'!ad1349-'[2]$ зима'!ab1349-'[2]$ зима'!aa1349-'[2]$ зима'!z1349-'[2]$ зима'!y1349-'[2]$ зима'!x1349-'[2]$ зима'!v1349-'[2]$ зима'!u1349-'[2]$ зима'!t1349-'[2]$ зима'!s1349-'[2]$ зима'!r1349-'[2]$ зима'!p1349-'[2]$ зима'!o1349-'[2]$ зима'!n1349-'[2]$ зима'!m1349-'[2]$ зима'!l1349+'[2]$ зима'!q1349+'[2]$ зима'!w1349+'[2]$ зима'!ac1349+'[2]$ зима'!ai1349+'[2]$ зима'!ao1349+'[2]$ зима'!k1349</f>
        <v>0</v>
      </c>
      <c r="I1349" s="191" t="n">
        <f aca="false">'[2]$ зима'!ay1349*1.1</f>
        <v>6930</v>
      </c>
    </row>
    <row r="1350" customFormat="false" ht="15" hidden="true" customHeight="false" outlineLevel="0" collapsed="false">
      <c r="A1350" s="196" t="s">
        <v>2057</v>
      </c>
      <c r="B1350" s="149" t="s">
        <v>606</v>
      </c>
      <c r="C1350" s="148" t="s">
        <v>3623</v>
      </c>
      <c r="D1350" s="148"/>
      <c r="E1350" s="148"/>
      <c r="F1350" s="148"/>
      <c r="G1350" s="193"/>
      <c r="H1350" s="105" t="n">
        <f aca="false">'[2]$ зима'!j1350-'[2]$ зима'!au1350-'[2]$ зима'!at1350-'[2]$ зима'!as1350-'[2]$ зима'!ar1350-'[2]$ зима'!aq1350-'[2]$ зима'!ap1350-'[2]$ зима'!an1350-'[2]$ зима'!am1350-'[2]$ зима'!al1350-'[2]$ зима'!ak1350-'[2]$ зима'!aj1350-'[2]$ зима'!ah1350-'[2]$ зима'!ag1350-'[2]$ зима'!af1350-'[2]$ зима'!ae1350-'[2]$ зима'!ad1350-'[2]$ зима'!ab1350-'[2]$ зима'!aa1350-'[2]$ зима'!z1350-'[2]$ зима'!y1350-'[2]$ зима'!x1350-'[2]$ зима'!v1350-'[2]$ зима'!u1350-'[2]$ зима'!t1350-'[2]$ зима'!s1350-'[2]$ зима'!r1350-'[2]$ зима'!p1350-'[2]$ зима'!o1350-'[2]$ зима'!n1350-'[2]$ зима'!m1350-'[2]$ зима'!l1350+'[2]$ зима'!q1350+'[2]$ зима'!w1350+'[2]$ зима'!ac1350+'[2]$ зима'!ai1350+'[2]$ зима'!ao1350+'[2]$ зима'!k1350</f>
        <v>0</v>
      </c>
      <c r="I1350" s="191" t="n">
        <f aca="false">'[2]$ зима'!ay1350*1.1</f>
        <v>3788.4</v>
      </c>
      <c r="J1350" s="171" t="n">
        <v>2017</v>
      </c>
    </row>
    <row r="1351" customFormat="false" ht="15" hidden="true" customHeight="false" outlineLevel="0" collapsed="false">
      <c r="A1351" s="196" t="s">
        <v>2057</v>
      </c>
      <c r="B1351" s="149" t="s">
        <v>606</v>
      </c>
      <c r="C1351" s="148" t="s">
        <v>3125</v>
      </c>
      <c r="D1351" s="148"/>
      <c r="E1351" s="148"/>
      <c r="F1351" s="148"/>
      <c r="G1351" s="193"/>
      <c r="H1351" s="105" t="n">
        <f aca="false">'[2]$ зима'!j1351-'[2]$ зима'!au1351-'[2]$ зима'!at1351-'[2]$ зима'!as1351-'[2]$ зима'!ar1351-'[2]$ зима'!aq1351-'[2]$ зима'!ap1351-'[2]$ зима'!an1351-'[2]$ зима'!am1351-'[2]$ зима'!al1351-'[2]$ зима'!ak1351-'[2]$ зима'!aj1351-'[2]$ зима'!ah1351-'[2]$ зима'!ag1351-'[2]$ зима'!af1351-'[2]$ зима'!ae1351-'[2]$ зима'!ad1351-'[2]$ зима'!ab1351-'[2]$ зима'!aa1351-'[2]$ зима'!z1351-'[2]$ зима'!y1351-'[2]$ зима'!x1351-'[2]$ зима'!v1351-'[2]$ зима'!u1351-'[2]$ зима'!t1351-'[2]$ зима'!s1351-'[2]$ зима'!r1351-'[2]$ зима'!p1351-'[2]$ зима'!o1351-'[2]$ зима'!n1351-'[2]$ зима'!m1351-'[2]$ зима'!l1351+'[2]$ зима'!q1351+'[2]$ зима'!w1351+'[2]$ зима'!ac1351+'[2]$ зима'!ai1351+'[2]$ зима'!ao1351+'[2]$ зима'!k1351</f>
        <v>0</v>
      </c>
      <c r="I1351" s="191" t="n">
        <f aca="false">'[2]$ зима'!ay1351*1.1</f>
        <v>3850</v>
      </c>
      <c r="J1351" s="171" t="n">
        <v>2017</v>
      </c>
    </row>
    <row r="1352" customFormat="false" ht="15" hidden="true" customHeight="false" outlineLevel="0" collapsed="false">
      <c r="A1352" s="196" t="s">
        <v>2057</v>
      </c>
      <c r="B1352" s="149" t="s">
        <v>606</v>
      </c>
      <c r="C1352" s="148" t="s">
        <v>3778</v>
      </c>
      <c r="D1352" s="148"/>
      <c r="E1352" s="148" t="n">
        <v>104</v>
      </c>
      <c r="F1352" s="148" t="s">
        <v>562</v>
      </c>
      <c r="G1352" s="193"/>
      <c r="H1352" s="105" t="n">
        <f aca="false">'[2]$ зима'!j1352-'[2]$ зима'!au1352-'[2]$ зима'!at1352-'[2]$ зима'!as1352-'[2]$ зима'!ar1352-'[2]$ зима'!aq1352-'[2]$ зима'!ap1352-'[2]$ зима'!an1352-'[2]$ зима'!am1352-'[2]$ зима'!al1352-'[2]$ зима'!ak1352-'[2]$ зима'!aj1352-'[2]$ зима'!ah1352-'[2]$ зима'!ag1352-'[2]$ зима'!af1352-'[2]$ зима'!ae1352-'[2]$ зима'!ad1352-'[2]$ зима'!ab1352-'[2]$ зима'!aa1352-'[2]$ зима'!z1352-'[2]$ зима'!y1352-'[2]$ зима'!x1352-'[2]$ зима'!v1352-'[2]$ зима'!u1352-'[2]$ зима'!t1352-'[2]$ зима'!s1352-'[2]$ зима'!r1352-'[2]$ зима'!p1352-'[2]$ зима'!o1352-'[2]$ зима'!n1352-'[2]$ зима'!m1352-'[2]$ зима'!l1352+'[2]$ зима'!q1352+'[2]$ зима'!w1352+'[2]$ зима'!ac1352+'[2]$ зима'!ai1352+'[2]$ зима'!ao1352+'[2]$ зима'!k1352</f>
        <v>0</v>
      </c>
      <c r="I1352" s="191" t="n">
        <f aca="false">'[2]$ зима'!ay1352*1.1</f>
        <v>3603.6</v>
      </c>
    </row>
    <row r="1353" customFormat="false" ht="15" hidden="false" customHeight="false" outlineLevel="0" collapsed="false">
      <c r="A1353" s="196" t="s">
        <v>2057</v>
      </c>
      <c r="B1353" s="149" t="s">
        <v>668</v>
      </c>
      <c r="C1353" s="148" t="s">
        <v>3779</v>
      </c>
      <c r="D1353" s="148"/>
      <c r="E1353" s="192"/>
      <c r="F1353" s="192" t="s">
        <v>3286</v>
      </c>
      <c r="G1353" s="193"/>
      <c r="H1353" s="105" t="n">
        <f aca="false">'[2]$ зима'!j1353-'[2]$ зима'!au1353-'[2]$ зима'!at1353-'[2]$ зима'!as1353-'[2]$ зима'!ar1353-'[2]$ зима'!aq1353-'[2]$ зима'!ap1353-'[2]$ зима'!an1353-'[2]$ зима'!am1353-'[2]$ зима'!al1353-'[2]$ зима'!ak1353-'[2]$ зима'!aj1353-'[2]$ зима'!ah1353-'[2]$ зима'!ag1353-'[2]$ зима'!af1353-'[2]$ зима'!ae1353-'[2]$ зима'!ad1353-'[2]$ зима'!ab1353-'[2]$ зима'!aa1353-'[2]$ зима'!z1353-'[2]$ зима'!y1353-'[2]$ зима'!x1353-'[2]$ зима'!v1353-'[2]$ зима'!u1353-'[2]$ зима'!t1353-'[2]$ зима'!s1353-'[2]$ зима'!r1353-'[2]$ зима'!p1353-'[2]$ зима'!o1353-'[2]$ зима'!n1353-'[2]$ зима'!m1353-'[2]$ зима'!l1353+'[2]$ зима'!q1353+'[2]$ зима'!w1353+'[2]$ зима'!ac1353+'[2]$ зима'!ai1353+'[2]$ зима'!ao1353+'[2]$ зима'!k1353</f>
        <v>2</v>
      </c>
      <c r="I1353" s="191" t="n">
        <f aca="false">'[2]$ зима'!ay1353*1.1</f>
        <v>3850</v>
      </c>
      <c r="J1353" s="171" t="n">
        <v>2017</v>
      </c>
    </row>
    <row r="1354" customFormat="false" ht="15" hidden="true" customHeight="false" outlineLevel="0" collapsed="false">
      <c r="A1354" s="196" t="s">
        <v>2057</v>
      </c>
      <c r="B1354" s="149" t="s">
        <v>593</v>
      </c>
      <c r="C1354" s="148" t="s">
        <v>3742</v>
      </c>
      <c r="D1354" s="148"/>
      <c r="E1354" s="148"/>
      <c r="F1354" s="148"/>
      <c r="G1354" s="193" t="s">
        <v>1037</v>
      </c>
      <c r="H1354" s="105" t="n">
        <f aca="false">'[2]$ зима'!j1354-'[2]$ зима'!au1354-'[2]$ зима'!at1354-'[2]$ зима'!as1354-'[2]$ зима'!ar1354-'[2]$ зима'!aq1354-'[2]$ зима'!ap1354-'[2]$ зима'!an1354-'[2]$ зима'!am1354-'[2]$ зима'!al1354-'[2]$ зима'!ak1354-'[2]$ зима'!aj1354-'[2]$ зима'!ah1354-'[2]$ зима'!ag1354-'[2]$ зима'!af1354-'[2]$ зима'!ae1354-'[2]$ зима'!ad1354-'[2]$ зима'!ab1354-'[2]$ зима'!aa1354-'[2]$ зима'!z1354-'[2]$ зима'!y1354-'[2]$ зима'!x1354-'[2]$ зима'!v1354-'[2]$ зима'!u1354-'[2]$ зима'!t1354-'[2]$ зима'!s1354-'[2]$ зима'!r1354-'[2]$ зима'!p1354-'[2]$ зима'!o1354-'[2]$ зима'!n1354-'[2]$ зима'!m1354-'[2]$ зима'!l1354+'[2]$ зима'!q1354+'[2]$ зима'!w1354+'[2]$ зима'!ac1354+'[2]$ зима'!ai1354+'[2]$ зима'!ao1354+'[2]$ зима'!k1354</f>
        <v>0</v>
      </c>
      <c r="I1354" s="191" t="n">
        <f aca="false">'[2]$ зима'!ay1354*1.1</f>
        <v>5544</v>
      </c>
      <c r="J1354" s="171" t="n">
        <v>2015</v>
      </c>
    </row>
    <row r="1355" customFormat="false" ht="15" hidden="true" customHeight="false" outlineLevel="0" collapsed="false">
      <c r="A1355" s="196" t="s">
        <v>2057</v>
      </c>
      <c r="B1355" s="149" t="s">
        <v>3142</v>
      </c>
      <c r="C1355" s="148" t="s">
        <v>3646</v>
      </c>
      <c r="D1355" s="148"/>
      <c r="E1355" s="148"/>
      <c r="F1355" s="148"/>
      <c r="G1355" s="193"/>
      <c r="H1355" s="105" t="n">
        <f aca="false">'[2]$ зима'!j1355-'[2]$ зима'!au1355-'[2]$ зима'!at1355-'[2]$ зима'!as1355-'[2]$ зима'!ar1355-'[2]$ зима'!aq1355-'[2]$ зима'!ap1355-'[2]$ зима'!an1355-'[2]$ зима'!am1355-'[2]$ зима'!al1355-'[2]$ зима'!ak1355-'[2]$ зима'!aj1355-'[2]$ зима'!ah1355-'[2]$ зима'!ag1355-'[2]$ зима'!af1355-'[2]$ зима'!ae1355-'[2]$ зима'!ad1355-'[2]$ зима'!ab1355-'[2]$ зима'!aa1355-'[2]$ зима'!z1355-'[2]$ зима'!y1355-'[2]$ зима'!x1355-'[2]$ зима'!v1355-'[2]$ зима'!u1355-'[2]$ зима'!t1355-'[2]$ зима'!s1355-'[2]$ зима'!r1355-'[2]$ зима'!p1355-'[2]$ зима'!o1355-'[2]$ зима'!n1355-'[2]$ зима'!m1355-'[2]$ зима'!l1355+'[2]$ зима'!q1355+'[2]$ зима'!w1355+'[2]$ зима'!ac1355+'[2]$ зима'!ai1355+'[2]$ зима'!ao1355+'[2]$ зима'!k1355</f>
        <v>0</v>
      </c>
      <c r="I1355" s="191" t="n">
        <f aca="false">'[2]$ зима'!ay1355*1.1</f>
        <v>2926</v>
      </c>
    </row>
    <row r="1356" customFormat="false" ht="15" hidden="false" customHeight="false" outlineLevel="0" collapsed="false">
      <c r="A1356" s="196" t="s">
        <v>2057</v>
      </c>
      <c r="B1356" s="149" t="s">
        <v>621</v>
      </c>
      <c r="C1356" s="148" t="s">
        <v>3307</v>
      </c>
      <c r="D1356" s="148"/>
      <c r="E1356" s="192" t="n">
        <v>104</v>
      </c>
      <c r="F1356" s="192" t="s">
        <v>970</v>
      </c>
      <c r="G1356" s="193" t="s">
        <v>520</v>
      </c>
      <c r="H1356" s="105" t="n">
        <f aca="false">'[2]$ зима'!j1356-'[2]$ зима'!au1356-'[2]$ зима'!at1356-'[2]$ зима'!as1356-'[2]$ зима'!ar1356-'[2]$ зима'!aq1356-'[2]$ зима'!ap1356-'[2]$ зима'!an1356-'[2]$ зима'!am1356-'[2]$ зима'!al1356-'[2]$ зима'!ak1356-'[2]$ зима'!aj1356-'[2]$ зима'!ah1356-'[2]$ зима'!ag1356-'[2]$ зима'!af1356-'[2]$ зима'!ae1356-'[2]$ зима'!ad1356-'[2]$ зима'!ab1356-'[2]$ зима'!aa1356-'[2]$ зима'!z1356-'[2]$ зима'!y1356-'[2]$ зима'!x1356-'[2]$ зима'!v1356-'[2]$ зима'!u1356-'[2]$ зима'!t1356-'[2]$ зима'!s1356-'[2]$ зима'!r1356-'[2]$ зима'!p1356-'[2]$ зима'!o1356-'[2]$ зима'!n1356-'[2]$ зима'!m1356-'[2]$ зима'!l1356+'[2]$ зима'!q1356+'[2]$ зима'!w1356+'[2]$ зима'!ac1356+'[2]$ зима'!ai1356+'[2]$ зима'!ao1356+'[2]$ зима'!k1356</f>
        <v>4</v>
      </c>
      <c r="I1356" s="191" t="n">
        <f aca="false">'[2]$ зима'!ay1356*1.1</f>
        <v>2365</v>
      </c>
      <c r="J1356" s="171" t="n">
        <v>2018</v>
      </c>
    </row>
    <row r="1357" customFormat="false" ht="15" hidden="true" customHeight="false" outlineLevel="0" collapsed="false">
      <c r="A1357" s="196" t="s">
        <v>2057</v>
      </c>
      <c r="B1357" s="149" t="s">
        <v>589</v>
      </c>
      <c r="C1357" s="148" t="s">
        <v>3780</v>
      </c>
      <c r="D1357" s="148"/>
      <c r="E1357" s="148"/>
      <c r="F1357" s="148"/>
      <c r="G1357" s="193" t="s">
        <v>626</v>
      </c>
      <c r="H1357" s="105" t="n">
        <f aca="false">'[2]$ зима'!j1357-'[2]$ зима'!au1357-'[2]$ зима'!at1357-'[2]$ зима'!as1357-'[2]$ зима'!ar1357-'[2]$ зима'!aq1357-'[2]$ зима'!ap1357-'[2]$ зима'!an1357-'[2]$ зима'!am1357-'[2]$ зима'!al1357-'[2]$ зима'!ak1357-'[2]$ зима'!aj1357-'[2]$ зима'!ah1357-'[2]$ зима'!ag1357-'[2]$ зима'!af1357-'[2]$ зима'!ae1357-'[2]$ зима'!ad1357-'[2]$ зима'!ab1357-'[2]$ зима'!aa1357-'[2]$ зима'!z1357-'[2]$ зима'!y1357-'[2]$ зима'!x1357-'[2]$ зима'!v1357-'[2]$ зима'!u1357-'[2]$ зима'!t1357-'[2]$ зима'!s1357-'[2]$ зима'!r1357-'[2]$ зима'!p1357-'[2]$ зима'!o1357-'[2]$ зима'!n1357-'[2]$ зима'!m1357-'[2]$ зима'!l1357+'[2]$ зима'!q1357+'[2]$ зима'!w1357+'[2]$ зима'!ac1357+'[2]$ зима'!ai1357+'[2]$ зима'!ao1357+'[2]$ зима'!k1357</f>
        <v>0</v>
      </c>
      <c r="I1357" s="191" t="n">
        <f aca="false">'[2]$ зима'!ay1357*1.1</f>
        <v>4202.55</v>
      </c>
    </row>
    <row r="1358" customFormat="false" ht="15" hidden="true" customHeight="false" outlineLevel="0" collapsed="false">
      <c r="A1358" s="196" t="s">
        <v>2057</v>
      </c>
      <c r="B1358" s="149" t="s">
        <v>1028</v>
      </c>
      <c r="C1358" s="148" t="s">
        <v>3781</v>
      </c>
      <c r="D1358" s="148"/>
      <c r="E1358" s="148"/>
      <c r="F1358" s="148"/>
      <c r="G1358" s="193" t="s">
        <v>876</v>
      </c>
      <c r="H1358" s="105" t="n">
        <f aca="false">'[2]$ зима'!j1358-'[2]$ зима'!au1358-'[2]$ зима'!at1358-'[2]$ зима'!as1358-'[2]$ зима'!ar1358-'[2]$ зима'!aq1358-'[2]$ зима'!ap1358-'[2]$ зима'!an1358-'[2]$ зима'!am1358-'[2]$ зима'!al1358-'[2]$ зима'!ak1358-'[2]$ зима'!aj1358-'[2]$ зима'!ah1358-'[2]$ зима'!ag1358-'[2]$ зима'!af1358-'[2]$ зима'!ae1358-'[2]$ зима'!ad1358-'[2]$ зима'!ab1358-'[2]$ зима'!aa1358-'[2]$ зима'!z1358-'[2]$ зима'!y1358-'[2]$ зима'!x1358-'[2]$ зима'!v1358-'[2]$ зима'!u1358-'[2]$ зима'!t1358-'[2]$ зима'!s1358-'[2]$ зима'!r1358-'[2]$ зима'!p1358-'[2]$ зима'!o1358-'[2]$ зима'!n1358-'[2]$ зима'!m1358-'[2]$ зима'!l1358+'[2]$ зима'!q1358+'[2]$ зима'!w1358+'[2]$ зима'!ac1358+'[2]$ зима'!ai1358+'[2]$ зима'!ao1358+'[2]$ зима'!k1358</f>
        <v>0</v>
      </c>
      <c r="I1358" s="191" t="n">
        <f aca="false">'[2]$ зима'!ay1358*1.1</f>
        <v>4928</v>
      </c>
      <c r="J1358" s="171" t="n">
        <v>2017</v>
      </c>
    </row>
    <row r="1359" customFormat="false" ht="15" hidden="true" customHeight="false" outlineLevel="0" collapsed="false">
      <c r="A1359" s="196" t="s">
        <v>2057</v>
      </c>
      <c r="B1359" s="149" t="s">
        <v>1028</v>
      </c>
      <c r="C1359" s="148" t="s">
        <v>3782</v>
      </c>
      <c r="D1359" s="148"/>
      <c r="E1359" s="148"/>
      <c r="F1359" s="148"/>
      <c r="G1359" s="193"/>
      <c r="H1359" s="105" t="n">
        <f aca="false">'[2]$ зима'!j1359-'[2]$ зима'!au1359-'[2]$ зима'!at1359-'[2]$ зима'!as1359-'[2]$ зима'!ar1359-'[2]$ зима'!aq1359-'[2]$ зима'!ap1359-'[2]$ зима'!an1359-'[2]$ зима'!am1359-'[2]$ зима'!al1359-'[2]$ зима'!ak1359-'[2]$ зима'!aj1359-'[2]$ зима'!ah1359-'[2]$ зима'!ag1359-'[2]$ зима'!af1359-'[2]$ зима'!ae1359-'[2]$ зима'!ad1359-'[2]$ зима'!ab1359-'[2]$ зима'!aa1359-'[2]$ зима'!z1359-'[2]$ зима'!y1359-'[2]$ зима'!x1359-'[2]$ зима'!v1359-'[2]$ зима'!u1359-'[2]$ зима'!t1359-'[2]$ зима'!s1359-'[2]$ зима'!r1359-'[2]$ зима'!p1359-'[2]$ зима'!o1359-'[2]$ зима'!n1359-'[2]$ зима'!m1359-'[2]$ зима'!l1359+'[2]$ зима'!q1359+'[2]$ зима'!w1359+'[2]$ зима'!ac1359+'[2]$ зима'!ai1359+'[2]$ зима'!ao1359+'[2]$ зима'!k1359</f>
        <v>0</v>
      </c>
      <c r="I1359" s="191" t="n">
        <f aca="false">'[2]$ зима'!ay1359*1.1</f>
        <v>4312</v>
      </c>
    </row>
    <row r="1360" customFormat="false" ht="15" hidden="true" customHeight="false" outlineLevel="0" collapsed="false">
      <c r="A1360" s="196" t="s">
        <v>2068</v>
      </c>
      <c r="B1360" s="149" t="s">
        <v>677</v>
      </c>
      <c r="C1360" s="148" t="s">
        <v>3783</v>
      </c>
      <c r="D1360" s="148" t="s">
        <v>3127</v>
      </c>
      <c r="E1360" s="148"/>
      <c r="F1360" s="148"/>
      <c r="G1360" s="193"/>
      <c r="H1360" s="105" t="n">
        <f aca="false">'[2]$ зима'!j1360-'[2]$ зима'!au1360-'[2]$ зима'!at1360-'[2]$ зима'!as1360-'[2]$ зима'!ar1360-'[2]$ зима'!aq1360-'[2]$ зима'!ap1360-'[2]$ зима'!an1360-'[2]$ зима'!am1360-'[2]$ зима'!al1360-'[2]$ зима'!ak1360-'[2]$ зима'!aj1360-'[2]$ зима'!ah1360-'[2]$ зима'!ag1360-'[2]$ зима'!af1360-'[2]$ зима'!ae1360-'[2]$ зима'!ad1360-'[2]$ зима'!ab1360-'[2]$ зима'!aa1360-'[2]$ зима'!z1360-'[2]$ зима'!y1360-'[2]$ зима'!x1360-'[2]$ зима'!v1360-'[2]$ зима'!u1360-'[2]$ зима'!t1360-'[2]$ зима'!s1360-'[2]$ зима'!r1360-'[2]$ зима'!p1360-'[2]$ зима'!o1360-'[2]$ зима'!n1360-'[2]$ зима'!m1360-'[2]$ зима'!l1360+'[2]$ зима'!q1360+'[2]$ зима'!w1360+'[2]$ зима'!ac1360+'[2]$ зима'!ai1360+'[2]$ зима'!ao1360+'[2]$ зима'!k1360</f>
        <v>0</v>
      </c>
      <c r="I1360" s="191" t="n">
        <f aca="false">'[2]$ зима'!ay1360*1.1</f>
        <v>2464</v>
      </c>
    </row>
    <row r="1361" customFormat="false" ht="15" hidden="false" customHeight="false" outlineLevel="0" collapsed="false">
      <c r="A1361" s="196" t="s">
        <v>2068</v>
      </c>
      <c r="B1361" s="149" t="s">
        <v>589</v>
      </c>
      <c r="C1361" s="148" t="s">
        <v>3209</v>
      </c>
      <c r="D1361" s="148"/>
      <c r="E1361" s="192"/>
      <c r="F1361" s="192"/>
      <c r="G1361" s="193" t="s">
        <v>626</v>
      </c>
      <c r="H1361" s="105" t="n">
        <f aca="false">'[2]$ зима'!j1361-'[2]$ зима'!au1361-'[2]$ зима'!at1361-'[2]$ зима'!as1361-'[2]$ зима'!ar1361-'[2]$ зима'!aq1361-'[2]$ зима'!ap1361-'[2]$ зима'!an1361-'[2]$ зима'!am1361-'[2]$ зима'!al1361-'[2]$ зима'!ak1361-'[2]$ зима'!aj1361-'[2]$ зима'!ah1361-'[2]$ зима'!ag1361-'[2]$ зима'!af1361-'[2]$ зима'!ae1361-'[2]$ зима'!ad1361-'[2]$ зима'!ab1361-'[2]$ зима'!aa1361-'[2]$ зима'!z1361-'[2]$ зима'!y1361-'[2]$ зима'!x1361-'[2]$ зима'!v1361-'[2]$ зима'!u1361-'[2]$ зима'!t1361-'[2]$ зима'!s1361-'[2]$ зима'!r1361-'[2]$ зима'!p1361-'[2]$ зима'!o1361-'[2]$ зима'!n1361-'[2]$ зима'!m1361-'[2]$ зима'!l1361+'[2]$ зима'!q1361+'[2]$ зима'!w1361+'[2]$ зима'!ac1361+'[2]$ зима'!ai1361+'[2]$ зима'!ao1361+'[2]$ зима'!k1361</f>
        <v>4</v>
      </c>
      <c r="I1361" s="191" t="n">
        <f aca="false">'[2]$ зима'!ay1361*1.1</f>
        <v>3280.2</v>
      </c>
      <c r="J1361" s="171" t="n">
        <v>2012</v>
      </c>
    </row>
    <row r="1362" customFormat="false" ht="15" hidden="true" customHeight="false" outlineLevel="0" collapsed="false">
      <c r="A1362" s="196" t="s">
        <v>2068</v>
      </c>
      <c r="B1362" s="149" t="s">
        <v>1028</v>
      </c>
      <c r="C1362" s="148" t="s">
        <v>3784</v>
      </c>
      <c r="D1362" s="148"/>
      <c r="E1362" s="148"/>
      <c r="F1362" s="148"/>
      <c r="G1362" s="193"/>
      <c r="H1362" s="105" t="n">
        <f aca="false">'[2]$ зима'!j1362-'[2]$ зима'!au1362-'[2]$ зима'!at1362-'[2]$ зима'!as1362-'[2]$ зима'!ar1362-'[2]$ зима'!aq1362-'[2]$ зима'!ap1362-'[2]$ зима'!an1362-'[2]$ зима'!am1362-'[2]$ зима'!al1362-'[2]$ зима'!ak1362-'[2]$ зима'!aj1362-'[2]$ зима'!ah1362-'[2]$ зима'!ag1362-'[2]$ зима'!af1362-'[2]$ зима'!ae1362-'[2]$ зима'!ad1362-'[2]$ зима'!ab1362-'[2]$ зима'!aa1362-'[2]$ зима'!z1362-'[2]$ зима'!y1362-'[2]$ зима'!x1362-'[2]$ зима'!v1362-'[2]$ зима'!u1362-'[2]$ зима'!t1362-'[2]$ зима'!s1362-'[2]$ зима'!r1362-'[2]$ зима'!p1362-'[2]$ зима'!o1362-'[2]$ зима'!n1362-'[2]$ зима'!m1362-'[2]$ зима'!l1362+'[2]$ зима'!q1362+'[2]$ зима'!w1362+'[2]$ зима'!ac1362+'[2]$ зима'!ai1362+'[2]$ зима'!ao1362+'[2]$ зима'!k1362</f>
        <v>0</v>
      </c>
      <c r="I1362" s="191" t="n">
        <f aca="false">'[2]$ зима'!ay1362*1.1</f>
        <v>3080</v>
      </c>
    </row>
    <row r="1363" customFormat="false" ht="15" hidden="true" customHeight="false" outlineLevel="0" collapsed="false">
      <c r="A1363" s="196" t="s">
        <v>2074</v>
      </c>
      <c r="B1363" s="149" t="s">
        <v>601</v>
      </c>
      <c r="C1363" s="148" t="s">
        <v>3151</v>
      </c>
      <c r="D1363" s="148"/>
      <c r="E1363" s="148"/>
      <c r="F1363" s="148"/>
      <c r="G1363" s="193"/>
      <c r="H1363" s="105" t="n">
        <f aca="false">'[2]$ зима'!j1363-'[2]$ зима'!au1363-'[2]$ зима'!at1363-'[2]$ зима'!as1363-'[2]$ зима'!ar1363-'[2]$ зима'!aq1363-'[2]$ зима'!ap1363-'[2]$ зима'!an1363-'[2]$ зима'!am1363-'[2]$ зима'!al1363-'[2]$ зима'!ak1363-'[2]$ зима'!aj1363-'[2]$ зима'!ah1363-'[2]$ зима'!ag1363-'[2]$ зима'!af1363-'[2]$ зима'!ae1363-'[2]$ зима'!ad1363-'[2]$ зима'!ab1363-'[2]$ зима'!aa1363-'[2]$ зима'!z1363-'[2]$ зима'!y1363-'[2]$ зима'!x1363-'[2]$ зима'!v1363-'[2]$ зима'!u1363-'[2]$ зима'!t1363-'[2]$ зима'!s1363-'[2]$ зима'!r1363-'[2]$ зима'!p1363-'[2]$ зима'!o1363-'[2]$ зима'!n1363-'[2]$ зима'!m1363-'[2]$ зима'!l1363+'[2]$ зима'!q1363+'[2]$ зима'!w1363+'[2]$ зима'!ac1363+'[2]$ зима'!ai1363+'[2]$ зима'!ao1363+'[2]$ зима'!k1363</f>
        <v>0</v>
      </c>
      <c r="I1363" s="191" t="n">
        <f aca="false">'[2]$ зима'!ay1363*1.1</f>
        <v>4928</v>
      </c>
    </row>
    <row r="1364" customFormat="false" ht="15" hidden="true" customHeight="false" outlineLevel="0" collapsed="false">
      <c r="A1364" s="196" t="s">
        <v>2074</v>
      </c>
      <c r="B1364" s="149" t="s">
        <v>606</v>
      </c>
      <c r="C1364" s="148" t="s">
        <v>3284</v>
      </c>
      <c r="D1364" s="148"/>
      <c r="E1364" s="148"/>
      <c r="F1364" s="148"/>
      <c r="G1364" s="193"/>
      <c r="H1364" s="105" t="n">
        <f aca="false">'[2]$ зима'!j1364-'[2]$ зима'!au1364-'[2]$ зима'!at1364-'[2]$ зима'!as1364-'[2]$ зима'!ar1364-'[2]$ зима'!aq1364-'[2]$ зима'!ap1364-'[2]$ зима'!an1364-'[2]$ зима'!am1364-'[2]$ зима'!al1364-'[2]$ зима'!ak1364-'[2]$ зима'!aj1364-'[2]$ зима'!ah1364-'[2]$ зима'!ag1364-'[2]$ зима'!af1364-'[2]$ зима'!ae1364-'[2]$ зима'!ad1364-'[2]$ зима'!ab1364-'[2]$ зима'!aa1364-'[2]$ зима'!z1364-'[2]$ зима'!y1364-'[2]$ зима'!x1364-'[2]$ зима'!v1364-'[2]$ зима'!u1364-'[2]$ зима'!t1364-'[2]$ зима'!s1364-'[2]$ зима'!r1364-'[2]$ зима'!p1364-'[2]$ зима'!o1364-'[2]$ зима'!n1364-'[2]$ зима'!m1364-'[2]$ зима'!l1364+'[2]$ зима'!q1364+'[2]$ зима'!w1364+'[2]$ зима'!ac1364+'[2]$ зима'!ai1364+'[2]$ зима'!ao1364+'[2]$ зима'!k1364</f>
        <v>0</v>
      </c>
      <c r="I1364" s="191" t="n">
        <f aca="false">'[2]$ зима'!ay1364*1.1</f>
        <v>3911.6</v>
      </c>
      <c r="J1364" s="171" t="n">
        <v>2017</v>
      </c>
    </row>
    <row r="1365" customFormat="false" ht="15" hidden="false" customHeight="false" outlineLevel="0" collapsed="false">
      <c r="A1365" s="196" t="s">
        <v>2074</v>
      </c>
      <c r="B1365" s="149" t="s">
        <v>606</v>
      </c>
      <c r="C1365" s="148" t="s">
        <v>3125</v>
      </c>
      <c r="D1365" s="148" t="s">
        <v>3147</v>
      </c>
      <c r="E1365" s="192"/>
      <c r="F1365" s="192"/>
      <c r="G1365" s="193"/>
      <c r="H1365" s="105" t="n">
        <f aca="false">'[2]$ зима'!j1365-'[2]$ зима'!au1365-'[2]$ зима'!at1365-'[2]$ зима'!as1365-'[2]$ зима'!ar1365-'[2]$ зима'!aq1365-'[2]$ зима'!ap1365-'[2]$ зима'!an1365-'[2]$ зима'!am1365-'[2]$ зима'!al1365-'[2]$ зима'!ak1365-'[2]$ зима'!aj1365-'[2]$ зима'!ah1365-'[2]$ зима'!ag1365-'[2]$ зима'!af1365-'[2]$ зима'!ae1365-'[2]$ зима'!ad1365-'[2]$ зима'!ab1365-'[2]$ зима'!aa1365-'[2]$ зима'!z1365-'[2]$ зима'!y1365-'[2]$ зима'!x1365-'[2]$ зима'!v1365-'[2]$ зима'!u1365-'[2]$ зима'!t1365-'[2]$ зима'!s1365-'[2]$ зима'!r1365-'[2]$ зима'!p1365-'[2]$ зима'!o1365-'[2]$ зима'!n1365-'[2]$ зима'!m1365-'[2]$ зима'!l1365+'[2]$ зима'!q1365+'[2]$ зима'!w1365+'[2]$ зима'!ac1365+'[2]$ зима'!ai1365+'[2]$ зима'!ao1365+'[2]$ зима'!k1365</f>
        <v>4</v>
      </c>
      <c r="I1365" s="191" t="n">
        <f aca="false">'[2]$ зима'!ay1365*1.1</f>
        <v>4158</v>
      </c>
    </row>
    <row r="1366" customFormat="false" ht="15" hidden="false" customHeight="false" outlineLevel="0" collapsed="false">
      <c r="A1366" s="196" t="s">
        <v>2074</v>
      </c>
      <c r="B1366" s="149" t="s">
        <v>593</v>
      </c>
      <c r="C1366" s="148" t="s">
        <v>3735</v>
      </c>
      <c r="D1366" s="148"/>
      <c r="E1366" s="192" t="n">
        <v>103</v>
      </c>
      <c r="F1366" s="192" t="s">
        <v>814</v>
      </c>
      <c r="G1366" s="193" t="s">
        <v>849</v>
      </c>
      <c r="H1366" s="105" t="n">
        <f aca="false">'[2]$ зима'!j1366-'[2]$ зима'!au1366-'[2]$ зима'!at1366-'[2]$ зима'!as1366-'[2]$ зима'!ar1366-'[2]$ зима'!aq1366-'[2]$ зима'!ap1366-'[2]$ зима'!an1366-'[2]$ зима'!am1366-'[2]$ зима'!al1366-'[2]$ зима'!ak1366-'[2]$ зима'!aj1366-'[2]$ зима'!ah1366-'[2]$ зима'!ag1366-'[2]$ зима'!af1366-'[2]$ зима'!ae1366-'[2]$ зима'!ad1366-'[2]$ зима'!ab1366-'[2]$ зима'!aa1366-'[2]$ зима'!z1366-'[2]$ зима'!y1366-'[2]$ зима'!x1366-'[2]$ зима'!v1366-'[2]$ зима'!u1366-'[2]$ зима'!t1366-'[2]$ зима'!s1366-'[2]$ зима'!r1366-'[2]$ зима'!p1366-'[2]$ зима'!o1366-'[2]$ зима'!n1366-'[2]$ зима'!m1366-'[2]$ зима'!l1366+'[2]$ зима'!q1366+'[2]$ зима'!w1366+'[2]$ зима'!ac1366+'[2]$ зима'!ai1366+'[2]$ зима'!ao1366+'[2]$ зима'!k1366</f>
        <v>4</v>
      </c>
      <c r="I1366" s="191" t="n">
        <f aca="false">'[2]$ зима'!ay1366*1.1</f>
        <v>5852</v>
      </c>
      <c r="J1366" s="171" t="n">
        <v>2017</v>
      </c>
    </row>
    <row r="1367" customFormat="false" ht="15" hidden="true" customHeight="false" outlineLevel="0" collapsed="false">
      <c r="A1367" s="196" t="s">
        <v>2074</v>
      </c>
      <c r="B1367" s="149" t="s">
        <v>3142</v>
      </c>
      <c r="C1367" s="148" t="s">
        <v>3785</v>
      </c>
      <c r="D1367" s="148"/>
      <c r="E1367" s="148" t="n">
        <v>103</v>
      </c>
      <c r="F1367" s="148" t="s">
        <v>970</v>
      </c>
      <c r="G1367" s="193"/>
      <c r="H1367" s="105" t="n">
        <f aca="false">'[2]$ зима'!j1367-'[2]$ зима'!au1367-'[2]$ зима'!at1367-'[2]$ зима'!as1367-'[2]$ зима'!ar1367-'[2]$ зима'!aq1367-'[2]$ зима'!ap1367-'[2]$ зима'!an1367-'[2]$ зима'!am1367-'[2]$ зима'!al1367-'[2]$ зима'!ak1367-'[2]$ зима'!aj1367-'[2]$ зима'!ah1367-'[2]$ зима'!ag1367-'[2]$ зима'!af1367-'[2]$ зима'!ae1367-'[2]$ зима'!ad1367-'[2]$ зима'!ab1367-'[2]$ зима'!aa1367-'[2]$ зима'!z1367-'[2]$ зима'!y1367-'[2]$ зима'!x1367-'[2]$ зима'!v1367-'[2]$ зима'!u1367-'[2]$ зима'!t1367-'[2]$ зима'!s1367-'[2]$ зима'!r1367-'[2]$ зима'!p1367-'[2]$ зима'!o1367-'[2]$ зима'!n1367-'[2]$ зима'!m1367-'[2]$ зима'!l1367+'[2]$ зима'!q1367+'[2]$ зима'!w1367+'[2]$ зима'!ac1367+'[2]$ зима'!ai1367+'[2]$ зима'!ao1367+'[2]$ зима'!k1367</f>
        <v>0</v>
      </c>
      <c r="I1367" s="191" t="n">
        <f aca="false">'[2]$ зима'!ay1367*1.1</f>
        <v>3264.8</v>
      </c>
    </row>
    <row r="1368" customFormat="false" ht="15" hidden="true" customHeight="false" outlineLevel="0" collapsed="false">
      <c r="A1368" s="196" t="s">
        <v>2074</v>
      </c>
      <c r="B1368" s="149" t="s">
        <v>1028</v>
      </c>
      <c r="C1368" s="148" t="s">
        <v>3786</v>
      </c>
      <c r="D1368" s="148"/>
      <c r="E1368" s="148"/>
      <c r="F1368" s="148"/>
      <c r="G1368" s="193"/>
      <c r="H1368" s="105" t="n">
        <f aca="false">'[2]$ зима'!j1368-'[2]$ зима'!au1368-'[2]$ зима'!at1368-'[2]$ зима'!as1368-'[2]$ зима'!ar1368-'[2]$ зима'!aq1368-'[2]$ зима'!ap1368-'[2]$ зима'!an1368-'[2]$ зима'!am1368-'[2]$ зима'!al1368-'[2]$ зима'!ak1368-'[2]$ зима'!aj1368-'[2]$ зима'!ah1368-'[2]$ зима'!ag1368-'[2]$ зима'!af1368-'[2]$ зима'!ae1368-'[2]$ зима'!ad1368-'[2]$ зима'!ab1368-'[2]$ зима'!aa1368-'[2]$ зима'!z1368-'[2]$ зима'!y1368-'[2]$ зима'!x1368-'[2]$ зима'!v1368-'[2]$ зима'!u1368-'[2]$ зима'!t1368-'[2]$ зима'!s1368-'[2]$ зима'!r1368-'[2]$ зима'!p1368-'[2]$ зима'!o1368-'[2]$ зима'!n1368-'[2]$ зима'!m1368-'[2]$ зима'!l1368+'[2]$ зима'!q1368+'[2]$ зима'!w1368+'[2]$ зима'!ac1368+'[2]$ зима'!ai1368+'[2]$ зима'!ao1368+'[2]$ зима'!k1368</f>
        <v>0</v>
      </c>
      <c r="I1368" s="191" t="n">
        <f aca="false">'[2]$ зима'!ay1368*1.1</f>
        <v>4466</v>
      </c>
    </row>
    <row r="1369" customFormat="false" ht="15" hidden="false" customHeight="false" outlineLevel="0" collapsed="false">
      <c r="A1369" s="232" t="s">
        <v>2083</v>
      </c>
      <c r="B1369" s="157" t="s">
        <v>601</v>
      </c>
      <c r="C1369" s="158" t="s">
        <v>3399</v>
      </c>
      <c r="D1369" s="158"/>
      <c r="E1369" s="224" t="n">
        <v>109</v>
      </c>
      <c r="F1369" s="224" t="s">
        <v>562</v>
      </c>
      <c r="G1369" s="218"/>
      <c r="H1369" s="105" t="n">
        <f aca="false">'[2]$ зима'!j1369-'[2]$ зима'!au1369-'[2]$ зима'!at1369-'[2]$ зима'!as1369-'[2]$ зима'!ar1369-'[2]$ зима'!aq1369-'[2]$ зима'!ap1369-'[2]$ зима'!an1369-'[2]$ зима'!am1369-'[2]$ зима'!al1369-'[2]$ зима'!ak1369-'[2]$ зима'!aj1369-'[2]$ зима'!ah1369-'[2]$ зима'!ag1369-'[2]$ зима'!af1369-'[2]$ зима'!ae1369-'[2]$ зима'!ad1369-'[2]$ зима'!ab1369-'[2]$ зима'!aa1369-'[2]$ зима'!z1369-'[2]$ зима'!y1369-'[2]$ зима'!x1369-'[2]$ зима'!v1369-'[2]$ зима'!u1369-'[2]$ зима'!t1369-'[2]$ зима'!s1369-'[2]$ зима'!r1369-'[2]$ зима'!p1369-'[2]$ зима'!o1369-'[2]$ зима'!n1369-'[2]$ зима'!m1369-'[2]$ зима'!l1369+'[2]$ зима'!q1369+'[2]$ зима'!w1369+'[2]$ зима'!ac1369+'[2]$ зима'!ai1369+'[2]$ зима'!ao1369+'[2]$ зима'!k1369</f>
        <v>4</v>
      </c>
      <c r="I1369" s="219" t="n">
        <f aca="false">'[2]$ зима'!ay1369*1.1</f>
        <v>2750</v>
      </c>
      <c r="J1369" s="234"/>
    </row>
    <row r="1370" customFormat="false" ht="15" hidden="true" customHeight="false" outlineLevel="0" collapsed="false">
      <c r="A1370" s="196" t="s">
        <v>2083</v>
      </c>
      <c r="B1370" s="149" t="s">
        <v>601</v>
      </c>
      <c r="C1370" s="148" t="s">
        <v>3753</v>
      </c>
      <c r="D1370" s="148"/>
      <c r="E1370" s="148" t="n">
        <v>109</v>
      </c>
      <c r="F1370" s="148" t="s">
        <v>832</v>
      </c>
      <c r="G1370" s="193" t="s">
        <v>1954</v>
      </c>
      <c r="H1370" s="105" t="n">
        <f aca="false">'[2]$ зима'!j1370-'[2]$ зима'!au1370-'[2]$ зима'!at1370-'[2]$ зима'!as1370-'[2]$ зима'!ar1370-'[2]$ зима'!aq1370-'[2]$ зима'!ap1370-'[2]$ зима'!an1370-'[2]$ зима'!am1370-'[2]$ зима'!al1370-'[2]$ зима'!ak1370-'[2]$ зима'!aj1370-'[2]$ зима'!ah1370-'[2]$ зима'!ag1370-'[2]$ зима'!af1370-'[2]$ зима'!ae1370-'[2]$ зима'!ad1370-'[2]$ зима'!ab1370-'[2]$ зима'!aa1370-'[2]$ зима'!z1370-'[2]$ зима'!y1370-'[2]$ зима'!x1370-'[2]$ зима'!v1370-'[2]$ зима'!u1370-'[2]$ зима'!t1370-'[2]$ зима'!s1370-'[2]$ зима'!r1370-'[2]$ зима'!p1370-'[2]$ зима'!o1370-'[2]$ зима'!n1370-'[2]$ зима'!m1370-'[2]$ зима'!l1370+'[2]$ зима'!q1370+'[2]$ зима'!w1370+'[2]$ зима'!ac1370+'[2]$ зима'!ai1370+'[2]$ зима'!ao1370+'[2]$ зима'!k1370</f>
        <v>0</v>
      </c>
      <c r="I1370" s="191" t="n">
        <f aca="false">'[2]$ зима'!ay1370*1.1</f>
        <v>4096.4</v>
      </c>
    </row>
    <row r="1371" customFormat="false" ht="15" hidden="false" customHeight="false" outlineLevel="0" collapsed="false">
      <c r="A1371" s="196" t="s">
        <v>2083</v>
      </c>
      <c r="B1371" s="149" t="s">
        <v>658</v>
      </c>
      <c r="C1371" s="148" t="s">
        <v>3617</v>
      </c>
      <c r="D1371" s="148" t="s">
        <v>3787</v>
      </c>
      <c r="E1371" s="192"/>
      <c r="F1371" s="192"/>
      <c r="G1371" s="193"/>
      <c r="H1371" s="105" t="n">
        <f aca="false">'[2]$ зима'!j1371-'[2]$ зима'!au1371-'[2]$ зима'!at1371-'[2]$ зима'!as1371-'[2]$ зима'!ar1371-'[2]$ зима'!aq1371-'[2]$ зима'!ap1371-'[2]$ зима'!an1371-'[2]$ зима'!am1371-'[2]$ зима'!al1371-'[2]$ зима'!ak1371-'[2]$ зима'!aj1371-'[2]$ зима'!ah1371-'[2]$ зима'!ag1371-'[2]$ зима'!af1371-'[2]$ зима'!ae1371-'[2]$ зима'!ad1371-'[2]$ зима'!ab1371-'[2]$ зима'!aa1371-'[2]$ зима'!z1371-'[2]$ зима'!y1371-'[2]$ зима'!x1371-'[2]$ зима'!v1371-'[2]$ зима'!u1371-'[2]$ зима'!t1371-'[2]$ зима'!s1371-'[2]$ зима'!r1371-'[2]$ зима'!p1371-'[2]$ зима'!o1371-'[2]$ зима'!n1371-'[2]$ зима'!m1371-'[2]$ зима'!l1371+'[2]$ зима'!q1371+'[2]$ зима'!w1371+'[2]$ зима'!ac1371+'[2]$ зима'!ai1371+'[2]$ зима'!ao1371+'[2]$ зима'!k1371</f>
        <v>4</v>
      </c>
      <c r="I1371" s="191" t="n">
        <f aca="false">'[2]$ зима'!ay1371*1.1</f>
        <v>3388</v>
      </c>
      <c r="J1371" s="171" t="n">
        <v>2009</v>
      </c>
    </row>
    <row r="1372" customFormat="false" ht="15" hidden="false" customHeight="false" outlineLevel="0" collapsed="false">
      <c r="A1372" s="196" t="s">
        <v>2083</v>
      </c>
      <c r="B1372" s="149" t="s">
        <v>707</v>
      </c>
      <c r="C1372" s="148" t="s">
        <v>3673</v>
      </c>
      <c r="D1372" s="148"/>
      <c r="E1372" s="192"/>
      <c r="F1372" s="192"/>
      <c r="G1372" s="193" t="s">
        <v>843</v>
      </c>
      <c r="H1372" s="105" t="n">
        <f aca="false">'[2]$ зима'!j1372-'[2]$ зима'!au1372-'[2]$ зима'!at1372-'[2]$ зима'!as1372-'[2]$ зима'!ar1372-'[2]$ зима'!aq1372-'[2]$ зима'!ap1372-'[2]$ зима'!an1372-'[2]$ зима'!am1372-'[2]$ зима'!al1372-'[2]$ зима'!ak1372-'[2]$ зима'!aj1372-'[2]$ зима'!ah1372-'[2]$ зима'!ag1372-'[2]$ зима'!af1372-'[2]$ зима'!ae1372-'[2]$ зима'!ad1372-'[2]$ зима'!ab1372-'[2]$ зима'!aa1372-'[2]$ зима'!z1372-'[2]$ зима'!y1372-'[2]$ зима'!x1372-'[2]$ зима'!v1372-'[2]$ зима'!u1372-'[2]$ зима'!t1372-'[2]$ зима'!s1372-'[2]$ зима'!r1372-'[2]$ зима'!p1372-'[2]$ зима'!o1372-'[2]$ зима'!n1372-'[2]$ зима'!m1372-'[2]$ зима'!l1372+'[2]$ зима'!q1372+'[2]$ зима'!w1372+'[2]$ зима'!ac1372+'[2]$ зима'!ai1372+'[2]$ зима'!ao1372+'[2]$ зима'!k1372</f>
        <v>4</v>
      </c>
      <c r="I1372" s="191" t="n">
        <f aca="false">'[2]$ зима'!ay1372*1.1</f>
        <v>3850</v>
      </c>
      <c r="J1372" s="171" t="n">
        <v>2016</v>
      </c>
    </row>
    <row r="1373" customFormat="false" ht="15" hidden="true" customHeight="false" outlineLevel="0" collapsed="false">
      <c r="A1373" s="188" t="s">
        <v>2083</v>
      </c>
      <c r="B1373" s="198" t="s">
        <v>553</v>
      </c>
      <c r="C1373" s="194" t="s">
        <v>3321</v>
      </c>
      <c r="D1373" s="194"/>
      <c r="E1373" s="194"/>
      <c r="F1373" s="194"/>
      <c r="G1373" s="200"/>
      <c r="H1373" s="105" t="n">
        <f aca="false">'[2]$ зима'!j1373-'[2]$ зима'!au1373-'[2]$ зима'!at1373-'[2]$ зима'!as1373-'[2]$ зима'!ar1373-'[2]$ зима'!aq1373-'[2]$ зима'!ap1373-'[2]$ зима'!an1373-'[2]$ зима'!am1373-'[2]$ зима'!al1373-'[2]$ зима'!ak1373-'[2]$ зима'!aj1373-'[2]$ зима'!ah1373-'[2]$ зима'!ag1373-'[2]$ зима'!af1373-'[2]$ зима'!ae1373-'[2]$ зима'!ad1373-'[2]$ зима'!ab1373-'[2]$ зима'!aa1373-'[2]$ зима'!z1373-'[2]$ зима'!y1373-'[2]$ зима'!x1373-'[2]$ зима'!v1373-'[2]$ зима'!u1373-'[2]$ зима'!t1373-'[2]$ зима'!s1373-'[2]$ зима'!r1373-'[2]$ зима'!p1373-'[2]$ зима'!o1373-'[2]$ зима'!n1373-'[2]$ зима'!m1373-'[2]$ зима'!l1373+'[2]$ зима'!q1373+'[2]$ зима'!w1373+'[2]$ зима'!ac1373+'[2]$ зима'!ai1373+'[2]$ зима'!ao1373+'[2]$ зима'!k1373</f>
        <v>0</v>
      </c>
      <c r="I1373" s="191" t="n">
        <f aca="false">'[2]$ зима'!ay1373*1.1</f>
        <v>2156</v>
      </c>
      <c r="J1373" s="201"/>
    </row>
    <row r="1374" customFormat="false" ht="15" hidden="true" customHeight="false" outlineLevel="0" collapsed="false">
      <c r="A1374" s="188" t="s">
        <v>2083</v>
      </c>
      <c r="B1374" s="198" t="s">
        <v>557</v>
      </c>
      <c r="C1374" s="194" t="s">
        <v>3661</v>
      </c>
      <c r="D1374" s="194"/>
      <c r="E1374" s="194"/>
      <c r="F1374" s="194"/>
      <c r="G1374" s="200"/>
      <c r="H1374" s="105" t="n">
        <f aca="false">'[2]$ зима'!j1374-'[2]$ зима'!au1374-'[2]$ зима'!at1374-'[2]$ зима'!as1374-'[2]$ зима'!ar1374-'[2]$ зима'!aq1374-'[2]$ зима'!ap1374-'[2]$ зима'!an1374-'[2]$ зима'!am1374-'[2]$ зима'!al1374-'[2]$ зима'!ak1374-'[2]$ зима'!aj1374-'[2]$ зима'!ah1374-'[2]$ зима'!ag1374-'[2]$ зима'!af1374-'[2]$ зима'!ae1374-'[2]$ зима'!ad1374-'[2]$ зима'!ab1374-'[2]$ зима'!aa1374-'[2]$ зима'!z1374-'[2]$ зима'!y1374-'[2]$ зима'!x1374-'[2]$ зима'!v1374-'[2]$ зима'!u1374-'[2]$ зима'!t1374-'[2]$ зима'!s1374-'[2]$ зима'!r1374-'[2]$ зима'!p1374-'[2]$ зима'!o1374-'[2]$ зима'!n1374-'[2]$ зима'!m1374-'[2]$ зима'!l1374+'[2]$ зима'!q1374+'[2]$ зима'!w1374+'[2]$ зима'!ac1374+'[2]$ зима'!ai1374+'[2]$ зима'!ao1374+'[2]$ зима'!k1374</f>
        <v>0</v>
      </c>
      <c r="I1374" s="191" t="n">
        <f aca="false">'[2]$ зима'!ay1374*1.1</f>
        <v>2618</v>
      </c>
      <c r="J1374" s="201"/>
    </row>
    <row r="1375" customFormat="false" ht="15" hidden="true" customHeight="false" outlineLevel="0" collapsed="false">
      <c r="A1375" s="196" t="s">
        <v>2083</v>
      </c>
      <c r="B1375" s="149" t="s">
        <v>2480</v>
      </c>
      <c r="C1375" s="148" t="s">
        <v>3124</v>
      </c>
      <c r="D1375" s="148"/>
      <c r="E1375" s="148"/>
      <c r="F1375" s="148"/>
      <c r="G1375" s="193"/>
      <c r="H1375" s="105" t="n">
        <f aca="false">'[2]$ зима'!j1375-'[2]$ зима'!au1375-'[2]$ зима'!at1375-'[2]$ зима'!as1375-'[2]$ зима'!ar1375-'[2]$ зима'!aq1375-'[2]$ зима'!ap1375-'[2]$ зима'!an1375-'[2]$ зима'!am1375-'[2]$ зима'!al1375-'[2]$ зима'!ak1375-'[2]$ зима'!aj1375-'[2]$ зима'!ah1375-'[2]$ зима'!ag1375-'[2]$ зима'!af1375-'[2]$ зима'!ae1375-'[2]$ зима'!ad1375-'[2]$ зима'!ab1375-'[2]$ зима'!aa1375-'[2]$ зима'!z1375-'[2]$ зима'!y1375-'[2]$ зима'!x1375-'[2]$ зима'!v1375-'[2]$ зима'!u1375-'[2]$ зима'!t1375-'[2]$ зима'!s1375-'[2]$ зима'!r1375-'[2]$ зима'!p1375-'[2]$ зима'!o1375-'[2]$ зима'!n1375-'[2]$ зима'!m1375-'[2]$ зима'!l1375+'[2]$ зима'!q1375+'[2]$ зима'!w1375+'[2]$ зима'!ac1375+'[2]$ зима'!ai1375+'[2]$ зима'!ao1375+'[2]$ зима'!k1375</f>
        <v>0</v>
      </c>
      <c r="I1375" s="191" t="n">
        <f aca="false">'[2]$ зима'!ay1375*1.1</f>
        <v>2156</v>
      </c>
      <c r="J1375" s="171" t="n">
        <v>2011</v>
      </c>
    </row>
    <row r="1376" customFormat="false" ht="15" hidden="false" customHeight="false" outlineLevel="0" collapsed="false">
      <c r="A1376" s="196" t="s">
        <v>2083</v>
      </c>
      <c r="B1376" s="149" t="s">
        <v>606</v>
      </c>
      <c r="C1376" s="148" t="s">
        <v>3715</v>
      </c>
      <c r="D1376" s="148"/>
      <c r="E1376" s="192"/>
      <c r="F1376" s="192" t="s">
        <v>3286</v>
      </c>
      <c r="G1376" s="193"/>
      <c r="H1376" s="105" t="n">
        <f aca="false">'[2]$ зима'!j1376-'[2]$ зима'!au1376-'[2]$ зима'!at1376-'[2]$ зима'!as1376-'[2]$ зима'!ar1376-'[2]$ зима'!aq1376-'[2]$ зима'!ap1376-'[2]$ зима'!an1376-'[2]$ зима'!am1376-'[2]$ зима'!al1376-'[2]$ зима'!ak1376-'[2]$ зима'!aj1376-'[2]$ зима'!ah1376-'[2]$ зима'!ag1376-'[2]$ зима'!af1376-'[2]$ зима'!ae1376-'[2]$ зима'!ad1376-'[2]$ зима'!ab1376-'[2]$ зима'!aa1376-'[2]$ зима'!z1376-'[2]$ зима'!y1376-'[2]$ зима'!x1376-'[2]$ зима'!v1376-'[2]$ зима'!u1376-'[2]$ зима'!t1376-'[2]$ зима'!s1376-'[2]$ зима'!r1376-'[2]$ зима'!p1376-'[2]$ зима'!o1376-'[2]$ зима'!n1376-'[2]$ зима'!m1376-'[2]$ зима'!l1376+'[2]$ зима'!q1376+'[2]$ зима'!w1376+'[2]$ зима'!ac1376+'[2]$ зима'!ai1376+'[2]$ зима'!ao1376+'[2]$ зима'!k1376</f>
        <v>4</v>
      </c>
      <c r="I1376" s="191" t="n">
        <f aca="false">'[2]$ зима'!ay1376*1.1</f>
        <v>3542</v>
      </c>
      <c r="J1376" s="171" t="n">
        <v>2017</v>
      </c>
    </row>
    <row r="1377" customFormat="false" ht="15" hidden="false" customHeight="false" outlineLevel="0" collapsed="false">
      <c r="A1377" s="217" t="s">
        <v>2083</v>
      </c>
      <c r="B1377" s="157" t="s">
        <v>668</v>
      </c>
      <c r="C1377" s="158" t="s">
        <v>3654</v>
      </c>
      <c r="D1377" s="158"/>
      <c r="E1377" s="224"/>
      <c r="F1377" s="224"/>
      <c r="G1377" s="218"/>
      <c r="H1377" s="105" t="n">
        <f aca="false">'[2]$ зима'!j1377-'[2]$ зима'!au1377-'[2]$ зима'!at1377-'[2]$ зима'!as1377-'[2]$ зима'!ar1377-'[2]$ зима'!aq1377-'[2]$ зима'!ap1377-'[2]$ зима'!an1377-'[2]$ зима'!am1377-'[2]$ зима'!al1377-'[2]$ зима'!ak1377-'[2]$ зима'!aj1377-'[2]$ зима'!ah1377-'[2]$ зима'!ag1377-'[2]$ зима'!af1377-'[2]$ зима'!ae1377-'[2]$ зима'!ad1377-'[2]$ зима'!ab1377-'[2]$ зима'!aa1377-'[2]$ зима'!z1377-'[2]$ зима'!y1377-'[2]$ зима'!x1377-'[2]$ зима'!v1377-'[2]$ зима'!u1377-'[2]$ зима'!t1377-'[2]$ зима'!s1377-'[2]$ зима'!r1377-'[2]$ зима'!p1377-'[2]$ зима'!o1377-'[2]$ зима'!n1377-'[2]$ зима'!m1377-'[2]$ зима'!l1377+'[2]$ зима'!q1377+'[2]$ зима'!w1377+'[2]$ зима'!ac1377+'[2]$ зима'!ai1377+'[2]$ зима'!ao1377+'[2]$ зима'!k1377</f>
        <v>4</v>
      </c>
      <c r="I1377" s="219" t="n">
        <f aca="false">'[2]$ зима'!ay1377*1.1</f>
        <v>2464</v>
      </c>
    </row>
    <row r="1378" customFormat="false" ht="15" hidden="true" customHeight="false" outlineLevel="0" collapsed="false">
      <c r="A1378" s="188" t="s">
        <v>2083</v>
      </c>
      <c r="B1378" s="149" t="s">
        <v>668</v>
      </c>
      <c r="C1378" s="148" t="s">
        <v>3664</v>
      </c>
      <c r="D1378" s="148"/>
      <c r="E1378" s="148"/>
      <c r="F1378" s="148"/>
      <c r="G1378" s="193"/>
      <c r="H1378" s="105" t="n">
        <f aca="false">'[2]$ зима'!j1378-'[2]$ зима'!au1378-'[2]$ зима'!at1378-'[2]$ зима'!as1378-'[2]$ зима'!ar1378-'[2]$ зима'!aq1378-'[2]$ зима'!ap1378-'[2]$ зима'!an1378-'[2]$ зима'!am1378-'[2]$ зима'!al1378-'[2]$ зима'!ak1378-'[2]$ зима'!aj1378-'[2]$ зима'!ah1378-'[2]$ зима'!ag1378-'[2]$ зима'!af1378-'[2]$ зима'!ae1378-'[2]$ зима'!ad1378-'[2]$ зима'!ab1378-'[2]$ зима'!aa1378-'[2]$ зима'!z1378-'[2]$ зима'!y1378-'[2]$ зима'!x1378-'[2]$ зима'!v1378-'[2]$ зима'!u1378-'[2]$ зима'!t1378-'[2]$ зима'!s1378-'[2]$ зима'!r1378-'[2]$ зима'!p1378-'[2]$ зима'!o1378-'[2]$ зима'!n1378-'[2]$ зима'!m1378-'[2]$ зима'!l1378+'[2]$ зима'!q1378+'[2]$ зима'!w1378+'[2]$ зима'!ac1378+'[2]$ зима'!ai1378+'[2]$ зима'!ao1378+'[2]$ зима'!k1378</f>
        <v>0</v>
      </c>
      <c r="I1378" s="191" t="n">
        <f aca="false">'[2]$ зима'!ay1378*1.1</f>
        <v>2525.6</v>
      </c>
    </row>
    <row r="1379" customFormat="false" ht="15" hidden="false" customHeight="false" outlineLevel="0" collapsed="false">
      <c r="A1379" s="188" t="s">
        <v>2083</v>
      </c>
      <c r="B1379" s="149" t="s">
        <v>574</v>
      </c>
      <c r="C1379" s="148" t="s">
        <v>3515</v>
      </c>
      <c r="D1379" s="148"/>
      <c r="E1379" s="192"/>
      <c r="F1379" s="192"/>
      <c r="G1379" s="193" t="s">
        <v>576</v>
      </c>
      <c r="H1379" s="105" t="n">
        <f aca="false">'[2]$ зима'!j1379-'[2]$ зима'!au1379-'[2]$ зима'!at1379-'[2]$ зима'!as1379-'[2]$ зима'!ar1379-'[2]$ зима'!aq1379-'[2]$ зима'!ap1379-'[2]$ зима'!an1379-'[2]$ зима'!am1379-'[2]$ зима'!al1379-'[2]$ зима'!ak1379-'[2]$ зима'!aj1379-'[2]$ зима'!ah1379-'[2]$ зима'!ag1379-'[2]$ зима'!af1379-'[2]$ зима'!ae1379-'[2]$ зима'!ad1379-'[2]$ зима'!ab1379-'[2]$ зима'!aa1379-'[2]$ зима'!z1379-'[2]$ зима'!y1379-'[2]$ зима'!x1379-'[2]$ зима'!v1379-'[2]$ зима'!u1379-'[2]$ зима'!t1379-'[2]$ зима'!s1379-'[2]$ зима'!r1379-'[2]$ зима'!p1379-'[2]$ зима'!o1379-'[2]$ зима'!n1379-'[2]$ зима'!m1379-'[2]$ зима'!l1379+'[2]$ зима'!q1379+'[2]$ зима'!w1379+'[2]$ зима'!ac1379+'[2]$ зима'!ai1379+'[2]$ зима'!ao1379+'[2]$ зима'!k1379</f>
        <v>4</v>
      </c>
      <c r="I1379" s="191" t="n">
        <f aca="false">'[2]$ зима'!ay1379*1.1</f>
        <v>2186.8</v>
      </c>
      <c r="J1379" s="171" t="n">
        <v>2010</v>
      </c>
    </row>
    <row r="1380" customFormat="false" ht="15" hidden="false" customHeight="false" outlineLevel="0" collapsed="false">
      <c r="A1380" s="188" t="s">
        <v>2083</v>
      </c>
      <c r="B1380" s="149" t="s">
        <v>1471</v>
      </c>
      <c r="C1380" s="148" t="s">
        <v>3631</v>
      </c>
      <c r="D1380" s="148"/>
      <c r="E1380" s="192"/>
      <c r="F1380" s="192" t="s">
        <v>3286</v>
      </c>
      <c r="G1380" s="193" t="s">
        <v>609</v>
      </c>
      <c r="H1380" s="105" t="n">
        <f aca="false">'[2]$ зима'!j1380-'[2]$ зима'!au1380-'[2]$ зима'!at1380-'[2]$ зима'!as1380-'[2]$ зима'!ar1380-'[2]$ зима'!aq1380-'[2]$ зима'!ap1380-'[2]$ зима'!an1380-'[2]$ зима'!am1380-'[2]$ зима'!al1380-'[2]$ зима'!ak1380-'[2]$ зима'!aj1380-'[2]$ зима'!ah1380-'[2]$ зима'!ag1380-'[2]$ зима'!af1380-'[2]$ зима'!ae1380-'[2]$ зима'!ad1380-'[2]$ зима'!ab1380-'[2]$ зима'!aa1380-'[2]$ зима'!z1380-'[2]$ зима'!y1380-'[2]$ зима'!x1380-'[2]$ зима'!v1380-'[2]$ зима'!u1380-'[2]$ зима'!t1380-'[2]$ зима'!s1380-'[2]$ зима'!r1380-'[2]$ зима'!p1380-'[2]$ зима'!o1380-'[2]$ зима'!n1380-'[2]$ зима'!m1380-'[2]$ зима'!l1380+'[2]$ зима'!q1380+'[2]$ зима'!w1380+'[2]$ зима'!ac1380+'[2]$ зима'!ai1380+'[2]$ зима'!ao1380+'[2]$ зима'!k1380</f>
        <v>4</v>
      </c>
      <c r="I1380" s="191" t="n">
        <f aca="false">'[2]$ зима'!ay1380*1.1</f>
        <v>2864.4</v>
      </c>
      <c r="J1380" s="171" t="n">
        <v>2018</v>
      </c>
    </row>
    <row r="1381" customFormat="false" ht="15" hidden="true" customHeight="false" outlineLevel="0" collapsed="false">
      <c r="A1381" s="188" t="s">
        <v>2083</v>
      </c>
      <c r="B1381" s="149" t="s">
        <v>583</v>
      </c>
      <c r="C1381" s="148" t="s">
        <v>3313</v>
      </c>
      <c r="D1381" s="148"/>
      <c r="E1381" s="148"/>
      <c r="F1381" s="148"/>
      <c r="G1381" s="193"/>
      <c r="H1381" s="105" t="n">
        <f aca="false">'[2]$ зима'!j1381-'[2]$ зима'!au1381-'[2]$ зима'!at1381-'[2]$ зима'!as1381-'[2]$ зима'!ar1381-'[2]$ зима'!aq1381-'[2]$ зима'!ap1381-'[2]$ зима'!an1381-'[2]$ зима'!am1381-'[2]$ зима'!al1381-'[2]$ зима'!ak1381-'[2]$ зима'!aj1381-'[2]$ зима'!ah1381-'[2]$ зима'!ag1381-'[2]$ зима'!af1381-'[2]$ зима'!ae1381-'[2]$ зима'!ad1381-'[2]$ зима'!ab1381-'[2]$ зима'!aa1381-'[2]$ зима'!z1381-'[2]$ зима'!y1381-'[2]$ зима'!x1381-'[2]$ зима'!v1381-'[2]$ зима'!u1381-'[2]$ зима'!t1381-'[2]$ зима'!s1381-'[2]$ зима'!r1381-'[2]$ зима'!p1381-'[2]$ зима'!o1381-'[2]$ зима'!n1381-'[2]$ зима'!m1381-'[2]$ зима'!l1381+'[2]$ зима'!q1381+'[2]$ зима'!w1381+'[2]$ зима'!ac1381+'[2]$ зима'!ai1381+'[2]$ зима'!ao1381+'[2]$ зима'!k1381</f>
        <v>0</v>
      </c>
      <c r="I1381" s="191" t="n">
        <f aca="false">'[2]$ зима'!ay1381*1.1</f>
        <v>2464</v>
      </c>
    </row>
    <row r="1382" customFormat="false" ht="15" hidden="false" customHeight="false" outlineLevel="0" collapsed="false">
      <c r="A1382" s="188" t="s">
        <v>2083</v>
      </c>
      <c r="B1382" s="149" t="s">
        <v>593</v>
      </c>
      <c r="C1382" s="148" t="s">
        <v>3534</v>
      </c>
      <c r="D1382" s="148"/>
      <c r="E1382" s="192" t="n">
        <v>109</v>
      </c>
      <c r="F1382" s="192" t="s">
        <v>562</v>
      </c>
      <c r="G1382" s="193" t="s">
        <v>1432</v>
      </c>
      <c r="H1382" s="105" t="n">
        <f aca="false">'[2]$ зима'!j1382-'[2]$ зима'!au1382-'[2]$ зима'!at1382-'[2]$ зима'!as1382-'[2]$ зима'!ar1382-'[2]$ зима'!aq1382-'[2]$ зима'!ap1382-'[2]$ зима'!an1382-'[2]$ зима'!am1382-'[2]$ зима'!al1382-'[2]$ зима'!ak1382-'[2]$ зима'!aj1382-'[2]$ зима'!ah1382-'[2]$ зима'!ag1382-'[2]$ зима'!af1382-'[2]$ зима'!ae1382-'[2]$ зима'!ad1382-'[2]$ зима'!ab1382-'[2]$ зима'!aa1382-'[2]$ зима'!z1382-'[2]$ зима'!y1382-'[2]$ зима'!x1382-'[2]$ зима'!v1382-'[2]$ зима'!u1382-'[2]$ зима'!t1382-'[2]$ зима'!s1382-'[2]$ зима'!r1382-'[2]$ зима'!p1382-'[2]$ зима'!o1382-'[2]$ зима'!n1382-'[2]$ зима'!m1382-'[2]$ зима'!l1382+'[2]$ зима'!q1382+'[2]$ зима'!w1382+'[2]$ зима'!ac1382+'[2]$ зима'!ai1382+'[2]$ зима'!ao1382+'[2]$ зима'!k1382</f>
        <v>4</v>
      </c>
      <c r="I1382" s="191" t="n">
        <f aca="false">'[2]$ зима'!ay1382*1.1</f>
        <v>4312</v>
      </c>
      <c r="J1382" s="171" t="s">
        <v>3788</v>
      </c>
    </row>
    <row r="1383" customFormat="false" ht="15" hidden="true" customHeight="false" outlineLevel="0" collapsed="false">
      <c r="A1383" s="188" t="s">
        <v>2083</v>
      </c>
      <c r="B1383" s="149" t="s">
        <v>593</v>
      </c>
      <c r="C1383" s="148" t="s">
        <v>3789</v>
      </c>
      <c r="D1383" s="148"/>
      <c r="E1383" s="148"/>
      <c r="F1383" s="148"/>
      <c r="G1383" s="193"/>
      <c r="H1383" s="105" t="n">
        <f aca="false">'[2]$ зима'!j1383-'[2]$ зима'!au1383-'[2]$ зима'!at1383-'[2]$ зима'!as1383-'[2]$ зима'!ar1383-'[2]$ зима'!aq1383-'[2]$ зима'!ap1383-'[2]$ зима'!an1383-'[2]$ зима'!am1383-'[2]$ зима'!al1383-'[2]$ зима'!ak1383-'[2]$ зима'!aj1383-'[2]$ зима'!ah1383-'[2]$ зима'!ag1383-'[2]$ зима'!af1383-'[2]$ зима'!ae1383-'[2]$ зима'!ad1383-'[2]$ зима'!ab1383-'[2]$ зима'!aa1383-'[2]$ зима'!z1383-'[2]$ зима'!y1383-'[2]$ зима'!x1383-'[2]$ зима'!v1383-'[2]$ зима'!u1383-'[2]$ зима'!t1383-'[2]$ зима'!s1383-'[2]$ зима'!r1383-'[2]$ зима'!p1383-'[2]$ зима'!o1383-'[2]$ зима'!n1383-'[2]$ зима'!m1383-'[2]$ зима'!l1383+'[2]$ зима'!q1383+'[2]$ зима'!w1383+'[2]$ зима'!ac1383+'[2]$ зима'!ai1383+'[2]$ зима'!ao1383+'[2]$ зима'!k1383</f>
        <v>0</v>
      </c>
      <c r="I1383" s="191" t="n">
        <f aca="false">'[2]$ зима'!ay1383*1.1</f>
        <v>4004</v>
      </c>
    </row>
    <row r="1384" customFormat="false" ht="15" hidden="true" customHeight="false" outlineLevel="0" collapsed="false">
      <c r="A1384" s="188" t="s">
        <v>2083</v>
      </c>
      <c r="B1384" s="149" t="s">
        <v>593</v>
      </c>
      <c r="C1384" s="148" t="s">
        <v>3790</v>
      </c>
      <c r="D1384" s="148"/>
      <c r="E1384" s="148" t="n">
        <v>109</v>
      </c>
      <c r="F1384" s="148" t="s">
        <v>3791</v>
      </c>
      <c r="G1384" s="193" t="s">
        <v>1127</v>
      </c>
      <c r="H1384" s="105" t="n">
        <f aca="false">'[2]$ зима'!j1384-'[2]$ зима'!au1384-'[2]$ зима'!at1384-'[2]$ зима'!as1384-'[2]$ зима'!ar1384-'[2]$ зима'!aq1384-'[2]$ зима'!ap1384-'[2]$ зима'!an1384-'[2]$ зима'!am1384-'[2]$ зима'!al1384-'[2]$ зима'!ak1384-'[2]$ зима'!aj1384-'[2]$ зима'!ah1384-'[2]$ зима'!ag1384-'[2]$ зима'!af1384-'[2]$ зима'!ae1384-'[2]$ зима'!ad1384-'[2]$ зима'!ab1384-'[2]$ зима'!aa1384-'[2]$ зима'!z1384-'[2]$ зима'!y1384-'[2]$ зима'!x1384-'[2]$ зима'!v1384-'[2]$ зима'!u1384-'[2]$ зима'!t1384-'[2]$ зима'!s1384-'[2]$ зима'!r1384-'[2]$ зима'!p1384-'[2]$ зима'!o1384-'[2]$ зима'!n1384-'[2]$ зима'!m1384-'[2]$ зима'!l1384+'[2]$ зима'!q1384+'[2]$ зима'!w1384+'[2]$ зима'!ac1384+'[2]$ зима'!ai1384+'[2]$ зима'!ao1384+'[2]$ зима'!k1384</f>
        <v>0</v>
      </c>
      <c r="I1384" s="191" t="n">
        <f aca="false">'[2]$ зима'!ay1384*1.1</f>
        <v>4312</v>
      </c>
      <c r="J1384" s="171" t="n">
        <v>2014</v>
      </c>
    </row>
    <row r="1385" customFormat="false" ht="15" hidden="true" customHeight="false" outlineLevel="0" collapsed="false">
      <c r="A1385" s="188" t="s">
        <v>2083</v>
      </c>
      <c r="B1385" s="149" t="s">
        <v>593</v>
      </c>
      <c r="C1385" s="148" t="s">
        <v>3792</v>
      </c>
      <c r="D1385" s="148"/>
      <c r="E1385" s="148" t="n">
        <v>109</v>
      </c>
      <c r="F1385" s="148" t="s">
        <v>814</v>
      </c>
      <c r="G1385" s="193" t="s">
        <v>1127</v>
      </c>
      <c r="H1385" s="105" t="n">
        <f aca="false">'[2]$ зима'!j1385-'[2]$ зима'!au1385-'[2]$ зима'!at1385-'[2]$ зима'!as1385-'[2]$ зима'!ar1385-'[2]$ зима'!aq1385-'[2]$ зима'!ap1385-'[2]$ зима'!an1385-'[2]$ зима'!am1385-'[2]$ зима'!al1385-'[2]$ зима'!ak1385-'[2]$ зима'!aj1385-'[2]$ зима'!ah1385-'[2]$ зима'!ag1385-'[2]$ зима'!af1385-'[2]$ зима'!ae1385-'[2]$ зима'!ad1385-'[2]$ зима'!ab1385-'[2]$ зима'!aa1385-'[2]$ зима'!z1385-'[2]$ зима'!y1385-'[2]$ зима'!x1385-'[2]$ зима'!v1385-'[2]$ зима'!u1385-'[2]$ зима'!t1385-'[2]$ зима'!s1385-'[2]$ зима'!r1385-'[2]$ зима'!p1385-'[2]$ зима'!o1385-'[2]$ зима'!n1385-'[2]$ зима'!m1385-'[2]$ зима'!l1385+'[2]$ зима'!q1385+'[2]$ зима'!w1385+'[2]$ зима'!ac1385+'[2]$ зима'!ai1385+'[2]$ зима'!ao1385+'[2]$ зима'!k1385</f>
        <v>0</v>
      </c>
      <c r="I1385" s="191" t="n">
        <f aca="false">'[2]$ зима'!ay1385*1.1</f>
        <v>4589.2</v>
      </c>
      <c r="J1385" s="171" t="n">
        <v>2017</v>
      </c>
    </row>
    <row r="1386" customFormat="false" ht="15" hidden="false" customHeight="false" outlineLevel="0" collapsed="false">
      <c r="A1386" s="188" t="s">
        <v>2083</v>
      </c>
      <c r="B1386" s="149" t="s">
        <v>593</v>
      </c>
      <c r="C1386" s="148" t="s">
        <v>3793</v>
      </c>
      <c r="D1386" s="148"/>
      <c r="E1386" s="192" t="n">
        <v>109</v>
      </c>
      <c r="F1386" s="192" t="s">
        <v>814</v>
      </c>
      <c r="G1386" s="193" t="s">
        <v>849</v>
      </c>
      <c r="H1386" s="105" t="n">
        <f aca="false">'[2]$ зима'!j1386-'[2]$ зима'!au1386-'[2]$ зима'!at1386-'[2]$ зима'!as1386-'[2]$ зима'!ar1386-'[2]$ зима'!aq1386-'[2]$ зима'!ap1386-'[2]$ зима'!an1386-'[2]$ зима'!am1386-'[2]$ зима'!al1386-'[2]$ зима'!ak1386-'[2]$ зима'!aj1386-'[2]$ зима'!ah1386-'[2]$ зима'!ag1386-'[2]$ зима'!af1386-'[2]$ зима'!ae1386-'[2]$ зима'!ad1386-'[2]$ зима'!ab1386-'[2]$ зима'!aa1386-'[2]$ зима'!z1386-'[2]$ зима'!y1386-'[2]$ зима'!x1386-'[2]$ зима'!v1386-'[2]$ зима'!u1386-'[2]$ зима'!t1386-'[2]$ зима'!s1386-'[2]$ зима'!r1386-'[2]$ зима'!p1386-'[2]$ зима'!o1386-'[2]$ зима'!n1386-'[2]$ зима'!m1386-'[2]$ зима'!l1386+'[2]$ зима'!q1386+'[2]$ зима'!w1386+'[2]$ зима'!ac1386+'[2]$ зима'!ai1386+'[2]$ зима'!ao1386+'[2]$ зима'!k1386</f>
        <v>2</v>
      </c>
      <c r="I1386" s="191" t="n">
        <f aca="false">'[2]$ зима'!ay1386*1.1</f>
        <v>4620</v>
      </c>
    </row>
    <row r="1387" customFormat="false" ht="15" hidden="false" customHeight="false" outlineLevel="0" collapsed="false">
      <c r="A1387" s="188" t="s">
        <v>2083</v>
      </c>
      <c r="B1387" s="149" t="s">
        <v>3142</v>
      </c>
      <c r="C1387" s="148" t="s">
        <v>3382</v>
      </c>
      <c r="D1387" s="148"/>
      <c r="E1387" s="192"/>
      <c r="F1387" s="192"/>
      <c r="G1387" s="193"/>
      <c r="H1387" s="105" t="n">
        <f aca="false">'[2]$ зима'!j1387-'[2]$ зима'!au1387-'[2]$ зима'!at1387-'[2]$ зима'!as1387-'[2]$ зима'!ar1387-'[2]$ зима'!aq1387-'[2]$ зима'!ap1387-'[2]$ зима'!an1387-'[2]$ зима'!am1387-'[2]$ зима'!al1387-'[2]$ зима'!ak1387-'[2]$ зима'!aj1387-'[2]$ зима'!ah1387-'[2]$ зима'!ag1387-'[2]$ зима'!af1387-'[2]$ зима'!ae1387-'[2]$ зима'!ad1387-'[2]$ зима'!ab1387-'[2]$ зима'!aa1387-'[2]$ зима'!z1387-'[2]$ зима'!y1387-'[2]$ зима'!x1387-'[2]$ зима'!v1387-'[2]$ зима'!u1387-'[2]$ зима'!t1387-'[2]$ зима'!s1387-'[2]$ зима'!r1387-'[2]$ зима'!p1387-'[2]$ зима'!o1387-'[2]$ зима'!n1387-'[2]$ зима'!m1387-'[2]$ зима'!l1387+'[2]$ зима'!q1387+'[2]$ зима'!w1387+'[2]$ зима'!ac1387+'[2]$ зима'!ai1387+'[2]$ зима'!ao1387+'[2]$ зима'!k1387</f>
        <v>4</v>
      </c>
      <c r="I1387" s="191" t="n">
        <f aca="false">'[2]$ зима'!ay1387*1.1</f>
        <v>2464</v>
      </c>
      <c r="J1387" s="171" t="n">
        <v>2013</v>
      </c>
    </row>
    <row r="1388" customFormat="false" ht="15" hidden="false" customHeight="false" outlineLevel="0" collapsed="false">
      <c r="A1388" s="196" t="s">
        <v>2083</v>
      </c>
      <c r="B1388" s="149" t="s">
        <v>1149</v>
      </c>
      <c r="C1388" s="148" t="s">
        <v>3794</v>
      </c>
      <c r="D1388" s="148"/>
      <c r="E1388" s="192"/>
      <c r="F1388" s="192"/>
      <c r="G1388" s="193"/>
      <c r="H1388" s="105" t="n">
        <f aca="false">'[2]$ зима'!j1388-'[2]$ зима'!au1388-'[2]$ зима'!at1388-'[2]$ зима'!as1388-'[2]$ зима'!ar1388-'[2]$ зима'!aq1388-'[2]$ зима'!ap1388-'[2]$ зима'!an1388-'[2]$ зима'!am1388-'[2]$ зима'!al1388-'[2]$ зима'!ak1388-'[2]$ зима'!aj1388-'[2]$ зима'!ah1388-'[2]$ зима'!ag1388-'[2]$ зима'!af1388-'[2]$ зима'!ae1388-'[2]$ зима'!ad1388-'[2]$ зима'!ab1388-'[2]$ зима'!aa1388-'[2]$ зима'!z1388-'[2]$ зима'!y1388-'[2]$ зима'!x1388-'[2]$ зима'!v1388-'[2]$ зима'!u1388-'[2]$ зима'!t1388-'[2]$ зима'!s1388-'[2]$ зима'!r1388-'[2]$ зима'!p1388-'[2]$ зима'!o1388-'[2]$ зима'!n1388-'[2]$ зима'!m1388-'[2]$ зима'!l1388+'[2]$ зима'!q1388+'[2]$ зима'!w1388+'[2]$ зима'!ac1388+'[2]$ зима'!ai1388+'[2]$ зима'!ao1388+'[2]$ зима'!k1388</f>
        <v>2</v>
      </c>
      <c r="I1388" s="191" t="n">
        <f aca="false">'[2]$ зима'!ay1388*1.1</f>
        <v>2310</v>
      </c>
      <c r="J1388" s="171" t="n">
        <v>2010</v>
      </c>
    </row>
    <row r="1389" customFormat="false" ht="15" hidden="false" customHeight="false" outlineLevel="0" collapsed="false">
      <c r="A1389" s="232" t="s">
        <v>2083</v>
      </c>
      <c r="B1389" s="157" t="s">
        <v>1149</v>
      </c>
      <c r="C1389" s="158" t="s">
        <v>3749</v>
      </c>
      <c r="D1389" s="158" t="s">
        <v>3147</v>
      </c>
      <c r="E1389" s="224"/>
      <c r="F1389" s="224"/>
      <c r="G1389" s="218"/>
      <c r="H1389" s="105" t="n">
        <f aca="false">'[2]$ зима'!j1389-'[2]$ зима'!au1389-'[2]$ зима'!at1389-'[2]$ зима'!as1389-'[2]$ зима'!ar1389-'[2]$ зима'!aq1389-'[2]$ зима'!ap1389-'[2]$ зима'!an1389-'[2]$ зима'!am1389-'[2]$ зима'!al1389-'[2]$ зима'!ak1389-'[2]$ зима'!aj1389-'[2]$ зима'!ah1389-'[2]$ зима'!ag1389-'[2]$ зима'!af1389-'[2]$ зима'!ae1389-'[2]$ зима'!ad1389-'[2]$ зима'!ab1389-'[2]$ зима'!aa1389-'[2]$ зима'!z1389-'[2]$ зима'!y1389-'[2]$ зима'!x1389-'[2]$ зима'!v1389-'[2]$ зима'!u1389-'[2]$ зима'!t1389-'[2]$ зима'!s1389-'[2]$ зима'!r1389-'[2]$ зима'!p1389-'[2]$ зима'!o1389-'[2]$ зима'!n1389-'[2]$ зима'!m1389-'[2]$ зима'!l1389+'[2]$ зима'!q1389+'[2]$ зима'!w1389+'[2]$ зима'!ac1389+'[2]$ зима'!ai1389+'[2]$ зима'!ao1389+'[2]$ зима'!k1389</f>
        <v>4</v>
      </c>
      <c r="I1389" s="219" t="n">
        <f aca="false">'[2]$ зима'!ay1389*1.1</f>
        <v>1100</v>
      </c>
    </row>
    <row r="1390" customFormat="false" ht="15" hidden="true" customHeight="false" outlineLevel="0" collapsed="false">
      <c r="A1390" s="196" t="s">
        <v>2083</v>
      </c>
      <c r="B1390" s="149" t="s">
        <v>677</v>
      </c>
      <c r="C1390" s="148" t="s">
        <v>3454</v>
      </c>
      <c r="D1390" s="148" t="s">
        <v>3127</v>
      </c>
      <c r="E1390" s="148"/>
      <c r="F1390" s="148"/>
      <c r="G1390" s="193"/>
      <c r="H1390" s="105" t="n">
        <f aca="false">'[2]$ зима'!j1390-'[2]$ зима'!au1390-'[2]$ зима'!at1390-'[2]$ зима'!as1390-'[2]$ зима'!ar1390-'[2]$ зима'!aq1390-'[2]$ зима'!ap1390-'[2]$ зима'!an1390-'[2]$ зима'!am1390-'[2]$ зима'!al1390-'[2]$ зима'!ak1390-'[2]$ зима'!aj1390-'[2]$ зима'!ah1390-'[2]$ зима'!ag1390-'[2]$ зима'!af1390-'[2]$ зима'!ae1390-'[2]$ зима'!ad1390-'[2]$ зима'!ab1390-'[2]$ зима'!aa1390-'[2]$ зима'!z1390-'[2]$ зима'!y1390-'[2]$ зима'!x1390-'[2]$ зима'!v1390-'[2]$ зима'!u1390-'[2]$ зима'!t1390-'[2]$ зима'!s1390-'[2]$ зима'!r1390-'[2]$ зима'!p1390-'[2]$ зима'!o1390-'[2]$ зима'!n1390-'[2]$ зима'!m1390-'[2]$ зима'!l1390+'[2]$ зима'!q1390+'[2]$ зима'!w1390+'[2]$ зима'!ac1390+'[2]$ зима'!ai1390+'[2]$ зима'!ao1390+'[2]$ зима'!k1390</f>
        <v>0</v>
      </c>
      <c r="I1390" s="191" t="n">
        <f aca="false">'[2]$ зима'!ay1390*1.1</f>
        <v>2156</v>
      </c>
    </row>
    <row r="1391" customFormat="false" ht="15" hidden="true" customHeight="false" outlineLevel="0" collapsed="false">
      <c r="A1391" s="196" t="s">
        <v>2083</v>
      </c>
      <c r="B1391" s="149" t="s">
        <v>589</v>
      </c>
      <c r="C1391" s="148" t="s">
        <v>3455</v>
      </c>
      <c r="D1391" s="148"/>
      <c r="E1391" s="148"/>
      <c r="F1391" s="148"/>
      <c r="G1391" s="193" t="s">
        <v>626</v>
      </c>
      <c r="H1391" s="105" t="n">
        <f aca="false">'[2]$ зима'!j1391-'[2]$ зима'!au1391-'[2]$ зима'!at1391-'[2]$ зима'!as1391-'[2]$ зима'!ar1391-'[2]$ зима'!aq1391-'[2]$ зима'!ap1391-'[2]$ зима'!an1391-'[2]$ зима'!am1391-'[2]$ зима'!al1391-'[2]$ зима'!ak1391-'[2]$ зима'!aj1391-'[2]$ зима'!ah1391-'[2]$ зима'!ag1391-'[2]$ зима'!af1391-'[2]$ зима'!ae1391-'[2]$ зима'!ad1391-'[2]$ зима'!ab1391-'[2]$ зима'!aa1391-'[2]$ зима'!z1391-'[2]$ зима'!y1391-'[2]$ зима'!x1391-'[2]$ зима'!v1391-'[2]$ зима'!u1391-'[2]$ зима'!t1391-'[2]$ зима'!s1391-'[2]$ зима'!r1391-'[2]$ зима'!p1391-'[2]$ зима'!o1391-'[2]$ зима'!n1391-'[2]$ зима'!m1391-'[2]$ зима'!l1391+'[2]$ зима'!q1391+'[2]$ зима'!w1391+'[2]$ зима'!ac1391+'[2]$ зима'!ai1391+'[2]$ зима'!ao1391+'[2]$ зима'!k1391</f>
        <v>0</v>
      </c>
      <c r="I1391" s="191" t="n">
        <f aca="false">'[2]$ зима'!ay1391*1.1</f>
        <v>3175.26</v>
      </c>
      <c r="J1391" s="171" t="n">
        <v>2017</v>
      </c>
    </row>
    <row r="1392" customFormat="false" ht="15" hidden="true" customHeight="false" outlineLevel="0" collapsed="false">
      <c r="A1392" s="196" t="s">
        <v>2083</v>
      </c>
      <c r="B1392" s="149" t="s">
        <v>589</v>
      </c>
      <c r="C1392" s="148" t="s">
        <v>3795</v>
      </c>
      <c r="D1392" s="148"/>
      <c r="E1392" s="148"/>
      <c r="F1392" s="148"/>
      <c r="G1392" s="193" t="s">
        <v>626</v>
      </c>
      <c r="H1392" s="105" t="n">
        <f aca="false">'[2]$ зима'!j1392-'[2]$ зима'!au1392-'[2]$ зима'!at1392-'[2]$ зима'!as1392-'[2]$ зима'!ar1392-'[2]$ зима'!aq1392-'[2]$ зима'!ap1392-'[2]$ зима'!an1392-'[2]$ зима'!am1392-'[2]$ зима'!al1392-'[2]$ зима'!ak1392-'[2]$ зима'!aj1392-'[2]$ зима'!ah1392-'[2]$ зима'!ag1392-'[2]$ зима'!af1392-'[2]$ зима'!ae1392-'[2]$ зима'!ad1392-'[2]$ зима'!ab1392-'[2]$ зима'!aa1392-'[2]$ зима'!z1392-'[2]$ зима'!y1392-'[2]$ зима'!x1392-'[2]$ зима'!v1392-'[2]$ зима'!u1392-'[2]$ зима'!t1392-'[2]$ зима'!s1392-'[2]$ зима'!r1392-'[2]$ зима'!p1392-'[2]$ зима'!o1392-'[2]$ зима'!n1392-'[2]$ зима'!m1392-'[2]$ зима'!l1392+'[2]$ зима'!q1392+'[2]$ зима'!w1392+'[2]$ зима'!ac1392+'[2]$ зима'!ai1392+'[2]$ зима'!ao1392+'[2]$ зима'!k1392</f>
        <v>0</v>
      </c>
      <c r="I1392" s="191" t="n">
        <f aca="false">'[2]$ зима'!ay1392*1.1</f>
        <v>3953.51</v>
      </c>
    </row>
    <row r="1393" customFormat="false" ht="15" hidden="false" customHeight="false" outlineLevel="0" collapsed="false">
      <c r="A1393" s="196" t="s">
        <v>2083</v>
      </c>
      <c r="B1393" s="149" t="s">
        <v>589</v>
      </c>
      <c r="C1393" s="148" t="s">
        <v>3209</v>
      </c>
      <c r="D1393" s="148"/>
      <c r="E1393" s="192" t="n">
        <v>109</v>
      </c>
      <c r="F1393" s="192" t="s">
        <v>3207</v>
      </c>
      <c r="G1393" s="193" t="s">
        <v>626</v>
      </c>
      <c r="H1393" s="105" t="n">
        <f aca="false">'[2]$ зима'!j1393-'[2]$ зима'!au1393-'[2]$ зима'!at1393-'[2]$ зима'!as1393-'[2]$ зима'!ar1393-'[2]$ зима'!aq1393-'[2]$ зима'!ap1393-'[2]$ зима'!an1393-'[2]$ зима'!am1393-'[2]$ зима'!al1393-'[2]$ зима'!ak1393-'[2]$ зима'!aj1393-'[2]$ зима'!ah1393-'[2]$ зима'!ag1393-'[2]$ зима'!af1393-'[2]$ зима'!ae1393-'[2]$ зима'!ad1393-'[2]$ зима'!ab1393-'[2]$ зима'!aa1393-'[2]$ зима'!z1393-'[2]$ зима'!y1393-'[2]$ зима'!x1393-'[2]$ зима'!v1393-'[2]$ зима'!u1393-'[2]$ зима'!t1393-'[2]$ зима'!s1393-'[2]$ зима'!r1393-'[2]$ зима'!p1393-'[2]$ зима'!o1393-'[2]$ зима'!n1393-'[2]$ зима'!m1393-'[2]$ зима'!l1393+'[2]$ зима'!q1393+'[2]$ зима'!w1393+'[2]$ зима'!ac1393+'[2]$ зима'!ai1393+'[2]$ зима'!ao1393+'[2]$ зима'!k1393</f>
        <v>12</v>
      </c>
      <c r="I1393" s="191" t="n">
        <f aca="false">'[2]$ зима'!ay1393*1.1</f>
        <v>4029.96</v>
      </c>
      <c r="J1393" s="171" t="n">
        <v>2017</v>
      </c>
    </row>
    <row r="1394" customFormat="false" ht="15" hidden="true" customHeight="false" outlineLevel="0" collapsed="false">
      <c r="A1394" s="196" t="s">
        <v>2083</v>
      </c>
      <c r="B1394" s="149" t="s">
        <v>564</v>
      </c>
      <c r="C1394" s="148" t="s">
        <v>3796</v>
      </c>
      <c r="D1394" s="148"/>
      <c r="E1394" s="148"/>
      <c r="F1394" s="148"/>
      <c r="G1394" s="193"/>
      <c r="H1394" s="105" t="n">
        <f aca="false">'[2]$ зима'!j1394-'[2]$ зима'!au1394-'[2]$ зима'!at1394-'[2]$ зима'!as1394-'[2]$ зима'!ar1394-'[2]$ зима'!aq1394-'[2]$ зима'!ap1394-'[2]$ зима'!an1394-'[2]$ зима'!am1394-'[2]$ зима'!al1394-'[2]$ зима'!ak1394-'[2]$ зима'!aj1394-'[2]$ зима'!ah1394-'[2]$ зима'!ag1394-'[2]$ зима'!af1394-'[2]$ зима'!ae1394-'[2]$ зима'!ad1394-'[2]$ зима'!ab1394-'[2]$ зима'!aa1394-'[2]$ зима'!z1394-'[2]$ зима'!y1394-'[2]$ зима'!x1394-'[2]$ зима'!v1394-'[2]$ зима'!u1394-'[2]$ зима'!t1394-'[2]$ зима'!s1394-'[2]$ зима'!r1394-'[2]$ зима'!p1394-'[2]$ зима'!o1394-'[2]$ зима'!n1394-'[2]$ зима'!m1394-'[2]$ зима'!l1394+'[2]$ зима'!q1394+'[2]$ зима'!w1394+'[2]$ зима'!ac1394+'[2]$ зима'!ai1394+'[2]$ зима'!ao1394+'[2]$ зима'!k1394</f>
        <v>0</v>
      </c>
      <c r="I1394" s="191" t="n">
        <f aca="false">'[2]$ зима'!ay1394*1.1</f>
        <v>1694</v>
      </c>
      <c r="J1394" s="171" t="n">
        <v>2017</v>
      </c>
    </row>
    <row r="1395" customFormat="false" ht="15" hidden="false" customHeight="false" outlineLevel="0" collapsed="false">
      <c r="A1395" s="188" t="s">
        <v>2083</v>
      </c>
      <c r="B1395" s="149" t="s">
        <v>1028</v>
      </c>
      <c r="C1395" s="148" t="s">
        <v>3712</v>
      </c>
      <c r="D1395" s="148"/>
      <c r="E1395" s="192" t="n">
        <v>109</v>
      </c>
      <c r="F1395" s="192" t="s">
        <v>3207</v>
      </c>
      <c r="G1395" s="193"/>
      <c r="H1395" s="105" t="n">
        <f aca="false">'[2]$ зима'!j1395-'[2]$ зима'!au1395-'[2]$ зима'!at1395-'[2]$ зима'!as1395-'[2]$ зима'!ar1395-'[2]$ зима'!aq1395-'[2]$ зима'!ap1395-'[2]$ зима'!an1395-'[2]$ зима'!am1395-'[2]$ зима'!al1395-'[2]$ зима'!ak1395-'[2]$ зима'!aj1395-'[2]$ зима'!ah1395-'[2]$ зима'!ag1395-'[2]$ зима'!af1395-'[2]$ зима'!ae1395-'[2]$ зима'!ad1395-'[2]$ зима'!ab1395-'[2]$ зима'!aa1395-'[2]$ зима'!z1395-'[2]$ зима'!y1395-'[2]$ зима'!x1395-'[2]$ зима'!v1395-'[2]$ зима'!u1395-'[2]$ зима'!t1395-'[2]$ зима'!s1395-'[2]$ зима'!r1395-'[2]$ зима'!p1395-'[2]$ зима'!o1395-'[2]$ зима'!n1395-'[2]$ зима'!m1395-'[2]$ зима'!l1395+'[2]$ зима'!q1395+'[2]$ зима'!w1395+'[2]$ зима'!ac1395+'[2]$ зима'!ai1395+'[2]$ зима'!ao1395+'[2]$ зима'!k1395</f>
        <v>2</v>
      </c>
      <c r="I1395" s="191" t="n">
        <f aca="false">'[2]$ зима'!ay1395*1.1</f>
        <v>3388</v>
      </c>
    </row>
    <row r="1396" customFormat="false" ht="15" hidden="true" customHeight="false" outlineLevel="0" collapsed="false">
      <c r="A1396" s="188" t="s">
        <v>2107</v>
      </c>
      <c r="B1396" s="149" t="s">
        <v>601</v>
      </c>
      <c r="C1396" s="148" t="s">
        <v>3482</v>
      </c>
      <c r="D1396" s="148"/>
      <c r="E1396" s="148"/>
      <c r="F1396" s="148"/>
      <c r="G1396" s="193"/>
      <c r="H1396" s="105" t="n">
        <f aca="false">'[2]$ зима'!j1396-'[2]$ зима'!au1396-'[2]$ зима'!at1396-'[2]$ зима'!as1396-'[2]$ зима'!ar1396-'[2]$ зима'!aq1396-'[2]$ зима'!ap1396-'[2]$ зима'!an1396-'[2]$ зима'!am1396-'[2]$ зима'!al1396-'[2]$ зима'!ak1396-'[2]$ зима'!aj1396-'[2]$ зима'!ah1396-'[2]$ зима'!ag1396-'[2]$ зима'!af1396-'[2]$ зима'!ae1396-'[2]$ зима'!ad1396-'[2]$ зима'!ab1396-'[2]$ зима'!aa1396-'[2]$ зима'!z1396-'[2]$ зима'!y1396-'[2]$ зима'!x1396-'[2]$ зима'!v1396-'[2]$ зима'!u1396-'[2]$ зима'!t1396-'[2]$ зима'!s1396-'[2]$ зима'!r1396-'[2]$ зима'!p1396-'[2]$ зима'!o1396-'[2]$ зима'!n1396-'[2]$ зима'!m1396-'[2]$ зима'!l1396+'[2]$ зима'!q1396+'[2]$ зима'!w1396+'[2]$ зима'!ac1396+'[2]$ зима'!ai1396+'[2]$ зима'!ao1396+'[2]$ зима'!k1396</f>
        <v>0</v>
      </c>
      <c r="I1396" s="191" t="n">
        <f aca="false">'[2]$ зима'!ay1396*1.1</f>
        <v>4496.8</v>
      </c>
    </row>
    <row r="1397" customFormat="false" ht="15" hidden="false" customHeight="false" outlineLevel="0" collapsed="false">
      <c r="A1397" s="232" t="s">
        <v>2107</v>
      </c>
      <c r="B1397" s="157" t="s">
        <v>948</v>
      </c>
      <c r="C1397" s="158" t="s">
        <v>3797</v>
      </c>
      <c r="D1397" s="158"/>
      <c r="E1397" s="224"/>
      <c r="F1397" s="224"/>
      <c r="G1397" s="218"/>
      <c r="H1397" s="105" t="n">
        <f aca="false">'[2]$ зима'!j1397-'[2]$ зима'!au1397-'[2]$ зима'!at1397-'[2]$ зима'!as1397-'[2]$ зима'!ar1397-'[2]$ зима'!aq1397-'[2]$ зима'!ap1397-'[2]$ зима'!an1397-'[2]$ зима'!am1397-'[2]$ зима'!al1397-'[2]$ зима'!ak1397-'[2]$ зима'!aj1397-'[2]$ зима'!ah1397-'[2]$ зима'!ag1397-'[2]$ зима'!af1397-'[2]$ зима'!ae1397-'[2]$ зима'!ad1397-'[2]$ зима'!ab1397-'[2]$ зима'!aa1397-'[2]$ зима'!z1397-'[2]$ зима'!y1397-'[2]$ зима'!x1397-'[2]$ зима'!v1397-'[2]$ зима'!u1397-'[2]$ зима'!t1397-'[2]$ зима'!s1397-'[2]$ зима'!r1397-'[2]$ зима'!p1397-'[2]$ зима'!o1397-'[2]$ зима'!n1397-'[2]$ зима'!m1397-'[2]$ зима'!l1397+'[2]$ зима'!q1397+'[2]$ зима'!w1397+'[2]$ зима'!ac1397+'[2]$ зима'!ai1397+'[2]$ зима'!ao1397+'[2]$ зима'!k1397</f>
        <v>2</v>
      </c>
      <c r="I1397" s="219" t="n">
        <f aca="false">'[2]$ зима'!ay1397*1.1</f>
        <v>3080</v>
      </c>
      <c r="J1397" s="234" t="s">
        <v>3798</v>
      </c>
    </row>
    <row r="1398" customFormat="false" ht="15" hidden="true" customHeight="false" outlineLevel="0" collapsed="false">
      <c r="A1398" s="188" t="s">
        <v>2107</v>
      </c>
      <c r="B1398" s="149" t="s">
        <v>668</v>
      </c>
      <c r="C1398" s="148" t="s">
        <v>3664</v>
      </c>
      <c r="D1398" s="148"/>
      <c r="E1398" s="148"/>
      <c r="F1398" s="148"/>
      <c r="G1398" s="193"/>
      <c r="H1398" s="105" t="n">
        <f aca="false">'[2]$ зима'!j1398-'[2]$ зима'!au1398-'[2]$ зима'!at1398-'[2]$ зима'!as1398-'[2]$ зима'!ar1398-'[2]$ зима'!aq1398-'[2]$ зима'!ap1398-'[2]$ зима'!an1398-'[2]$ зима'!am1398-'[2]$ зима'!al1398-'[2]$ зима'!ak1398-'[2]$ зима'!aj1398-'[2]$ зима'!ah1398-'[2]$ зима'!ag1398-'[2]$ зима'!af1398-'[2]$ зима'!ae1398-'[2]$ зима'!ad1398-'[2]$ зима'!ab1398-'[2]$ зима'!aa1398-'[2]$ зима'!z1398-'[2]$ зима'!y1398-'[2]$ зима'!x1398-'[2]$ зима'!v1398-'[2]$ зима'!u1398-'[2]$ зима'!t1398-'[2]$ зима'!s1398-'[2]$ зима'!r1398-'[2]$ зима'!p1398-'[2]$ зима'!o1398-'[2]$ зима'!n1398-'[2]$ зима'!m1398-'[2]$ зима'!l1398+'[2]$ зима'!q1398+'[2]$ зима'!w1398+'[2]$ зима'!ac1398+'[2]$ зима'!ai1398+'[2]$ зима'!ao1398+'[2]$ зима'!k1398</f>
        <v>0</v>
      </c>
      <c r="I1398" s="191" t="n">
        <f aca="false">'[2]$ зима'!ay1398*1.1</f>
        <v>2772</v>
      </c>
    </row>
    <row r="1399" customFormat="false" ht="15" hidden="false" customHeight="false" outlineLevel="0" collapsed="false">
      <c r="A1399" s="188" t="s">
        <v>2107</v>
      </c>
      <c r="B1399" s="149" t="s">
        <v>668</v>
      </c>
      <c r="C1399" s="148" t="s">
        <v>3629</v>
      </c>
      <c r="D1399" s="148"/>
      <c r="E1399" s="192"/>
      <c r="F1399" s="192"/>
      <c r="G1399" s="193" t="s">
        <v>609</v>
      </c>
      <c r="H1399" s="105" t="n">
        <f aca="false">'[2]$ зима'!j1399-'[2]$ зима'!au1399-'[2]$ зима'!at1399-'[2]$ зима'!as1399-'[2]$ зима'!ar1399-'[2]$ зима'!aq1399-'[2]$ зима'!ap1399-'[2]$ зима'!an1399-'[2]$ зима'!am1399-'[2]$ зима'!al1399-'[2]$ зима'!ak1399-'[2]$ зима'!aj1399-'[2]$ зима'!ah1399-'[2]$ зима'!ag1399-'[2]$ зима'!af1399-'[2]$ зима'!ae1399-'[2]$ зима'!ad1399-'[2]$ зима'!ab1399-'[2]$ зима'!aa1399-'[2]$ зима'!z1399-'[2]$ зима'!y1399-'[2]$ зима'!x1399-'[2]$ зима'!v1399-'[2]$ зима'!u1399-'[2]$ зима'!t1399-'[2]$ зима'!s1399-'[2]$ зима'!r1399-'[2]$ зима'!p1399-'[2]$ зима'!o1399-'[2]$ зима'!n1399-'[2]$ зима'!m1399-'[2]$ зима'!l1399+'[2]$ зима'!q1399+'[2]$ зима'!w1399+'[2]$ зима'!ac1399+'[2]$ зима'!ai1399+'[2]$ зима'!ao1399+'[2]$ зима'!k1399</f>
        <v>4</v>
      </c>
      <c r="I1399" s="191" t="n">
        <f aca="false">'[2]$ зима'!ay1399*1.1</f>
        <v>2895.2</v>
      </c>
      <c r="J1399" s="171" t="n">
        <v>2017</v>
      </c>
    </row>
    <row r="1400" customFormat="false" ht="15" hidden="false" customHeight="false" outlineLevel="0" collapsed="false">
      <c r="A1400" s="217" t="s">
        <v>2107</v>
      </c>
      <c r="B1400" s="157" t="s">
        <v>593</v>
      </c>
      <c r="C1400" s="158" t="s">
        <v>3799</v>
      </c>
      <c r="D1400" s="158"/>
      <c r="E1400" s="224"/>
      <c r="F1400" s="224"/>
      <c r="G1400" s="218"/>
      <c r="H1400" s="105" t="n">
        <f aca="false">'[2]$ зима'!j1400-'[2]$ зима'!au1400-'[2]$ зима'!at1400-'[2]$ зима'!as1400-'[2]$ зима'!ar1400-'[2]$ зима'!aq1400-'[2]$ зима'!ap1400-'[2]$ зима'!an1400-'[2]$ зима'!am1400-'[2]$ зима'!al1400-'[2]$ зима'!ak1400-'[2]$ зима'!aj1400-'[2]$ зима'!ah1400-'[2]$ зима'!ag1400-'[2]$ зима'!af1400-'[2]$ зима'!ae1400-'[2]$ зима'!ad1400-'[2]$ зима'!ab1400-'[2]$ зима'!aa1400-'[2]$ зима'!z1400-'[2]$ зима'!y1400-'[2]$ зима'!x1400-'[2]$ зима'!v1400-'[2]$ зима'!u1400-'[2]$ зима'!t1400-'[2]$ зима'!s1400-'[2]$ зима'!r1400-'[2]$ зима'!p1400-'[2]$ зима'!o1400-'[2]$ зима'!n1400-'[2]$ зима'!m1400-'[2]$ зима'!l1400+'[2]$ зима'!q1400+'[2]$ зима'!w1400+'[2]$ зима'!ac1400+'[2]$ зима'!ai1400+'[2]$ зима'!ao1400+'[2]$ зима'!k1400</f>
        <v>4</v>
      </c>
      <c r="I1400" s="219" t="n">
        <f aca="false">'[2]$ зима'!ay1400*1.1</f>
        <v>605</v>
      </c>
    </row>
    <row r="1401" customFormat="false" ht="15" hidden="true" customHeight="false" outlineLevel="0" collapsed="false">
      <c r="A1401" s="188" t="s">
        <v>2107</v>
      </c>
      <c r="B1401" s="149" t="s">
        <v>3142</v>
      </c>
      <c r="C1401" s="148" t="s">
        <v>3800</v>
      </c>
      <c r="D1401" s="148"/>
      <c r="E1401" s="148"/>
      <c r="F1401" s="148"/>
      <c r="G1401" s="193"/>
      <c r="H1401" s="105" t="n">
        <f aca="false">'[2]$ зима'!j1401-'[2]$ зима'!au1401-'[2]$ зима'!at1401-'[2]$ зима'!as1401-'[2]$ зима'!ar1401-'[2]$ зима'!aq1401-'[2]$ зима'!ap1401-'[2]$ зима'!an1401-'[2]$ зима'!am1401-'[2]$ зима'!al1401-'[2]$ зима'!ak1401-'[2]$ зима'!aj1401-'[2]$ зима'!ah1401-'[2]$ зима'!ag1401-'[2]$ зима'!af1401-'[2]$ зима'!ae1401-'[2]$ зима'!ad1401-'[2]$ зима'!ab1401-'[2]$ зима'!aa1401-'[2]$ зима'!z1401-'[2]$ зима'!y1401-'[2]$ зима'!x1401-'[2]$ зима'!v1401-'[2]$ зима'!u1401-'[2]$ зима'!t1401-'[2]$ зима'!s1401-'[2]$ зима'!r1401-'[2]$ зима'!p1401-'[2]$ зима'!o1401-'[2]$ зима'!n1401-'[2]$ зима'!m1401-'[2]$ зима'!l1401+'[2]$ зима'!q1401+'[2]$ зима'!w1401+'[2]$ зима'!ac1401+'[2]$ зима'!ai1401+'[2]$ зима'!ao1401+'[2]$ зима'!k1401</f>
        <v>0</v>
      </c>
      <c r="I1401" s="191" t="n">
        <f aca="false">'[2]$ зима'!ay1401*1.1</f>
        <v>3388</v>
      </c>
    </row>
    <row r="1402" customFormat="false" ht="15" hidden="false" customHeight="false" outlineLevel="0" collapsed="false">
      <c r="A1402" s="188" t="s">
        <v>2107</v>
      </c>
      <c r="B1402" s="149" t="s">
        <v>1149</v>
      </c>
      <c r="C1402" s="148" t="s">
        <v>3801</v>
      </c>
      <c r="D1402" s="148" t="s">
        <v>3147</v>
      </c>
      <c r="E1402" s="192"/>
      <c r="F1402" s="192"/>
      <c r="G1402" s="193"/>
      <c r="H1402" s="105" t="n">
        <f aca="false">'[2]$ зима'!j1402-'[2]$ зима'!au1402-'[2]$ зима'!at1402-'[2]$ зима'!as1402-'[2]$ зима'!ar1402-'[2]$ зима'!aq1402-'[2]$ зима'!ap1402-'[2]$ зима'!an1402-'[2]$ зима'!am1402-'[2]$ зима'!al1402-'[2]$ зима'!ak1402-'[2]$ зима'!aj1402-'[2]$ зима'!ah1402-'[2]$ зима'!ag1402-'[2]$ зима'!af1402-'[2]$ зима'!ae1402-'[2]$ зима'!ad1402-'[2]$ зима'!ab1402-'[2]$ зима'!aa1402-'[2]$ зима'!z1402-'[2]$ зима'!y1402-'[2]$ зима'!x1402-'[2]$ зима'!v1402-'[2]$ зима'!u1402-'[2]$ зима'!t1402-'[2]$ зима'!s1402-'[2]$ зима'!r1402-'[2]$ зима'!p1402-'[2]$ зима'!o1402-'[2]$ зима'!n1402-'[2]$ зима'!m1402-'[2]$ зима'!l1402+'[2]$ зима'!q1402+'[2]$ зима'!w1402+'[2]$ зима'!ac1402+'[2]$ зима'!ai1402+'[2]$ зима'!ao1402+'[2]$ зима'!k1402</f>
        <v>4</v>
      </c>
      <c r="I1402" s="191" t="n">
        <f aca="false">'[2]$ зима'!ay1402*1.1</f>
        <v>3080</v>
      </c>
    </row>
    <row r="1403" customFormat="false" ht="15" hidden="false" customHeight="false" outlineLevel="0" collapsed="false">
      <c r="A1403" s="188" t="s">
        <v>2107</v>
      </c>
      <c r="B1403" s="149" t="s">
        <v>1028</v>
      </c>
      <c r="C1403" s="148" t="s">
        <v>3802</v>
      </c>
      <c r="D1403" s="148"/>
      <c r="E1403" s="192" t="n">
        <v>112</v>
      </c>
      <c r="F1403" s="192" t="s">
        <v>3207</v>
      </c>
      <c r="G1403" s="193" t="s">
        <v>626</v>
      </c>
      <c r="H1403" s="105" t="n">
        <f aca="false">'[2]$ зима'!j1403-'[2]$ зима'!au1403-'[2]$ зима'!at1403-'[2]$ зима'!as1403-'[2]$ зима'!ar1403-'[2]$ зима'!aq1403-'[2]$ зима'!ap1403-'[2]$ зима'!an1403-'[2]$ зима'!am1403-'[2]$ зима'!al1403-'[2]$ зима'!ak1403-'[2]$ зима'!aj1403-'[2]$ зима'!ah1403-'[2]$ зима'!ag1403-'[2]$ зима'!af1403-'[2]$ зима'!ae1403-'[2]$ зима'!ad1403-'[2]$ зима'!ab1403-'[2]$ зима'!aa1403-'[2]$ зима'!z1403-'[2]$ зима'!y1403-'[2]$ зима'!x1403-'[2]$ зима'!v1403-'[2]$ зима'!u1403-'[2]$ зима'!t1403-'[2]$ зима'!s1403-'[2]$ зима'!r1403-'[2]$ зима'!p1403-'[2]$ зима'!o1403-'[2]$ зима'!n1403-'[2]$ зима'!m1403-'[2]$ зима'!l1403+'[2]$ зима'!q1403+'[2]$ зима'!w1403+'[2]$ зима'!ac1403+'[2]$ зима'!ai1403+'[2]$ зима'!ao1403+'[2]$ зима'!k1403</f>
        <v>8</v>
      </c>
      <c r="I1403" s="191" t="n">
        <f aca="false">'[2]$ зима'!ay1403*1.1</f>
        <v>4219.6</v>
      </c>
      <c r="J1403" s="171" t="n">
        <v>2017</v>
      </c>
    </row>
    <row r="1404" customFormat="false" ht="15" hidden="true" customHeight="false" outlineLevel="0" collapsed="false">
      <c r="A1404" s="196" t="s">
        <v>3803</v>
      </c>
      <c r="B1404" s="149" t="s">
        <v>658</v>
      </c>
      <c r="C1404" s="148" t="s">
        <v>3733</v>
      </c>
      <c r="D1404" s="148"/>
      <c r="E1404" s="148"/>
      <c r="F1404" s="148"/>
      <c r="G1404" s="193"/>
      <c r="H1404" s="105" t="n">
        <f aca="false">'[2]$ зима'!j1404-'[2]$ зима'!au1404-'[2]$ зима'!at1404-'[2]$ зима'!as1404-'[2]$ зима'!ar1404-'[2]$ зима'!aq1404-'[2]$ зима'!ap1404-'[2]$ зима'!an1404-'[2]$ зима'!am1404-'[2]$ зима'!al1404-'[2]$ зима'!ak1404-'[2]$ зима'!aj1404-'[2]$ зима'!ah1404-'[2]$ зима'!ag1404-'[2]$ зима'!af1404-'[2]$ зима'!ae1404-'[2]$ зима'!ad1404-'[2]$ зима'!ab1404-'[2]$ зима'!aa1404-'[2]$ зима'!z1404-'[2]$ зима'!y1404-'[2]$ зима'!x1404-'[2]$ зима'!v1404-'[2]$ зима'!u1404-'[2]$ зима'!t1404-'[2]$ зима'!s1404-'[2]$ зима'!r1404-'[2]$ зима'!p1404-'[2]$ зима'!o1404-'[2]$ зима'!n1404-'[2]$ зима'!m1404-'[2]$ зима'!l1404+'[2]$ зима'!q1404+'[2]$ зима'!w1404+'[2]$ зима'!ac1404+'[2]$ зима'!ai1404+'[2]$ зима'!ao1404+'[2]$ зима'!k1404</f>
        <v>0</v>
      </c>
      <c r="I1404" s="191" t="n">
        <f aca="false">'[2]$ зима'!ay1404*1.1</f>
        <v>6160</v>
      </c>
    </row>
    <row r="1405" customFormat="false" ht="15" hidden="true" customHeight="false" outlineLevel="0" collapsed="false">
      <c r="A1405" s="196" t="s">
        <v>2118</v>
      </c>
      <c r="B1405" s="149" t="s">
        <v>601</v>
      </c>
      <c r="C1405" s="148" t="s">
        <v>3481</v>
      </c>
      <c r="D1405" s="148"/>
      <c r="E1405" s="148"/>
      <c r="F1405" s="148"/>
      <c r="G1405" s="193"/>
      <c r="H1405" s="105" t="n">
        <f aca="false">'[2]$ зима'!j1405-'[2]$ зима'!au1405-'[2]$ зима'!at1405-'[2]$ зима'!as1405-'[2]$ зима'!ar1405-'[2]$ зима'!aq1405-'[2]$ зима'!ap1405-'[2]$ зима'!an1405-'[2]$ зима'!am1405-'[2]$ зима'!al1405-'[2]$ зима'!ak1405-'[2]$ зима'!aj1405-'[2]$ зима'!ah1405-'[2]$ зима'!ag1405-'[2]$ зима'!af1405-'[2]$ зима'!ae1405-'[2]$ зима'!ad1405-'[2]$ зима'!ab1405-'[2]$ зима'!aa1405-'[2]$ зима'!z1405-'[2]$ зима'!y1405-'[2]$ зима'!x1405-'[2]$ зима'!v1405-'[2]$ зима'!u1405-'[2]$ зима'!t1405-'[2]$ зима'!s1405-'[2]$ зима'!r1405-'[2]$ зима'!p1405-'[2]$ зима'!o1405-'[2]$ зима'!n1405-'[2]$ зима'!m1405-'[2]$ зима'!l1405+'[2]$ зима'!q1405+'[2]$ зима'!w1405+'[2]$ зима'!ac1405+'[2]$ зима'!ai1405+'[2]$ зима'!ao1405+'[2]$ зима'!k1405</f>
        <v>0</v>
      </c>
      <c r="I1405" s="191" t="n">
        <f aca="false">'[2]$ зима'!ay1405*1.1</f>
        <v>4219.6</v>
      </c>
    </row>
    <row r="1406" customFormat="false" ht="15" hidden="true" customHeight="false" outlineLevel="0" collapsed="false">
      <c r="A1406" s="196" t="s">
        <v>2118</v>
      </c>
      <c r="B1406" s="149" t="s">
        <v>601</v>
      </c>
      <c r="C1406" s="148" t="s">
        <v>3804</v>
      </c>
      <c r="D1406" s="148"/>
      <c r="E1406" s="148" t="n">
        <v>110</v>
      </c>
      <c r="F1406" s="148" t="s">
        <v>3220</v>
      </c>
      <c r="G1406" s="193"/>
      <c r="H1406" s="105" t="n">
        <f aca="false">'[2]$ зима'!j1406-'[2]$ зима'!au1406-'[2]$ зима'!at1406-'[2]$ зима'!as1406-'[2]$ зима'!ar1406-'[2]$ зима'!aq1406-'[2]$ зима'!ap1406-'[2]$ зима'!an1406-'[2]$ зима'!am1406-'[2]$ зима'!al1406-'[2]$ зима'!ak1406-'[2]$ зима'!aj1406-'[2]$ зима'!ah1406-'[2]$ зима'!ag1406-'[2]$ зима'!af1406-'[2]$ зима'!ae1406-'[2]$ зима'!ad1406-'[2]$ зима'!ab1406-'[2]$ зима'!aa1406-'[2]$ зима'!z1406-'[2]$ зима'!y1406-'[2]$ зима'!x1406-'[2]$ зима'!v1406-'[2]$ зима'!u1406-'[2]$ зима'!t1406-'[2]$ зима'!s1406-'[2]$ зима'!r1406-'[2]$ зима'!p1406-'[2]$ зима'!o1406-'[2]$ зима'!n1406-'[2]$ зима'!m1406-'[2]$ зима'!l1406+'[2]$ зима'!q1406+'[2]$ зима'!w1406+'[2]$ зима'!ac1406+'[2]$ зима'!ai1406+'[2]$ зима'!ao1406+'[2]$ зима'!k1406</f>
        <v>0</v>
      </c>
      <c r="I1406" s="191" t="n">
        <f aca="false">'[2]$ зима'!ay1406*1.1</f>
        <v>5236</v>
      </c>
      <c r="J1406" s="171" t="n">
        <v>2017</v>
      </c>
    </row>
    <row r="1407" customFormat="false" ht="15" hidden="false" customHeight="false" outlineLevel="0" collapsed="false">
      <c r="A1407" s="196" t="s">
        <v>2118</v>
      </c>
      <c r="B1407" s="198" t="s">
        <v>557</v>
      </c>
      <c r="C1407" s="194" t="s">
        <v>3544</v>
      </c>
      <c r="D1407" s="194"/>
      <c r="E1407" s="195" t="n">
        <v>114</v>
      </c>
      <c r="F1407" s="195" t="s">
        <v>3216</v>
      </c>
      <c r="G1407" s="193"/>
      <c r="H1407" s="105" t="n">
        <f aca="false">'[2]$ зима'!j1407-'[2]$ зима'!au1407-'[2]$ зима'!at1407-'[2]$ зима'!as1407-'[2]$ зима'!ar1407-'[2]$ зима'!aq1407-'[2]$ зима'!ap1407-'[2]$ зима'!an1407-'[2]$ зима'!am1407-'[2]$ зима'!al1407-'[2]$ зима'!ak1407-'[2]$ зима'!aj1407-'[2]$ зима'!ah1407-'[2]$ зима'!ag1407-'[2]$ зима'!af1407-'[2]$ зима'!ae1407-'[2]$ зима'!ad1407-'[2]$ зима'!ab1407-'[2]$ зима'!aa1407-'[2]$ зима'!z1407-'[2]$ зима'!y1407-'[2]$ зима'!x1407-'[2]$ зима'!v1407-'[2]$ зима'!u1407-'[2]$ зима'!t1407-'[2]$ зима'!s1407-'[2]$ зима'!r1407-'[2]$ зима'!p1407-'[2]$ зима'!o1407-'[2]$ зима'!n1407-'[2]$ зима'!m1407-'[2]$ зима'!l1407+'[2]$ зима'!q1407+'[2]$ зима'!w1407+'[2]$ зима'!ac1407+'[2]$ зима'!ai1407+'[2]$ зима'!ao1407+'[2]$ зима'!k1407</f>
        <v>2</v>
      </c>
      <c r="I1407" s="191" t="n">
        <f aca="false">'[2]$ зима'!ay1407*1.1</f>
        <v>2772</v>
      </c>
    </row>
    <row r="1408" customFormat="false" ht="15" hidden="true" customHeight="false" outlineLevel="0" collapsed="false">
      <c r="A1408" s="196" t="s">
        <v>2118</v>
      </c>
      <c r="B1408" s="198" t="s">
        <v>606</v>
      </c>
      <c r="C1408" s="148" t="s">
        <v>3805</v>
      </c>
      <c r="D1408" s="194"/>
      <c r="E1408" s="194" t="n">
        <v>110</v>
      </c>
      <c r="F1408" s="194" t="s">
        <v>3207</v>
      </c>
      <c r="G1408" s="193" t="s">
        <v>857</v>
      </c>
      <c r="H1408" s="105" t="n">
        <f aca="false">'[2]$ зима'!j1408-'[2]$ зима'!au1408-'[2]$ зима'!at1408-'[2]$ зима'!as1408-'[2]$ зима'!ar1408-'[2]$ зима'!aq1408-'[2]$ зима'!ap1408-'[2]$ зима'!an1408-'[2]$ зима'!am1408-'[2]$ зима'!al1408-'[2]$ зима'!ak1408-'[2]$ зима'!aj1408-'[2]$ зима'!ah1408-'[2]$ зима'!ag1408-'[2]$ зима'!af1408-'[2]$ зима'!ae1408-'[2]$ зима'!ad1408-'[2]$ зима'!ab1408-'[2]$ зима'!aa1408-'[2]$ зима'!z1408-'[2]$ зима'!y1408-'[2]$ зима'!x1408-'[2]$ зима'!v1408-'[2]$ зима'!u1408-'[2]$ зима'!t1408-'[2]$ зима'!s1408-'[2]$ зима'!r1408-'[2]$ зима'!p1408-'[2]$ зима'!o1408-'[2]$ зима'!n1408-'[2]$ зима'!m1408-'[2]$ зима'!l1408+'[2]$ зима'!q1408+'[2]$ зима'!w1408+'[2]$ зима'!ac1408+'[2]$ зима'!ai1408+'[2]$ зима'!ao1408+'[2]$ зима'!k1408</f>
        <v>0</v>
      </c>
      <c r="I1408" s="191" t="n">
        <f aca="false">'[2]$ зима'!ay1408*1.1</f>
        <v>3388</v>
      </c>
      <c r="J1408" s="171" t="n">
        <v>2017</v>
      </c>
    </row>
    <row r="1409" customFormat="false" ht="15" hidden="false" customHeight="false" outlineLevel="0" collapsed="false">
      <c r="A1409" s="196" t="s">
        <v>2118</v>
      </c>
      <c r="B1409" s="198" t="s">
        <v>606</v>
      </c>
      <c r="C1409" s="148" t="s">
        <v>3386</v>
      </c>
      <c r="D1409" s="148"/>
      <c r="E1409" s="192" t="n">
        <v>110</v>
      </c>
      <c r="F1409" s="192" t="s">
        <v>562</v>
      </c>
      <c r="G1409" s="193" t="s">
        <v>609</v>
      </c>
      <c r="H1409" s="105" t="n">
        <f aca="false">'[2]$ зима'!j1409-'[2]$ зима'!au1409-'[2]$ зима'!at1409-'[2]$ зима'!as1409-'[2]$ зима'!ar1409-'[2]$ зима'!aq1409-'[2]$ зима'!ap1409-'[2]$ зима'!an1409-'[2]$ зима'!am1409-'[2]$ зима'!al1409-'[2]$ зима'!ak1409-'[2]$ зима'!aj1409-'[2]$ зима'!ah1409-'[2]$ зима'!ag1409-'[2]$ зима'!af1409-'[2]$ зима'!ae1409-'[2]$ зима'!ad1409-'[2]$ зима'!ab1409-'[2]$ зима'!aa1409-'[2]$ зима'!z1409-'[2]$ зима'!y1409-'[2]$ зима'!x1409-'[2]$ зима'!v1409-'[2]$ зима'!u1409-'[2]$ зима'!t1409-'[2]$ зима'!s1409-'[2]$ зима'!r1409-'[2]$ зима'!p1409-'[2]$ зима'!o1409-'[2]$ зима'!n1409-'[2]$ зима'!m1409-'[2]$ зима'!l1409+'[2]$ зима'!q1409+'[2]$ зима'!w1409+'[2]$ зима'!ac1409+'[2]$ зима'!ai1409+'[2]$ зима'!ao1409+'[2]$ зима'!k1409</f>
        <v>8</v>
      </c>
      <c r="I1409" s="191" t="n">
        <f aca="false">'[2]$ зима'!ay1409*1.1</f>
        <v>3326.4</v>
      </c>
      <c r="J1409" s="171" t="n">
        <v>2017</v>
      </c>
    </row>
    <row r="1410" customFormat="false" ht="15" hidden="false" customHeight="false" outlineLevel="0" collapsed="false">
      <c r="A1410" s="196" t="s">
        <v>2118</v>
      </c>
      <c r="B1410" s="149" t="s">
        <v>668</v>
      </c>
      <c r="C1410" s="148" t="s">
        <v>3629</v>
      </c>
      <c r="D1410" s="148"/>
      <c r="E1410" s="192"/>
      <c r="F1410" s="192"/>
      <c r="G1410" s="193"/>
      <c r="H1410" s="105" t="n">
        <f aca="false">'[2]$ зима'!j1410-'[2]$ зима'!au1410-'[2]$ зима'!at1410-'[2]$ зима'!as1410-'[2]$ зима'!ar1410-'[2]$ зима'!aq1410-'[2]$ зима'!ap1410-'[2]$ зима'!an1410-'[2]$ зима'!am1410-'[2]$ зима'!al1410-'[2]$ зима'!ak1410-'[2]$ зима'!aj1410-'[2]$ зима'!ah1410-'[2]$ зима'!ag1410-'[2]$ зима'!af1410-'[2]$ зима'!ae1410-'[2]$ зима'!ad1410-'[2]$ зима'!ab1410-'[2]$ зима'!aa1410-'[2]$ зима'!z1410-'[2]$ зима'!y1410-'[2]$ зима'!x1410-'[2]$ зима'!v1410-'[2]$ зима'!u1410-'[2]$ зима'!t1410-'[2]$ зима'!s1410-'[2]$ зима'!r1410-'[2]$ зима'!p1410-'[2]$ зима'!o1410-'[2]$ зима'!n1410-'[2]$ зима'!m1410-'[2]$ зима'!l1410+'[2]$ зима'!q1410+'[2]$ зима'!w1410+'[2]$ зима'!ac1410+'[2]$ зима'!ai1410+'[2]$ зима'!ao1410+'[2]$ зима'!k1410</f>
        <v>8</v>
      </c>
      <c r="I1410" s="191" t="n">
        <f aca="false">'[2]$ зима'!ay1410*1.1</f>
        <v>2833.6</v>
      </c>
      <c r="J1410" s="171" t="n">
        <v>2017</v>
      </c>
    </row>
    <row r="1411" customFormat="false" ht="15" hidden="true" customHeight="false" outlineLevel="0" collapsed="false">
      <c r="A1411" s="196" t="s">
        <v>2118</v>
      </c>
      <c r="B1411" s="149" t="s">
        <v>577</v>
      </c>
      <c r="C1411" s="148" t="s">
        <v>3806</v>
      </c>
      <c r="D1411" s="148"/>
      <c r="E1411" s="148" t="n">
        <v>110</v>
      </c>
      <c r="F1411" s="148" t="s">
        <v>562</v>
      </c>
      <c r="G1411" s="193" t="s">
        <v>563</v>
      </c>
      <c r="H1411" s="105" t="n">
        <f aca="false">'[2]$ зима'!j1411-'[2]$ зима'!au1411-'[2]$ зима'!at1411-'[2]$ зима'!as1411-'[2]$ зима'!ar1411-'[2]$ зима'!aq1411-'[2]$ зима'!ap1411-'[2]$ зима'!an1411-'[2]$ зима'!am1411-'[2]$ зима'!al1411-'[2]$ зима'!ak1411-'[2]$ зима'!aj1411-'[2]$ зима'!ah1411-'[2]$ зима'!ag1411-'[2]$ зима'!af1411-'[2]$ зима'!ae1411-'[2]$ зима'!ad1411-'[2]$ зима'!ab1411-'[2]$ зима'!aa1411-'[2]$ зима'!z1411-'[2]$ зима'!y1411-'[2]$ зима'!x1411-'[2]$ зима'!v1411-'[2]$ зима'!u1411-'[2]$ зима'!t1411-'[2]$ зима'!s1411-'[2]$ зима'!r1411-'[2]$ зима'!p1411-'[2]$ зима'!o1411-'[2]$ зима'!n1411-'[2]$ зима'!m1411-'[2]$ зима'!l1411+'[2]$ зима'!q1411+'[2]$ зима'!w1411+'[2]$ зима'!ac1411+'[2]$ зима'!ai1411+'[2]$ зима'!ao1411+'[2]$ зима'!k1411</f>
        <v>0</v>
      </c>
      <c r="I1411" s="191" t="n">
        <f aca="false">'[2]$ зима'!ay1411*1.1</f>
        <v>2772</v>
      </c>
      <c r="J1411" s="171" t="n">
        <v>2017</v>
      </c>
    </row>
    <row r="1412" customFormat="false" ht="15" hidden="true" customHeight="false" outlineLevel="0" collapsed="false">
      <c r="A1412" s="196" t="s">
        <v>2118</v>
      </c>
      <c r="B1412" s="149" t="s">
        <v>1471</v>
      </c>
      <c r="C1412" s="148" t="s">
        <v>3807</v>
      </c>
      <c r="D1412" s="148"/>
      <c r="E1412" s="148" t="n">
        <v>114</v>
      </c>
      <c r="F1412" s="148" t="s">
        <v>562</v>
      </c>
      <c r="G1412" s="193"/>
      <c r="H1412" s="105" t="n">
        <f aca="false">'[2]$ зима'!j1412-'[2]$ зима'!au1412-'[2]$ зима'!at1412-'[2]$ зима'!as1412-'[2]$ зима'!ar1412-'[2]$ зима'!aq1412-'[2]$ зима'!ap1412-'[2]$ зима'!an1412-'[2]$ зима'!am1412-'[2]$ зима'!al1412-'[2]$ зима'!ak1412-'[2]$ зима'!aj1412-'[2]$ зима'!ah1412-'[2]$ зима'!ag1412-'[2]$ зима'!af1412-'[2]$ зима'!ae1412-'[2]$ зима'!ad1412-'[2]$ зима'!ab1412-'[2]$ зима'!aa1412-'[2]$ зима'!z1412-'[2]$ зима'!y1412-'[2]$ зима'!x1412-'[2]$ зима'!v1412-'[2]$ зима'!u1412-'[2]$ зима'!t1412-'[2]$ зима'!s1412-'[2]$ зима'!r1412-'[2]$ зима'!p1412-'[2]$ зима'!o1412-'[2]$ зима'!n1412-'[2]$ зима'!m1412-'[2]$ зима'!l1412+'[2]$ зима'!q1412+'[2]$ зима'!w1412+'[2]$ зима'!ac1412+'[2]$ зима'!ai1412+'[2]$ зима'!ao1412+'[2]$ зима'!k1412</f>
        <v>0</v>
      </c>
      <c r="I1412" s="191" t="n">
        <f aca="false">'[2]$ зима'!ay1412*1.1</f>
        <v>2772</v>
      </c>
    </row>
    <row r="1413" customFormat="false" ht="15" hidden="true" customHeight="false" outlineLevel="0" collapsed="false">
      <c r="A1413" s="196" t="s">
        <v>2118</v>
      </c>
      <c r="B1413" s="149" t="s">
        <v>593</v>
      </c>
      <c r="C1413" s="148" t="s">
        <v>3808</v>
      </c>
      <c r="D1413" s="148"/>
      <c r="E1413" s="148"/>
      <c r="F1413" s="148"/>
      <c r="G1413" s="193" t="s">
        <v>2382</v>
      </c>
      <c r="H1413" s="105" t="n">
        <f aca="false">'[2]$ зима'!j1413-'[2]$ зима'!au1413-'[2]$ зима'!at1413-'[2]$ зима'!as1413-'[2]$ зима'!ar1413-'[2]$ зима'!aq1413-'[2]$ зима'!ap1413-'[2]$ зима'!an1413-'[2]$ зима'!am1413-'[2]$ зима'!al1413-'[2]$ зима'!ak1413-'[2]$ зима'!aj1413-'[2]$ зима'!ah1413-'[2]$ зима'!ag1413-'[2]$ зима'!af1413-'[2]$ зима'!ae1413-'[2]$ зима'!ad1413-'[2]$ зима'!ab1413-'[2]$ зима'!aa1413-'[2]$ зима'!z1413-'[2]$ зима'!y1413-'[2]$ зима'!x1413-'[2]$ зима'!v1413-'[2]$ зима'!u1413-'[2]$ зима'!t1413-'[2]$ зима'!s1413-'[2]$ зима'!r1413-'[2]$ зима'!p1413-'[2]$ зима'!o1413-'[2]$ зима'!n1413-'[2]$ зима'!m1413-'[2]$ зима'!l1413+'[2]$ зима'!q1413+'[2]$ зима'!w1413+'[2]$ зима'!ac1413+'[2]$ зима'!ai1413+'[2]$ зима'!ao1413+'[2]$ зима'!k1413</f>
        <v>0</v>
      </c>
      <c r="I1413" s="191" t="n">
        <f aca="false">'[2]$ зима'!ay1413*1.1</f>
        <v>4928</v>
      </c>
      <c r="J1413" s="171" t="n">
        <v>2017</v>
      </c>
    </row>
    <row r="1414" customFormat="false" ht="15" hidden="false" customHeight="false" outlineLevel="0" collapsed="false">
      <c r="A1414" s="196" t="s">
        <v>2118</v>
      </c>
      <c r="B1414" s="149" t="s">
        <v>3142</v>
      </c>
      <c r="C1414" s="148" t="s">
        <v>3539</v>
      </c>
      <c r="D1414" s="148"/>
      <c r="E1414" s="192"/>
      <c r="F1414" s="192" t="s">
        <v>3286</v>
      </c>
      <c r="G1414" s="193" t="s">
        <v>609</v>
      </c>
      <c r="H1414" s="105" t="n">
        <f aca="false">'[2]$ зима'!j1414-'[2]$ зима'!au1414-'[2]$ зима'!at1414-'[2]$ зима'!as1414-'[2]$ зима'!ar1414-'[2]$ зима'!aq1414-'[2]$ зима'!ap1414-'[2]$ зима'!an1414-'[2]$ зима'!am1414-'[2]$ зима'!al1414-'[2]$ зима'!ak1414-'[2]$ зима'!aj1414-'[2]$ зима'!ah1414-'[2]$ зима'!ag1414-'[2]$ зима'!af1414-'[2]$ зима'!ae1414-'[2]$ зима'!ad1414-'[2]$ зима'!ab1414-'[2]$ зима'!aa1414-'[2]$ зима'!z1414-'[2]$ зима'!y1414-'[2]$ зима'!x1414-'[2]$ зима'!v1414-'[2]$ зима'!u1414-'[2]$ зима'!t1414-'[2]$ зима'!s1414-'[2]$ зима'!r1414-'[2]$ зима'!p1414-'[2]$ зима'!o1414-'[2]$ зима'!n1414-'[2]$ зима'!m1414-'[2]$ зима'!l1414+'[2]$ зима'!q1414+'[2]$ зима'!w1414+'[2]$ зима'!ac1414+'[2]$ зима'!ai1414+'[2]$ зима'!ao1414+'[2]$ зима'!k1414</f>
        <v>4</v>
      </c>
      <c r="I1414" s="191" t="n">
        <f aca="false">'[2]$ зима'!ay1414*1.1</f>
        <v>2772</v>
      </c>
      <c r="J1414" s="171" t="n">
        <v>2017</v>
      </c>
    </row>
    <row r="1415" customFormat="false" ht="15" hidden="false" customHeight="false" outlineLevel="0" collapsed="false">
      <c r="A1415" s="196" t="s">
        <v>2118</v>
      </c>
      <c r="B1415" s="149" t="s">
        <v>3254</v>
      </c>
      <c r="C1415" s="148" t="s">
        <v>3809</v>
      </c>
      <c r="D1415" s="148"/>
      <c r="E1415" s="192"/>
      <c r="F1415" s="192"/>
      <c r="G1415" s="193" t="s">
        <v>626</v>
      </c>
      <c r="H1415" s="105" t="n">
        <f aca="false">'[2]$ зима'!j1415-'[2]$ зима'!au1415-'[2]$ зима'!at1415-'[2]$ зима'!as1415-'[2]$ зима'!ar1415-'[2]$ зима'!aq1415-'[2]$ зима'!ap1415-'[2]$ зима'!an1415-'[2]$ зима'!am1415-'[2]$ зима'!al1415-'[2]$ зима'!ak1415-'[2]$ зима'!aj1415-'[2]$ зима'!ah1415-'[2]$ зима'!ag1415-'[2]$ зима'!af1415-'[2]$ зима'!ae1415-'[2]$ зима'!ad1415-'[2]$ зима'!ab1415-'[2]$ зима'!aa1415-'[2]$ зима'!z1415-'[2]$ зима'!y1415-'[2]$ зима'!x1415-'[2]$ зима'!v1415-'[2]$ зима'!u1415-'[2]$ зима'!t1415-'[2]$ зима'!s1415-'[2]$ зима'!r1415-'[2]$ зима'!p1415-'[2]$ зима'!o1415-'[2]$ зима'!n1415-'[2]$ зима'!m1415-'[2]$ зима'!l1415+'[2]$ зима'!q1415+'[2]$ зима'!w1415+'[2]$ зима'!ac1415+'[2]$ зима'!ai1415+'[2]$ зима'!ao1415+'[2]$ зима'!k1415</f>
        <v>8</v>
      </c>
      <c r="I1415" s="191" t="n">
        <f aca="false">'[2]$ зима'!ay1415*1.1</f>
        <v>3542</v>
      </c>
      <c r="J1415" s="171" t="n">
        <v>2017</v>
      </c>
    </row>
    <row r="1416" customFormat="false" ht="15" hidden="false" customHeight="false" outlineLevel="0" collapsed="false">
      <c r="A1416" s="196" t="s">
        <v>2118</v>
      </c>
      <c r="B1416" s="149" t="s">
        <v>1149</v>
      </c>
      <c r="C1416" s="148" t="s">
        <v>3170</v>
      </c>
      <c r="D1416" s="148"/>
      <c r="E1416" s="192"/>
      <c r="F1416" s="192"/>
      <c r="G1416" s="193"/>
      <c r="H1416" s="105" t="n">
        <f aca="false">'[2]$ зима'!j1416-'[2]$ зима'!au1416-'[2]$ зима'!at1416-'[2]$ зима'!as1416-'[2]$ зима'!ar1416-'[2]$ зима'!aq1416-'[2]$ зима'!ap1416-'[2]$ зима'!an1416-'[2]$ зима'!am1416-'[2]$ зима'!al1416-'[2]$ зима'!ak1416-'[2]$ зима'!aj1416-'[2]$ зима'!ah1416-'[2]$ зима'!ag1416-'[2]$ зима'!af1416-'[2]$ зима'!ae1416-'[2]$ зима'!ad1416-'[2]$ зима'!ab1416-'[2]$ зима'!aa1416-'[2]$ зима'!z1416-'[2]$ зима'!y1416-'[2]$ зима'!x1416-'[2]$ зима'!v1416-'[2]$ зима'!u1416-'[2]$ зима'!t1416-'[2]$ зима'!s1416-'[2]$ зима'!r1416-'[2]$ зима'!p1416-'[2]$ зима'!o1416-'[2]$ зима'!n1416-'[2]$ зима'!m1416-'[2]$ зима'!l1416+'[2]$ зима'!q1416+'[2]$ зима'!w1416+'[2]$ зима'!ac1416+'[2]$ зима'!ai1416+'[2]$ зима'!ao1416+'[2]$ зима'!k1416</f>
        <v>4</v>
      </c>
      <c r="I1416" s="191" t="n">
        <f aca="false">'[2]$ зима'!ay1416*1.1</f>
        <v>2618</v>
      </c>
    </row>
    <row r="1417" customFormat="false" ht="15" hidden="false" customHeight="false" outlineLevel="0" collapsed="false">
      <c r="A1417" s="232" t="s">
        <v>2118</v>
      </c>
      <c r="B1417" s="157" t="s">
        <v>1149</v>
      </c>
      <c r="C1417" s="158" t="s">
        <v>3170</v>
      </c>
      <c r="D1417" s="158"/>
      <c r="E1417" s="224"/>
      <c r="F1417" s="224"/>
      <c r="G1417" s="218"/>
      <c r="H1417" s="105" t="n">
        <f aca="false">'[2]$ зима'!j1417-'[2]$ зима'!au1417-'[2]$ зима'!at1417-'[2]$ зима'!as1417-'[2]$ зима'!ar1417-'[2]$ зима'!aq1417-'[2]$ зима'!ap1417-'[2]$ зима'!an1417-'[2]$ зима'!am1417-'[2]$ зима'!al1417-'[2]$ зима'!ak1417-'[2]$ зима'!aj1417-'[2]$ зима'!ah1417-'[2]$ зима'!ag1417-'[2]$ зима'!af1417-'[2]$ зима'!ae1417-'[2]$ зима'!ad1417-'[2]$ зима'!ab1417-'[2]$ зима'!aa1417-'[2]$ зима'!z1417-'[2]$ зима'!y1417-'[2]$ зима'!x1417-'[2]$ зима'!v1417-'[2]$ зима'!u1417-'[2]$ зима'!t1417-'[2]$ зима'!s1417-'[2]$ зима'!r1417-'[2]$ зима'!p1417-'[2]$ зима'!o1417-'[2]$ зима'!n1417-'[2]$ зима'!m1417-'[2]$ зима'!l1417+'[2]$ зима'!q1417+'[2]$ зима'!w1417+'[2]$ зима'!ac1417+'[2]$ зима'!ai1417+'[2]$ зима'!ao1417+'[2]$ зима'!k1417</f>
        <v>2</v>
      </c>
      <c r="I1417" s="219" t="n">
        <f aca="false">'[2]$ зима'!ay1417*1.1</f>
        <v>660</v>
      </c>
    </row>
    <row r="1418" customFormat="false" ht="15" hidden="false" customHeight="false" outlineLevel="0" collapsed="false">
      <c r="A1418" s="232" t="s">
        <v>2118</v>
      </c>
      <c r="B1418" s="157" t="s">
        <v>1149</v>
      </c>
      <c r="C1418" s="158" t="s">
        <v>3170</v>
      </c>
      <c r="D1418" s="158"/>
      <c r="E1418" s="224"/>
      <c r="F1418" s="224"/>
      <c r="G1418" s="218"/>
      <c r="H1418" s="105" t="n">
        <f aca="false">'[2]$ зима'!j1418-'[2]$ зима'!au1418-'[2]$ зима'!at1418-'[2]$ зима'!as1418-'[2]$ зима'!ar1418-'[2]$ зима'!aq1418-'[2]$ зима'!ap1418-'[2]$ зима'!an1418-'[2]$ зима'!am1418-'[2]$ зима'!al1418-'[2]$ зима'!ak1418-'[2]$ зима'!aj1418-'[2]$ зима'!ah1418-'[2]$ зима'!ag1418-'[2]$ зима'!af1418-'[2]$ зима'!ae1418-'[2]$ зима'!ad1418-'[2]$ зима'!ab1418-'[2]$ зима'!aa1418-'[2]$ зима'!z1418-'[2]$ зима'!y1418-'[2]$ зима'!x1418-'[2]$ зима'!v1418-'[2]$ зима'!u1418-'[2]$ зима'!t1418-'[2]$ зима'!s1418-'[2]$ зима'!r1418-'[2]$ зима'!p1418-'[2]$ зима'!o1418-'[2]$ зима'!n1418-'[2]$ зима'!m1418-'[2]$ зима'!l1418+'[2]$ зима'!q1418+'[2]$ зима'!w1418+'[2]$ зима'!ac1418+'[2]$ зима'!ai1418+'[2]$ зима'!ao1418+'[2]$ зима'!k1418</f>
        <v>3</v>
      </c>
      <c r="I1418" s="219" t="n">
        <f aca="false">'[2]$ зима'!ay1418*1.1</f>
        <v>275</v>
      </c>
      <c r="J1418" s="171" t="s">
        <v>3810</v>
      </c>
    </row>
    <row r="1419" customFormat="false" ht="15" hidden="false" customHeight="false" outlineLevel="0" collapsed="false">
      <c r="A1419" s="196" t="s">
        <v>2118</v>
      </c>
      <c r="B1419" s="149" t="s">
        <v>564</v>
      </c>
      <c r="C1419" s="148" t="s">
        <v>3811</v>
      </c>
      <c r="D1419" s="148"/>
      <c r="E1419" s="192" t="n">
        <v>114</v>
      </c>
      <c r="F1419" s="192" t="s">
        <v>634</v>
      </c>
      <c r="G1419" s="193"/>
      <c r="H1419" s="105" t="n">
        <f aca="false">'[2]$ зима'!j1419-'[2]$ зима'!au1419-'[2]$ зима'!at1419-'[2]$ зима'!as1419-'[2]$ зима'!ar1419-'[2]$ зима'!aq1419-'[2]$ зима'!ap1419-'[2]$ зима'!an1419-'[2]$ зима'!am1419-'[2]$ зима'!al1419-'[2]$ зима'!ak1419-'[2]$ зима'!aj1419-'[2]$ зима'!ah1419-'[2]$ зима'!ag1419-'[2]$ зима'!af1419-'[2]$ зима'!ae1419-'[2]$ зима'!ad1419-'[2]$ зима'!ab1419-'[2]$ зима'!aa1419-'[2]$ зима'!z1419-'[2]$ зима'!y1419-'[2]$ зима'!x1419-'[2]$ зима'!v1419-'[2]$ зима'!u1419-'[2]$ зима'!t1419-'[2]$ зима'!s1419-'[2]$ зима'!r1419-'[2]$ зима'!p1419-'[2]$ зима'!o1419-'[2]$ зима'!n1419-'[2]$ зима'!m1419-'[2]$ зима'!l1419+'[2]$ зима'!q1419+'[2]$ зима'!w1419+'[2]$ зима'!ac1419+'[2]$ зима'!ai1419+'[2]$ зима'!ao1419+'[2]$ зима'!k1419</f>
        <v>8</v>
      </c>
      <c r="I1419" s="191" t="n">
        <f aca="false">'[2]$ зима'!ay1419*1.1</f>
        <v>2464</v>
      </c>
      <c r="J1419" s="171" t="n">
        <v>2017</v>
      </c>
    </row>
    <row r="1420" customFormat="false" ht="15" hidden="true" customHeight="false" outlineLevel="0" collapsed="false">
      <c r="A1420" s="196" t="s">
        <v>2118</v>
      </c>
      <c r="B1420" s="149" t="s">
        <v>589</v>
      </c>
      <c r="C1420" s="148" t="s">
        <v>3455</v>
      </c>
      <c r="D1420" s="148"/>
      <c r="E1420" s="148"/>
      <c r="F1420" s="148"/>
      <c r="G1420" s="193" t="s">
        <v>626</v>
      </c>
      <c r="H1420" s="105" t="n">
        <f aca="false">'[2]$ зима'!j1420-'[2]$ зима'!au1420-'[2]$ зима'!at1420-'[2]$ зима'!as1420-'[2]$ зима'!ar1420-'[2]$ зима'!aq1420-'[2]$ зима'!ap1420-'[2]$ зима'!an1420-'[2]$ зима'!am1420-'[2]$ зима'!al1420-'[2]$ зима'!ak1420-'[2]$ зима'!aj1420-'[2]$ зима'!ah1420-'[2]$ зима'!ag1420-'[2]$ зима'!af1420-'[2]$ зима'!ae1420-'[2]$ зима'!ad1420-'[2]$ зима'!ab1420-'[2]$ зима'!aa1420-'[2]$ зима'!z1420-'[2]$ зима'!y1420-'[2]$ зима'!x1420-'[2]$ зима'!v1420-'[2]$ зима'!u1420-'[2]$ зима'!t1420-'[2]$ зима'!s1420-'[2]$ зима'!r1420-'[2]$ зима'!p1420-'[2]$ зима'!o1420-'[2]$ зима'!n1420-'[2]$ зима'!m1420-'[2]$ зима'!l1420+'[2]$ зима'!q1420+'[2]$ зима'!w1420+'[2]$ зима'!ac1420+'[2]$ зима'!ai1420+'[2]$ зима'!ao1420+'[2]$ зима'!k1420</f>
        <v>0</v>
      </c>
      <c r="I1420" s="191" t="n">
        <f aca="false">'[2]$ зима'!ay1420*1.1</f>
        <v>4046.9</v>
      </c>
    </row>
    <row r="1421" customFormat="false" ht="15" hidden="true" customHeight="false" outlineLevel="0" collapsed="false">
      <c r="A1421" s="196" t="s">
        <v>2118</v>
      </c>
      <c r="B1421" s="149" t="s">
        <v>589</v>
      </c>
      <c r="C1421" s="148" t="s">
        <v>3812</v>
      </c>
      <c r="D1421" s="148"/>
      <c r="E1421" s="148"/>
      <c r="F1421" s="148"/>
      <c r="G1421" s="193" t="s">
        <v>626</v>
      </c>
      <c r="H1421" s="105" t="n">
        <f aca="false">'[2]$ зима'!j1421-'[2]$ зима'!au1421-'[2]$ зима'!at1421-'[2]$ зима'!as1421-'[2]$ зима'!ar1421-'[2]$ зима'!aq1421-'[2]$ зима'!ap1421-'[2]$ зима'!an1421-'[2]$ зима'!am1421-'[2]$ зима'!al1421-'[2]$ зима'!ak1421-'[2]$ зима'!aj1421-'[2]$ зима'!ah1421-'[2]$ зима'!ag1421-'[2]$ зима'!af1421-'[2]$ зима'!ae1421-'[2]$ зима'!ad1421-'[2]$ зима'!ab1421-'[2]$ зима'!aa1421-'[2]$ зима'!z1421-'[2]$ зима'!y1421-'[2]$ зима'!x1421-'[2]$ зима'!v1421-'[2]$ зима'!u1421-'[2]$ зима'!t1421-'[2]$ зима'!s1421-'[2]$ зима'!r1421-'[2]$ зима'!p1421-'[2]$ зима'!o1421-'[2]$ зима'!n1421-'[2]$ зима'!m1421-'[2]$ зима'!l1421+'[2]$ зима'!q1421+'[2]$ зима'!w1421+'[2]$ зима'!ac1421+'[2]$ зима'!ai1421+'[2]$ зима'!ao1421+'[2]$ зима'!k1421</f>
        <v>0</v>
      </c>
      <c r="I1421" s="191" t="n">
        <f aca="false">'[2]$ зима'!ay1421*1.1</f>
        <v>4451.59</v>
      </c>
      <c r="J1421" s="171" t="n">
        <v>2017</v>
      </c>
    </row>
    <row r="1422" customFormat="false" ht="15" hidden="false" customHeight="false" outlineLevel="0" collapsed="false">
      <c r="A1422" s="196" t="s">
        <v>2118</v>
      </c>
      <c r="B1422" s="149" t="s">
        <v>589</v>
      </c>
      <c r="C1422" s="148" t="s">
        <v>3209</v>
      </c>
      <c r="D1422" s="148"/>
      <c r="E1422" s="192" t="n">
        <v>110</v>
      </c>
      <c r="F1422" s="192" t="s">
        <v>3207</v>
      </c>
      <c r="G1422" s="193" t="s">
        <v>626</v>
      </c>
      <c r="H1422" s="105" t="n">
        <f aca="false">'[2]$ зима'!j1422-'[2]$ зима'!au1422-'[2]$ зима'!at1422-'[2]$ зима'!as1422-'[2]$ зима'!ar1422-'[2]$ зима'!aq1422-'[2]$ зима'!ap1422-'[2]$ зима'!an1422-'[2]$ зима'!am1422-'[2]$ зима'!al1422-'[2]$ зима'!ak1422-'[2]$ зима'!aj1422-'[2]$ зима'!ah1422-'[2]$ зима'!ag1422-'[2]$ зима'!af1422-'[2]$ зима'!ae1422-'[2]$ зима'!ad1422-'[2]$ зима'!ab1422-'[2]$ зима'!aa1422-'[2]$ зима'!z1422-'[2]$ зима'!y1422-'[2]$ зима'!x1422-'[2]$ зима'!v1422-'[2]$ зима'!u1422-'[2]$ зима'!t1422-'[2]$ зима'!s1422-'[2]$ зима'!r1422-'[2]$ зима'!p1422-'[2]$ зима'!o1422-'[2]$ зима'!n1422-'[2]$ зима'!m1422-'[2]$ зима'!l1422+'[2]$ зима'!q1422+'[2]$ зима'!w1422+'[2]$ зима'!ac1422+'[2]$ зима'!ai1422+'[2]$ зима'!ao1422+'[2]$ зима'!k1422</f>
        <v>4</v>
      </c>
      <c r="I1422" s="191" t="n">
        <f aca="false">'[2]$ зима'!ay1422*1.1</f>
        <v>4686</v>
      </c>
      <c r="J1422" s="171" t="n">
        <v>2017</v>
      </c>
    </row>
    <row r="1423" customFormat="false" ht="15" hidden="true" customHeight="false" outlineLevel="0" collapsed="false">
      <c r="A1423" s="196" t="s">
        <v>2118</v>
      </c>
      <c r="B1423" s="149" t="s">
        <v>1028</v>
      </c>
      <c r="C1423" s="148" t="s">
        <v>3176</v>
      </c>
      <c r="D1423" s="148"/>
      <c r="E1423" s="148"/>
      <c r="F1423" s="148"/>
      <c r="G1423" s="193"/>
      <c r="H1423" s="105" t="n">
        <f aca="false">'[2]$ зима'!j1423-'[2]$ зима'!au1423-'[2]$ зима'!at1423-'[2]$ зима'!as1423-'[2]$ зима'!ar1423-'[2]$ зима'!aq1423-'[2]$ зима'!ap1423-'[2]$ зима'!an1423-'[2]$ зима'!am1423-'[2]$ зима'!al1423-'[2]$ зима'!ak1423-'[2]$ зима'!aj1423-'[2]$ зима'!ah1423-'[2]$ зима'!ag1423-'[2]$ зима'!af1423-'[2]$ зима'!ae1423-'[2]$ зима'!ad1423-'[2]$ зима'!ab1423-'[2]$ зима'!aa1423-'[2]$ зима'!z1423-'[2]$ зима'!y1423-'[2]$ зима'!x1423-'[2]$ зима'!v1423-'[2]$ зима'!u1423-'[2]$ зима'!t1423-'[2]$ зима'!s1423-'[2]$ зима'!r1423-'[2]$ зима'!p1423-'[2]$ зима'!o1423-'[2]$ зима'!n1423-'[2]$ зима'!m1423-'[2]$ зима'!l1423+'[2]$ зима'!q1423+'[2]$ зима'!w1423+'[2]$ зима'!ac1423+'[2]$ зима'!ai1423+'[2]$ зима'!ao1423+'[2]$ зима'!k1423</f>
        <v>0</v>
      </c>
      <c r="I1423" s="191" t="n">
        <f aca="false">'[2]$ зима'!ay1423*1.1</f>
        <v>4312</v>
      </c>
    </row>
    <row r="1424" customFormat="false" ht="15" hidden="true" customHeight="false" outlineLevel="0" collapsed="false">
      <c r="A1424" s="196" t="s">
        <v>3813</v>
      </c>
      <c r="B1424" s="149" t="s">
        <v>658</v>
      </c>
      <c r="C1424" s="148" t="s">
        <v>3814</v>
      </c>
      <c r="D1424" s="148"/>
      <c r="E1424" s="148"/>
      <c r="F1424" s="148"/>
      <c r="G1424" s="193"/>
      <c r="H1424" s="105" t="n">
        <f aca="false">'[2]$ зима'!j1424-'[2]$ зима'!au1424-'[2]$ зима'!at1424-'[2]$ зима'!as1424-'[2]$ зима'!ar1424-'[2]$ зима'!aq1424-'[2]$ зима'!ap1424-'[2]$ зима'!an1424-'[2]$ зима'!am1424-'[2]$ зима'!al1424-'[2]$ зима'!ak1424-'[2]$ зима'!aj1424-'[2]$ зима'!ah1424-'[2]$ зима'!ag1424-'[2]$ зима'!af1424-'[2]$ зима'!ae1424-'[2]$ зима'!ad1424-'[2]$ зима'!ab1424-'[2]$ зима'!aa1424-'[2]$ зима'!z1424-'[2]$ зима'!y1424-'[2]$ зима'!x1424-'[2]$ зима'!v1424-'[2]$ зима'!u1424-'[2]$ зима'!t1424-'[2]$ зима'!s1424-'[2]$ зима'!r1424-'[2]$ зима'!p1424-'[2]$ зима'!o1424-'[2]$ зима'!n1424-'[2]$ зима'!m1424-'[2]$ зима'!l1424+'[2]$ зима'!q1424+'[2]$ зима'!w1424+'[2]$ зима'!ac1424+'[2]$ зима'!ai1424+'[2]$ зима'!ao1424+'[2]$ зима'!k1424</f>
        <v>0</v>
      </c>
      <c r="I1424" s="191" t="n">
        <f aca="false">'[2]$ зима'!ay1424*1.1</f>
        <v>7700</v>
      </c>
    </row>
    <row r="1425" customFormat="false" ht="15" hidden="true" customHeight="false" outlineLevel="0" collapsed="false">
      <c r="A1425" s="196" t="s">
        <v>2142</v>
      </c>
      <c r="B1425" s="149" t="s">
        <v>601</v>
      </c>
      <c r="C1425" s="148" t="s">
        <v>3481</v>
      </c>
      <c r="D1425" s="148"/>
      <c r="E1425" s="148"/>
      <c r="F1425" s="148"/>
      <c r="G1425" s="193"/>
      <c r="H1425" s="105" t="n">
        <f aca="false">'[2]$ зима'!j1425-'[2]$ зима'!au1425-'[2]$ зима'!at1425-'[2]$ зима'!as1425-'[2]$ зима'!ar1425-'[2]$ зима'!aq1425-'[2]$ зима'!ap1425-'[2]$ зима'!an1425-'[2]$ зима'!am1425-'[2]$ зима'!al1425-'[2]$ зима'!ak1425-'[2]$ зима'!aj1425-'[2]$ зима'!ah1425-'[2]$ зима'!ag1425-'[2]$ зима'!af1425-'[2]$ зима'!ae1425-'[2]$ зима'!ad1425-'[2]$ зима'!ab1425-'[2]$ зима'!aa1425-'[2]$ зима'!z1425-'[2]$ зима'!y1425-'[2]$ зима'!x1425-'[2]$ зима'!v1425-'[2]$ зима'!u1425-'[2]$ зима'!t1425-'[2]$ зима'!s1425-'[2]$ зима'!r1425-'[2]$ зима'!p1425-'[2]$ зима'!o1425-'[2]$ зима'!n1425-'[2]$ зима'!m1425-'[2]$ зима'!l1425+'[2]$ зима'!q1425+'[2]$ зима'!w1425+'[2]$ зима'!ac1425+'[2]$ зима'!ai1425+'[2]$ зима'!ao1425+'[2]$ зима'!k1425</f>
        <v>0</v>
      </c>
      <c r="I1425" s="191" t="n">
        <f aca="false">'[2]$ зима'!ay1425*1.1</f>
        <v>3542</v>
      </c>
    </row>
    <row r="1426" customFormat="false" ht="15" hidden="true" customHeight="false" outlineLevel="0" collapsed="false">
      <c r="A1426" s="196" t="s">
        <v>2142</v>
      </c>
      <c r="B1426" s="149" t="s">
        <v>601</v>
      </c>
      <c r="C1426" s="148" t="s">
        <v>3482</v>
      </c>
      <c r="D1426" s="148"/>
      <c r="E1426" s="148"/>
      <c r="F1426" s="148"/>
      <c r="G1426" s="193"/>
      <c r="H1426" s="105" t="n">
        <f aca="false">'[2]$ зима'!j1426-'[2]$ зима'!au1426-'[2]$ зима'!at1426-'[2]$ зима'!as1426-'[2]$ зима'!ar1426-'[2]$ зима'!aq1426-'[2]$ зима'!ap1426-'[2]$ зима'!an1426-'[2]$ зима'!am1426-'[2]$ зима'!al1426-'[2]$ зима'!ak1426-'[2]$ зима'!aj1426-'[2]$ зима'!ah1426-'[2]$ зима'!ag1426-'[2]$ зима'!af1426-'[2]$ зима'!ae1426-'[2]$ зима'!ad1426-'[2]$ зима'!ab1426-'[2]$ зима'!aa1426-'[2]$ зима'!z1426-'[2]$ зима'!y1426-'[2]$ зима'!x1426-'[2]$ зима'!v1426-'[2]$ зима'!u1426-'[2]$ зима'!t1426-'[2]$ зима'!s1426-'[2]$ зима'!r1426-'[2]$ зима'!p1426-'[2]$ зима'!o1426-'[2]$ зима'!n1426-'[2]$ зима'!m1426-'[2]$ зима'!l1426+'[2]$ зима'!q1426+'[2]$ зима'!w1426+'[2]$ зима'!ac1426+'[2]$ зима'!ai1426+'[2]$ зима'!ao1426+'[2]$ зима'!k1426</f>
        <v>0</v>
      </c>
      <c r="I1426" s="191" t="n">
        <f aca="false">'[2]$ зима'!ay1426*1.1</f>
        <v>5451.6</v>
      </c>
    </row>
    <row r="1427" customFormat="false" ht="15" hidden="false" customHeight="false" outlineLevel="0" collapsed="false">
      <c r="A1427" s="196" t="s">
        <v>2142</v>
      </c>
      <c r="B1427" s="149" t="s">
        <v>557</v>
      </c>
      <c r="C1427" s="148" t="s">
        <v>3744</v>
      </c>
      <c r="D1427" s="148"/>
      <c r="E1427" s="192" t="n">
        <v>117</v>
      </c>
      <c r="F1427" s="192" t="s">
        <v>3216</v>
      </c>
      <c r="G1427" s="193"/>
      <c r="H1427" s="105" t="n">
        <f aca="false">'[2]$ зима'!j1427-'[2]$ зима'!au1427-'[2]$ зима'!at1427-'[2]$ зима'!as1427-'[2]$ зима'!ar1427-'[2]$ зима'!aq1427-'[2]$ зима'!ap1427-'[2]$ зима'!an1427-'[2]$ зима'!am1427-'[2]$ зима'!al1427-'[2]$ зима'!ak1427-'[2]$ зима'!aj1427-'[2]$ зима'!ah1427-'[2]$ зима'!ag1427-'[2]$ зима'!af1427-'[2]$ зима'!ae1427-'[2]$ зима'!ad1427-'[2]$ зима'!ab1427-'[2]$ зима'!aa1427-'[2]$ зима'!z1427-'[2]$ зима'!y1427-'[2]$ зима'!x1427-'[2]$ зима'!v1427-'[2]$ зима'!u1427-'[2]$ зима'!t1427-'[2]$ зима'!s1427-'[2]$ зима'!r1427-'[2]$ зима'!p1427-'[2]$ зима'!o1427-'[2]$ зима'!n1427-'[2]$ зима'!m1427-'[2]$ зима'!l1427+'[2]$ зима'!q1427+'[2]$ зима'!w1427+'[2]$ зима'!ac1427+'[2]$ зима'!ai1427+'[2]$ зима'!ao1427+'[2]$ зима'!k1427</f>
        <v>8</v>
      </c>
      <c r="I1427" s="191" t="n">
        <f aca="false">'[2]$ зима'!ay1427*1.1</f>
        <v>3080</v>
      </c>
      <c r="J1427" s="171" t="n">
        <v>2013</v>
      </c>
    </row>
    <row r="1428" customFormat="false" ht="15" hidden="true" customHeight="false" outlineLevel="0" collapsed="false">
      <c r="A1428" s="196" t="s">
        <v>2142</v>
      </c>
      <c r="B1428" s="149" t="s">
        <v>606</v>
      </c>
      <c r="C1428" s="148" t="s">
        <v>3549</v>
      </c>
      <c r="D1428" s="148"/>
      <c r="E1428" s="148"/>
      <c r="F1428" s="148"/>
      <c r="G1428" s="193"/>
      <c r="H1428" s="105" t="n">
        <f aca="false">'[2]$ зима'!j1428-'[2]$ зима'!au1428-'[2]$ зима'!at1428-'[2]$ зима'!as1428-'[2]$ зима'!ar1428-'[2]$ зима'!aq1428-'[2]$ зима'!ap1428-'[2]$ зима'!an1428-'[2]$ зима'!am1428-'[2]$ зима'!al1428-'[2]$ зима'!ak1428-'[2]$ зима'!aj1428-'[2]$ зима'!ah1428-'[2]$ зима'!ag1428-'[2]$ зима'!af1428-'[2]$ зима'!ae1428-'[2]$ зима'!ad1428-'[2]$ зима'!ab1428-'[2]$ зима'!aa1428-'[2]$ зима'!z1428-'[2]$ зима'!y1428-'[2]$ зима'!x1428-'[2]$ зима'!v1428-'[2]$ зима'!u1428-'[2]$ зима'!t1428-'[2]$ зима'!s1428-'[2]$ зима'!r1428-'[2]$ зима'!p1428-'[2]$ зима'!o1428-'[2]$ зима'!n1428-'[2]$ зима'!m1428-'[2]$ зима'!l1428+'[2]$ зима'!q1428+'[2]$ зима'!w1428+'[2]$ зима'!ac1428+'[2]$ зима'!ai1428+'[2]$ зима'!ao1428+'[2]$ зима'!k1428</f>
        <v>0</v>
      </c>
      <c r="I1428" s="191" t="n">
        <f aca="false">'[2]$ зима'!ay1428*1.1</f>
        <v>3788.4</v>
      </c>
    </row>
    <row r="1429" customFormat="false" ht="15" hidden="true" customHeight="false" outlineLevel="0" collapsed="false">
      <c r="A1429" s="196" t="s">
        <v>2148</v>
      </c>
      <c r="B1429" s="149" t="s">
        <v>601</v>
      </c>
      <c r="C1429" s="148" t="s">
        <v>3481</v>
      </c>
      <c r="D1429" s="148"/>
      <c r="E1429" s="148"/>
      <c r="F1429" s="148"/>
      <c r="G1429" s="193"/>
      <c r="H1429" s="105" t="n">
        <f aca="false">'[2]$ зима'!j1429-'[2]$ зима'!au1429-'[2]$ зима'!at1429-'[2]$ зима'!as1429-'[2]$ зима'!ar1429-'[2]$ зима'!aq1429-'[2]$ зима'!ap1429-'[2]$ зима'!an1429-'[2]$ зима'!am1429-'[2]$ зима'!al1429-'[2]$ зима'!ak1429-'[2]$ зима'!aj1429-'[2]$ зима'!ah1429-'[2]$ зима'!ag1429-'[2]$ зима'!af1429-'[2]$ зима'!ae1429-'[2]$ зима'!ad1429-'[2]$ зима'!ab1429-'[2]$ зима'!aa1429-'[2]$ зима'!z1429-'[2]$ зима'!y1429-'[2]$ зима'!x1429-'[2]$ зима'!v1429-'[2]$ зима'!u1429-'[2]$ зима'!t1429-'[2]$ зима'!s1429-'[2]$ зима'!r1429-'[2]$ зима'!p1429-'[2]$ зима'!o1429-'[2]$ зима'!n1429-'[2]$ зима'!m1429-'[2]$ зима'!l1429+'[2]$ зима'!q1429+'[2]$ зима'!w1429+'[2]$ зима'!ac1429+'[2]$ зима'!ai1429+'[2]$ зима'!ao1429+'[2]$ зима'!k1429</f>
        <v>0</v>
      </c>
      <c r="I1429" s="191" t="n">
        <f aca="false">'[2]$ зима'!ay1429*1.1</f>
        <v>4466</v>
      </c>
    </row>
    <row r="1430" customFormat="false" ht="15" hidden="false" customHeight="false" outlineLevel="0" collapsed="false">
      <c r="A1430" s="196" t="s">
        <v>2148</v>
      </c>
      <c r="B1430" s="149" t="s">
        <v>601</v>
      </c>
      <c r="C1430" s="148" t="s">
        <v>3482</v>
      </c>
      <c r="D1430" s="148"/>
      <c r="E1430" s="192"/>
      <c r="F1430" s="192"/>
      <c r="G1430" s="193"/>
      <c r="H1430" s="105" t="n">
        <f aca="false">'[2]$ зима'!j1430-'[2]$ зима'!au1430-'[2]$ зима'!at1430-'[2]$ зима'!as1430-'[2]$ зима'!ar1430-'[2]$ зима'!aq1430-'[2]$ зима'!ap1430-'[2]$ зима'!an1430-'[2]$ зима'!am1430-'[2]$ зима'!al1430-'[2]$ зима'!ak1430-'[2]$ зима'!aj1430-'[2]$ зима'!ah1430-'[2]$ зима'!ag1430-'[2]$ зима'!af1430-'[2]$ зима'!ae1430-'[2]$ зима'!ad1430-'[2]$ зима'!ab1430-'[2]$ зима'!aa1430-'[2]$ зима'!z1430-'[2]$ зима'!y1430-'[2]$ зима'!x1430-'[2]$ зима'!v1430-'[2]$ зима'!u1430-'[2]$ зима'!t1430-'[2]$ зима'!s1430-'[2]$ зима'!r1430-'[2]$ зима'!p1430-'[2]$ зима'!o1430-'[2]$ зима'!n1430-'[2]$ зима'!m1430-'[2]$ зима'!l1430+'[2]$ зима'!q1430+'[2]$ зима'!w1430+'[2]$ зима'!ac1430+'[2]$ зима'!ai1430+'[2]$ зима'!ao1430+'[2]$ зима'!k1430</f>
        <v>8</v>
      </c>
      <c r="I1430" s="191" t="n">
        <f aca="false">'[2]$ зима'!ay1430*1.1</f>
        <v>6468</v>
      </c>
      <c r="J1430" s="171" t="n">
        <v>2017</v>
      </c>
    </row>
    <row r="1431" customFormat="false" ht="15" hidden="false" customHeight="false" outlineLevel="0" collapsed="false">
      <c r="A1431" s="196" t="s">
        <v>2148</v>
      </c>
      <c r="B1431" s="149" t="s">
        <v>601</v>
      </c>
      <c r="C1431" s="148" t="s">
        <v>3405</v>
      </c>
      <c r="D1431" s="148"/>
      <c r="E1431" s="192"/>
      <c r="F1431" s="192"/>
      <c r="G1431" s="193"/>
      <c r="H1431" s="105" t="n">
        <f aca="false">'[2]$ зима'!j1431-'[2]$ зима'!au1431-'[2]$ зима'!at1431-'[2]$ зима'!as1431-'[2]$ зима'!ar1431-'[2]$ зима'!aq1431-'[2]$ зима'!ap1431-'[2]$ зима'!an1431-'[2]$ зима'!am1431-'[2]$ зима'!al1431-'[2]$ зима'!ak1431-'[2]$ зима'!aj1431-'[2]$ зима'!ah1431-'[2]$ зима'!ag1431-'[2]$ зима'!af1431-'[2]$ зима'!ae1431-'[2]$ зима'!ad1431-'[2]$ зима'!ab1431-'[2]$ зима'!aa1431-'[2]$ зима'!z1431-'[2]$ зима'!y1431-'[2]$ зима'!x1431-'[2]$ зима'!v1431-'[2]$ зима'!u1431-'[2]$ зима'!t1431-'[2]$ зима'!s1431-'[2]$ зима'!r1431-'[2]$ зима'!p1431-'[2]$ зима'!o1431-'[2]$ зима'!n1431-'[2]$ зима'!m1431-'[2]$ зима'!l1431+'[2]$ зима'!q1431+'[2]$ зима'!w1431+'[2]$ зима'!ac1431+'[2]$ зима'!ai1431+'[2]$ зима'!ao1431+'[2]$ зима'!k1431</f>
        <v>4</v>
      </c>
      <c r="I1431" s="191" t="n">
        <f aca="false">'[2]$ зима'!ay1431*1.1</f>
        <v>4774</v>
      </c>
    </row>
    <row r="1432" customFormat="false" ht="15" hidden="false" customHeight="false" outlineLevel="0" collapsed="false">
      <c r="A1432" s="196" t="s">
        <v>2148</v>
      </c>
      <c r="B1432" s="149" t="s">
        <v>557</v>
      </c>
      <c r="C1432" s="148" t="s">
        <v>3744</v>
      </c>
      <c r="D1432" s="148"/>
      <c r="E1432" s="192" t="n">
        <v>116</v>
      </c>
      <c r="F1432" s="192" t="s">
        <v>562</v>
      </c>
      <c r="G1432" s="193"/>
      <c r="H1432" s="105" t="n">
        <f aca="false">'[2]$ зима'!j1432-'[2]$ зима'!au1432-'[2]$ зима'!at1432-'[2]$ зима'!as1432-'[2]$ зима'!ar1432-'[2]$ зима'!aq1432-'[2]$ зима'!ap1432-'[2]$ зима'!an1432-'[2]$ зима'!am1432-'[2]$ зима'!al1432-'[2]$ зима'!ak1432-'[2]$ зима'!aj1432-'[2]$ зима'!ah1432-'[2]$ зима'!ag1432-'[2]$ зима'!af1432-'[2]$ зима'!ae1432-'[2]$ зима'!ad1432-'[2]$ зима'!ab1432-'[2]$ зима'!aa1432-'[2]$ зима'!z1432-'[2]$ зима'!y1432-'[2]$ зима'!x1432-'[2]$ зима'!v1432-'[2]$ зима'!u1432-'[2]$ зима'!t1432-'[2]$ зима'!s1432-'[2]$ зима'!r1432-'[2]$ зима'!p1432-'[2]$ зима'!o1432-'[2]$ зима'!n1432-'[2]$ зима'!m1432-'[2]$ зима'!l1432+'[2]$ зима'!q1432+'[2]$ зима'!w1432+'[2]$ зима'!ac1432+'[2]$ зима'!ai1432+'[2]$ зима'!ao1432+'[2]$ зима'!k1432</f>
        <v>4</v>
      </c>
      <c r="I1432" s="191" t="n">
        <f aca="false">'[2]$ зима'!ay1432*1.1</f>
        <v>2926</v>
      </c>
      <c r="J1432" s="171" t="n">
        <v>2013</v>
      </c>
    </row>
    <row r="1433" customFormat="false" ht="15" hidden="true" customHeight="false" outlineLevel="0" collapsed="false">
      <c r="A1433" s="196" t="s">
        <v>2148</v>
      </c>
      <c r="B1433" s="149" t="s">
        <v>948</v>
      </c>
      <c r="C1433" s="148" t="s">
        <v>3815</v>
      </c>
      <c r="D1433" s="148"/>
      <c r="E1433" s="148"/>
      <c r="F1433" s="148"/>
      <c r="G1433" s="193"/>
      <c r="H1433" s="105" t="n">
        <f aca="false">'[2]$ зима'!j1433-'[2]$ зима'!au1433-'[2]$ зима'!at1433-'[2]$ зима'!as1433-'[2]$ зима'!ar1433-'[2]$ зима'!aq1433-'[2]$ зима'!ap1433-'[2]$ зима'!an1433-'[2]$ зима'!am1433-'[2]$ зима'!al1433-'[2]$ зима'!ak1433-'[2]$ зима'!aj1433-'[2]$ зима'!ah1433-'[2]$ зима'!ag1433-'[2]$ зима'!af1433-'[2]$ зима'!ae1433-'[2]$ зима'!ad1433-'[2]$ зима'!ab1433-'[2]$ зима'!aa1433-'[2]$ зима'!z1433-'[2]$ зима'!y1433-'[2]$ зима'!x1433-'[2]$ зима'!v1433-'[2]$ зима'!u1433-'[2]$ зима'!t1433-'[2]$ зима'!s1433-'[2]$ зима'!r1433-'[2]$ зима'!p1433-'[2]$ зима'!o1433-'[2]$ зима'!n1433-'[2]$ зима'!m1433-'[2]$ зима'!l1433+'[2]$ зима'!q1433+'[2]$ зима'!w1433+'[2]$ зима'!ac1433+'[2]$ зима'!ai1433+'[2]$ зима'!ao1433+'[2]$ зима'!k1433</f>
        <v>0</v>
      </c>
      <c r="I1433" s="191" t="n">
        <f aca="false">'[2]$ зима'!ay1433*1.1</f>
        <v>4774</v>
      </c>
      <c r="J1433" s="171" t="n">
        <v>2017</v>
      </c>
    </row>
    <row r="1434" customFormat="false" ht="15" hidden="true" customHeight="false" outlineLevel="0" collapsed="false">
      <c r="A1434" s="196" t="s">
        <v>2148</v>
      </c>
      <c r="B1434" s="149" t="s">
        <v>606</v>
      </c>
      <c r="C1434" s="148" t="s">
        <v>3715</v>
      </c>
      <c r="D1434" s="148"/>
      <c r="E1434" s="148"/>
      <c r="F1434" s="148"/>
      <c r="G1434" s="193"/>
      <c r="H1434" s="105" t="n">
        <f aca="false">'[2]$ зима'!j1434-'[2]$ зима'!au1434-'[2]$ зима'!at1434-'[2]$ зима'!as1434-'[2]$ зима'!ar1434-'[2]$ зима'!aq1434-'[2]$ зима'!ap1434-'[2]$ зима'!an1434-'[2]$ зима'!am1434-'[2]$ зима'!al1434-'[2]$ зима'!ak1434-'[2]$ зима'!aj1434-'[2]$ зима'!ah1434-'[2]$ зима'!ag1434-'[2]$ зима'!af1434-'[2]$ зима'!ae1434-'[2]$ зима'!ad1434-'[2]$ зима'!ab1434-'[2]$ зима'!aa1434-'[2]$ зима'!z1434-'[2]$ зима'!y1434-'[2]$ зима'!x1434-'[2]$ зима'!v1434-'[2]$ зима'!u1434-'[2]$ зима'!t1434-'[2]$ зима'!s1434-'[2]$ зима'!r1434-'[2]$ зима'!p1434-'[2]$ зима'!o1434-'[2]$ зима'!n1434-'[2]$ зима'!m1434-'[2]$ зима'!l1434+'[2]$ зима'!q1434+'[2]$ зима'!w1434+'[2]$ зима'!ac1434+'[2]$ зима'!ai1434+'[2]$ зима'!ao1434+'[2]$ зима'!k1434</f>
        <v>0</v>
      </c>
      <c r="I1434" s="191" t="n">
        <f aca="false">'[2]$ зима'!ay1434*1.1</f>
        <v>3696</v>
      </c>
    </row>
    <row r="1435" customFormat="false" ht="15" hidden="false" customHeight="false" outlineLevel="0" collapsed="false">
      <c r="A1435" s="196" t="s">
        <v>2148</v>
      </c>
      <c r="B1435" s="149" t="s">
        <v>668</v>
      </c>
      <c r="C1435" s="148" t="s">
        <v>3629</v>
      </c>
      <c r="D1435" s="148"/>
      <c r="E1435" s="192" t="n">
        <v>116</v>
      </c>
      <c r="F1435" s="192" t="s">
        <v>3816</v>
      </c>
      <c r="G1435" s="193" t="s">
        <v>609</v>
      </c>
      <c r="H1435" s="105" t="n">
        <f aca="false">'[2]$ зима'!j1435-'[2]$ зима'!au1435-'[2]$ зима'!at1435-'[2]$ зима'!as1435-'[2]$ зима'!ar1435-'[2]$ зима'!aq1435-'[2]$ зима'!ap1435-'[2]$ зима'!an1435-'[2]$ зима'!am1435-'[2]$ зима'!al1435-'[2]$ зима'!ak1435-'[2]$ зима'!aj1435-'[2]$ зима'!ah1435-'[2]$ зима'!ag1435-'[2]$ зима'!af1435-'[2]$ зима'!ae1435-'[2]$ зима'!ad1435-'[2]$ зима'!ab1435-'[2]$ зима'!aa1435-'[2]$ зима'!z1435-'[2]$ зима'!y1435-'[2]$ зима'!x1435-'[2]$ зима'!v1435-'[2]$ зима'!u1435-'[2]$ зима'!t1435-'[2]$ зима'!s1435-'[2]$ зима'!r1435-'[2]$ зима'!p1435-'[2]$ зима'!o1435-'[2]$ зима'!n1435-'[2]$ зима'!m1435-'[2]$ зима'!l1435+'[2]$ зима'!q1435+'[2]$ зима'!w1435+'[2]$ зима'!ac1435+'[2]$ зима'!ai1435+'[2]$ зима'!ao1435+'[2]$ зима'!k1435</f>
        <v>4</v>
      </c>
      <c r="I1435" s="191" t="n">
        <f aca="false">'[2]$ зима'!ay1435*1.1</f>
        <v>3080</v>
      </c>
      <c r="J1435" s="171" t="n">
        <v>2017</v>
      </c>
    </row>
    <row r="1436" customFormat="false" ht="15" hidden="true" customHeight="false" outlineLevel="0" collapsed="false">
      <c r="A1436" s="196" t="s">
        <v>2148</v>
      </c>
      <c r="B1436" s="149" t="s">
        <v>1471</v>
      </c>
      <c r="C1436" s="148" t="s">
        <v>3817</v>
      </c>
      <c r="D1436" s="148"/>
      <c r="E1436" s="148"/>
      <c r="F1436" s="148"/>
      <c r="G1436" s="193"/>
      <c r="H1436" s="105" t="n">
        <f aca="false">'[2]$ зима'!j1436-'[2]$ зима'!au1436-'[2]$ зима'!at1436-'[2]$ зима'!as1436-'[2]$ зима'!ar1436-'[2]$ зима'!aq1436-'[2]$ зима'!ap1436-'[2]$ зима'!an1436-'[2]$ зима'!am1436-'[2]$ зима'!al1436-'[2]$ зима'!ak1436-'[2]$ зима'!aj1436-'[2]$ зима'!ah1436-'[2]$ зима'!ag1436-'[2]$ зима'!af1436-'[2]$ зима'!ae1436-'[2]$ зима'!ad1436-'[2]$ зима'!ab1436-'[2]$ зима'!aa1436-'[2]$ зима'!z1436-'[2]$ зима'!y1436-'[2]$ зима'!x1436-'[2]$ зима'!v1436-'[2]$ зима'!u1436-'[2]$ зима'!t1436-'[2]$ зима'!s1436-'[2]$ зима'!r1436-'[2]$ зима'!p1436-'[2]$ зима'!o1436-'[2]$ зима'!n1436-'[2]$ зима'!m1436-'[2]$ зима'!l1436+'[2]$ зима'!q1436+'[2]$ зима'!w1436+'[2]$ зима'!ac1436+'[2]$ зима'!ai1436+'[2]$ зима'!ao1436+'[2]$ зима'!k1436</f>
        <v>0</v>
      </c>
      <c r="I1436" s="191" t="n">
        <f aca="false">'[2]$ зима'!ay1436*1.1</f>
        <v>3234</v>
      </c>
    </row>
    <row r="1437" customFormat="false" ht="15" hidden="false" customHeight="false" outlineLevel="0" collapsed="false">
      <c r="A1437" s="196" t="s">
        <v>2148</v>
      </c>
      <c r="B1437" s="149" t="s">
        <v>593</v>
      </c>
      <c r="C1437" s="148" t="s">
        <v>3534</v>
      </c>
      <c r="D1437" s="148"/>
      <c r="E1437" s="192"/>
      <c r="F1437" s="192"/>
      <c r="G1437" s="193" t="s">
        <v>520</v>
      </c>
      <c r="H1437" s="105" t="n">
        <f aca="false">'[2]$ зима'!j1437-'[2]$ зима'!au1437-'[2]$ зима'!at1437-'[2]$ зима'!as1437-'[2]$ зима'!ar1437-'[2]$ зима'!aq1437-'[2]$ зима'!ap1437-'[2]$ зима'!an1437-'[2]$ зима'!am1437-'[2]$ зима'!al1437-'[2]$ зима'!ak1437-'[2]$ зима'!aj1437-'[2]$ зима'!ah1437-'[2]$ зима'!ag1437-'[2]$ зима'!af1437-'[2]$ зима'!ae1437-'[2]$ зима'!ad1437-'[2]$ зима'!ab1437-'[2]$ зима'!aa1437-'[2]$ зима'!z1437-'[2]$ зима'!y1437-'[2]$ зима'!x1437-'[2]$ зима'!v1437-'[2]$ зима'!u1437-'[2]$ зима'!t1437-'[2]$ зима'!s1437-'[2]$ зима'!r1437-'[2]$ зима'!p1437-'[2]$ зима'!o1437-'[2]$ зима'!n1437-'[2]$ зима'!m1437-'[2]$ зима'!l1437+'[2]$ зима'!q1437+'[2]$ зима'!w1437+'[2]$ зима'!ac1437+'[2]$ зима'!ai1437+'[2]$ зима'!ao1437+'[2]$ зима'!k1437</f>
        <v>4</v>
      </c>
      <c r="I1437" s="191" t="n">
        <f aca="false">'[2]$ зима'!ay1437*1.1</f>
        <v>5174.4</v>
      </c>
      <c r="J1437" s="171" t="n">
        <v>2015</v>
      </c>
    </row>
    <row r="1438" customFormat="false" ht="15" hidden="false" customHeight="false" outlineLevel="0" collapsed="false">
      <c r="A1438" s="196" t="s">
        <v>2148</v>
      </c>
      <c r="B1438" s="149" t="s">
        <v>593</v>
      </c>
      <c r="C1438" s="148" t="s">
        <v>3818</v>
      </c>
      <c r="D1438" s="148" t="s">
        <v>3147</v>
      </c>
      <c r="E1438" s="192"/>
      <c r="F1438" s="192"/>
      <c r="G1438" s="193"/>
      <c r="H1438" s="105" t="n">
        <f aca="false">'[2]$ зима'!j1438-'[2]$ зима'!au1438-'[2]$ зима'!at1438-'[2]$ зима'!as1438-'[2]$ зима'!ar1438-'[2]$ зима'!aq1438-'[2]$ зима'!ap1438-'[2]$ зима'!an1438-'[2]$ зима'!am1438-'[2]$ зима'!al1438-'[2]$ зима'!ak1438-'[2]$ зима'!aj1438-'[2]$ зима'!ah1438-'[2]$ зима'!ag1438-'[2]$ зима'!af1438-'[2]$ зима'!ae1438-'[2]$ зима'!ad1438-'[2]$ зима'!ab1438-'[2]$ зима'!aa1438-'[2]$ зима'!z1438-'[2]$ зима'!y1438-'[2]$ зима'!x1438-'[2]$ зима'!v1438-'[2]$ зима'!u1438-'[2]$ зима'!t1438-'[2]$ зима'!s1438-'[2]$ зима'!r1438-'[2]$ зима'!p1438-'[2]$ зима'!o1438-'[2]$ зима'!n1438-'[2]$ зима'!m1438-'[2]$ зима'!l1438+'[2]$ зима'!q1438+'[2]$ зима'!w1438+'[2]$ зима'!ac1438+'[2]$ зима'!ai1438+'[2]$ зима'!ao1438+'[2]$ зима'!k1438</f>
        <v>4</v>
      </c>
      <c r="I1438" s="191" t="n">
        <f aca="false">'[2]$ зима'!ay1438*1.1</f>
        <v>5390</v>
      </c>
      <c r="J1438" s="171" t="n">
        <v>2016</v>
      </c>
    </row>
    <row r="1439" customFormat="false" ht="15" hidden="true" customHeight="false" outlineLevel="0" collapsed="false">
      <c r="A1439" s="196" t="s">
        <v>2148</v>
      </c>
      <c r="B1439" s="149" t="s">
        <v>1149</v>
      </c>
      <c r="C1439" s="148" t="s">
        <v>3271</v>
      </c>
      <c r="D1439" s="148"/>
      <c r="E1439" s="148"/>
      <c r="F1439" s="148"/>
      <c r="G1439" s="193"/>
      <c r="H1439" s="105" t="n">
        <f aca="false">'[2]$ зима'!j1439-'[2]$ зима'!au1439-'[2]$ зима'!at1439-'[2]$ зима'!as1439-'[2]$ зима'!ar1439-'[2]$ зима'!aq1439-'[2]$ зима'!ap1439-'[2]$ зима'!an1439-'[2]$ зима'!am1439-'[2]$ зима'!al1439-'[2]$ зима'!ak1439-'[2]$ зима'!aj1439-'[2]$ зима'!ah1439-'[2]$ зима'!ag1439-'[2]$ зима'!af1439-'[2]$ зима'!ae1439-'[2]$ зима'!ad1439-'[2]$ зима'!ab1439-'[2]$ зима'!aa1439-'[2]$ зима'!z1439-'[2]$ зима'!y1439-'[2]$ зима'!x1439-'[2]$ зима'!v1439-'[2]$ зима'!u1439-'[2]$ зима'!t1439-'[2]$ зима'!s1439-'[2]$ зима'!r1439-'[2]$ зима'!p1439-'[2]$ зима'!o1439-'[2]$ зима'!n1439-'[2]$ зима'!m1439-'[2]$ зима'!l1439+'[2]$ зима'!q1439+'[2]$ зима'!w1439+'[2]$ зима'!ac1439+'[2]$ зима'!ai1439+'[2]$ зима'!ao1439+'[2]$ зима'!k1439</f>
        <v>0</v>
      </c>
      <c r="I1439" s="191" t="n">
        <f aca="false">'[2]$ зима'!ay1439*1.1</f>
        <v>3080</v>
      </c>
    </row>
    <row r="1440" customFormat="false" ht="15" hidden="false" customHeight="false" outlineLevel="0" collapsed="false">
      <c r="A1440" s="196" t="s">
        <v>2148</v>
      </c>
      <c r="B1440" s="149" t="s">
        <v>3142</v>
      </c>
      <c r="C1440" s="148" t="s">
        <v>3761</v>
      </c>
      <c r="D1440" s="148"/>
      <c r="E1440" s="192"/>
      <c r="F1440" s="192"/>
      <c r="G1440" s="193" t="s">
        <v>609</v>
      </c>
      <c r="H1440" s="105" t="n">
        <f aca="false">'[2]$ зима'!j1440-'[2]$ зима'!au1440-'[2]$ зима'!at1440-'[2]$ зима'!as1440-'[2]$ зима'!ar1440-'[2]$ зима'!aq1440-'[2]$ зима'!ap1440-'[2]$ зима'!an1440-'[2]$ зима'!am1440-'[2]$ зима'!al1440-'[2]$ зима'!ak1440-'[2]$ зима'!aj1440-'[2]$ зима'!ah1440-'[2]$ зима'!ag1440-'[2]$ зима'!af1440-'[2]$ зима'!ae1440-'[2]$ зима'!ad1440-'[2]$ зима'!ab1440-'[2]$ зима'!aa1440-'[2]$ зима'!z1440-'[2]$ зима'!y1440-'[2]$ зима'!x1440-'[2]$ зима'!v1440-'[2]$ зима'!u1440-'[2]$ зима'!t1440-'[2]$ зима'!s1440-'[2]$ зима'!r1440-'[2]$ зима'!p1440-'[2]$ зима'!o1440-'[2]$ зима'!n1440-'[2]$ зима'!m1440-'[2]$ зима'!l1440+'[2]$ зима'!q1440+'[2]$ зима'!w1440+'[2]$ зима'!ac1440+'[2]$ зима'!ai1440+'[2]$ зима'!ao1440+'[2]$ зима'!k1440</f>
        <v>4</v>
      </c>
      <c r="I1440" s="191" t="n">
        <f aca="false">'[2]$ зима'!ay1440*1.1</f>
        <v>2926</v>
      </c>
      <c r="J1440" s="171" t="n">
        <v>2016</v>
      </c>
    </row>
    <row r="1441" customFormat="false" ht="15" hidden="true" customHeight="false" outlineLevel="0" collapsed="false">
      <c r="A1441" s="196" t="s">
        <v>2148</v>
      </c>
      <c r="B1441" s="149" t="s">
        <v>589</v>
      </c>
      <c r="C1441" s="148" t="s">
        <v>3819</v>
      </c>
      <c r="D1441" s="148"/>
      <c r="E1441" s="148"/>
      <c r="F1441" s="148"/>
      <c r="G1441" s="193" t="s">
        <v>626</v>
      </c>
      <c r="H1441" s="105" t="n">
        <f aca="false">'[2]$ зима'!j1441-'[2]$ зима'!au1441-'[2]$ зима'!at1441-'[2]$ зима'!as1441-'[2]$ зима'!ar1441-'[2]$ зима'!aq1441-'[2]$ зима'!ap1441-'[2]$ зима'!an1441-'[2]$ зима'!am1441-'[2]$ зима'!al1441-'[2]$ зима'!ak1441-'[2]$ зима'!aj1441-'[2]$ зима'!ah1441-'[2]$ зима'!ag1441-'[2]$ зима'!af1441-'[2]$ зима'!ae1441-'[2]$ зима'!ad1441-'[2]$ зима'!ab1441-'[2]$ зима'!aa1441-'[2]$ зима'!z1441-'[2]$ зима'!y1441-'[2]$ зима'!x1441-'[2]$ зима'!v1441-'[2]$ зима'!u1441-'[2]$ зима'!t1441-'[2]$ зима'!s1441-'[2]$ зима'!r1441-'[2]$ зима'!p1441-'[2]$ зима'!o1441-'[2]$ зима'!n1441-'[2]$ зима'!m1441-'[2]$ зима'!l1441+'[2]$ зима'!q1441+'[2]$ зима'!w1441+'[2]$ зима'!ac1441+'[2]$ зима'!ai1441+'[2]$ зима'!ao1441+'[2]$ зима'!k1441</f>
        <v>0</v>
      </c>
      <c r="I1441" s="191" t="n">
        <f aca="false">'[2]$ зима'!ay1441*1.1</f>
        <v>4887.41</v>
      </c>
    </row>
    <row r="1442" customFormat="false" ht="15" hidden="false" customHeight="false" outlineLevel="0" collapsed="false">
      <c r="A1442" s="196" t="s">
        <v>2148</v>
      </c>
      <c r="B1442" s="149" t="s">
        <v>1028</v>
      </c>
      <c r="C1442" s="148" t="s">
        <v>3820</v>
      </c>
      <c r="D1442" s="148"/>
      <c r="E1442" s="192"/>
      <c r="F1442" s="192"/>
      <c r="G1442" s="193"/>
      <c r="H1442" s="105" t="n">
        <f aca="false">'[2]$ зима'!j1442-'[2]$ зима'!au1442-'[2]$ зима'!at1442-'[2]$ зима'!as1442-'[2]$ зима'!ar1442-'[2]$ зима'!aq1442-'[2]$ зима'!ap1442-'[2]$ зима'!an1442-'[2]$ зима'!am1442-'[2]$ зима'!al1442-'[2]$ зима'!ak1442-'[2]$ зима'!aj1442-'[2]$ зима'!ah1442-'[2]$ зима'!ag1442-'[2]$ зима'!af1442-'[2]$ зима'!ae1442-'[2]$ зима'!ad1442-'[2]$ зима'!ab1442-'[2]$ зима'!aa1442-'[2]$ зима'!z1442-'[2]$ зима'!y1442-'[2]$ зима'!x1442-'[2]$ зима'!v1442-'[2]$ зима'!u1442-'[2]$ зима'!t1442-'[2]$ зима'!s1442-'[2]$ зима'!r1442-'[2]$ зима'!p1442-'[2]$ зима'!o1442-'[2]$ зима'!n1442-'[2]$ зима'!m1442-'[2]$ зима'!l1442+'[2]$ зима'!q1442+'[2]$ зима'!w1442+'[2]$ зима'!ac1442+'[2]$ зима'!ai1442+'[2]$ зима'!ao1442+'[2]$ зима'!k1442</f>
        <v>2</v>
      </c>
      <c r="I1442" s="191" t="n">
        <f aca="false">'[2]$ зима'!ay1442*1.1</f>
        <v>3696</v>
      </c>
    </row>
    <row r="1443" customFormat="false" ht="15" hidden="true" customHeight="false" outlineLevel="0" collapsed="false">
      <c r="A1443" s="196" t="s">
        <v>2148</v>
      </c>
      <c r="B1443" s="149" t="s">
        <v>1028</v>
      </c>
      <c r="C1443" s="148" t="s">
        <v>3821</v>
      </c>
      <c r="D1443" s="148"/>
      <c r="E1443" s="148"/>
      <c r="F1443" s="148"/>
      <c r="G1443" s="193"/>
      <c r="H1443" s="105" t="n">
        <f aca="false">'[2]$ зима'!j1443-'[2]$ зима'!au1443-'[2]$ зима'!at1443-'[2]$ зима'!as1443-'[2]$ зима'!ar1443-'[2]$ зима'!aq1443-'[2]$ зима'!ap1443-'[2]$ зима'!an1443-'[2]$ зима'!am1443-'[2]$ зима'!al1443-'[2]$ зима'!ak1443-'[2]$ зима'!aj1443-'[2]$ зима'!ah1443-'[2]$ зима'!ag1443-'[2]$ зима'!af1443-'[2]$ зима'!ae1443-'[2]$ зима'!ad1443-'[2]$ зима'!ab1443-'[2]$ зима'!aa1443-'[2]$ зима'!z1443-'[2]$ зима'!y1443-'[2]$ зима'!x1443-'[2]$ зима'!v1443-'[2]$ зима'!u1443-'[2]$ зима'!t1443-'[2]$ зима'!s1443-'[2]$ зима'!r1443-'[2]$ зима'!p1443-'[2]$ зима'!o1443-'[2]$ зима'!n1443-'[2]$ зима'!m1443-'[2]$ зима'!l1443+'[2]$ зима'!q1443+'[2]$ зима'!w1443+'[2]$ зима'!ac1443+'[2]$ зима'!ai1443+'[2]$ зима'!ao1443+'[2]$ зима'!k1443</f>
        <v>0</v>
      </c>
      <c r="I1443" s="191" t="n">
        <f aca="false">'[2]$ зима'!ay1443*1.1</f>
        <v>4158</v>
      </c>
    </row>
    <row r="1444" customFormat="false" ht="15.75" hidden="false" customHeight="false" outlineLevel="0" collapsed="false">
      <c r="A1444" s="183" t="s">
        <v>2169</v>
      </c>
      <c r="B1444" s="207"/>
      <c r="C1444" s="207"/>
      <c r="D1444" s="207"/>
      <c r="E1444" s="208"/>
      <c r="F1444" s="208"/>
      <c r="G1444" s="209"/>
      <c r="H1444" s="105"/>
      <c r="I1444" s="187" t="n">
        <f aca="false">'[2]$ зима'!ay1444*1.1</f>
        <v>0</v>
      </c>
    </row>
    <row r="1445" customFormat="false" ht="15" hidden="true" customHeight="false" outlineLevel="0" collapsed="false">
      <c r="A1445" s="196" t="s">
        <v>2172</v>
      </c>
      <c r="B1445" s="149" t="s">
        <v>668</v>
      </c>
      <c r="C1445" s="148" t="s">
        <v>3664</v>
      </c>
      <c r="D1445" s="149"/>
      <c r="E1445" s="149"/>
      <c r="F1445" s="149"/>
      <c r="G1445" s="193"/>
      <c r="H1445" s="105" t="n">
        <f aca="false">'[2]$ зима'!j1445-'[2]$ зима'!au1445-'[2]$ зима'!at1445-'[2]$ зима'!as1445-'[2]$ зима'!ar1445-'[2]$ зима'!aq1445-'[2]$ зима'!ap1445-'[2]$ зима'!an1445-'[2]$ зима'!am1445-'[2]$ зима'!al1445-'[2]$ зима'!ak1445-'[2]$ зима'!aj1445-'[2]$ зима'!ah1445-'[2]$ зима'!ag1445-'[2]$ зима'!af1445-'[2]$ зима'!ae1445-'[2]$ зима'!ad1445-'[2]$ зима'!ab1445-'[2]$ зима'!aa1445-'[2]$ зима'!z1445-'[2]$ зима'!y1445-'[2]$ зима'!x1445-'[2]$ зима'!v1445-'[2]$ зима'!u1445-'[2]$ зима'!t1445-'[2]$ зима'!s1445-'[2]$ зима'!r1445-'[2]$ зима'!p1445-'[2]$ зима'!o1445-'[2]$ зима'!n1445-'[2]$ зима'!m1445-'[2]$ зима'!l1445+'[2]$ зима'!q1445+'[2]$ зима'!w1445+'[2]$ зима'!ac1445+'[2]$ зима'!ai1445+'[2]$ зима'!ao1445+'[2]$ зима'!k1445</f>
        <v>0</v>
      </c>
      <c r="I1445" s="191" t="n">
        <f aca="false">'[2]$ зима'!ay1445*1.1</f>
        <v>3696</v>
      </c>
    </row>
    <row r="1446" customFormat="false" ht="15" hidden="true" customHeight="false" outlineLevel="0" collapsed="false">
      <c r="A1446" s="196" t="s">
        <v>2172</v>
      </c>
      <c r="B1446" s="149" t="s">
        <v>589</v>
      </c>
      <c r="C1446" s="149" t="s">
        <v>3822</v>
      </c>
      <c r="D1446" s="149"/>
      <c r="E1446" s="149"/>
      <c r="F1446" s="149"/>
      <c r="G1446" s="193" t="s">
        <v>626</v>
      </c>
      <c r="H1446" s="105" t="n">
        <f aca="false">'[2]$ зима'!j1446-'[2]$ зима'!au1446-'[2]$ зима'!at1446-'[2]$ зима'!as1446-'[2]$ зима'!ar1446-'[2]$ зима'!aq1446-'[2]$ зима'!ap1446-'[2]$ зима'!an1446-'[2]$ зима'!am1446-'[2]$ зима'!al1446-'[2]$ зима'!ak1446-'[2]$ зима'!aj1446-'[2]$ зима'!ah1446-'[2]$ зима'!ag1446-'[2]$ зима'!af1446-'[2]$ зима'!ae1446-'[2]$ зима'!ad1446-'[2]$ зима'!ab1446-'[2]$ зима'!aa1446-'[2]$ зима'!z1446-'[2]$ зима'!y1446-'[2]$ зима'!x1446-'[2]$ зима'!v1446-'[2]$ зима'!u1446-'[2]$ зима'!t1446-'[2]$ зима'!s1446-'[2]$ зима'!r1446-'[2]$ зима'!p1446-'[2]$ зима'!o1446-'[2]$ зима'!n1446-'[2]$ зима'!m1446-'[2]$ зима'!l1446+'[2]$ зима'!q1446+'[2]$ зима'!w1446+'[2]$ зима'!ac1446+'[2]$ зима'!ai1446+'[2]$ зима'!ao1446+'[2]$ зима'!k1446</f>
        <v>0</v>
      </c>
      <c r="I1446" s="191" t="n">
        <f aca="false">'[2]$ зима'!ay1446*1.1</f>
        <v>4607.24</v>
      </c>
      <c r="J1446" s="171" t="n">
        <v>2017</v>
      </c>
    </row>
    <row r="1447" customFormat="false" ht="15" hidden="true" customHeight="false" outlineLevel="0" collapsed="false">
      <c r="A1447" s="196" t="s">
        <v>2172</v>
      </c>
      <c r="B1447" s="149" t="s">
        <v>1028</v>
      </c>
      <c r="C1447" s="149" t="s">
        <v>3823</v>
      </c>
      <c r="D1447" s="149"/>
      <c r="E1447" s="149"/>
      <c r="F1447" s="149"/>
      <c r="G1447" s="193"/>
      <c r="H1447" s="105" t="n">
        <f aca="false">'[2]$ зима'!j1447-'[2]$ зима'!au1447-'[2]$ зима'!at1447-'[2]$ зима'!as1447-'[2]$ зима'!ar1447-'[2]$ зима'!aq1447-'[2]$ зима'!ap1447-'[2]$ зима'!an1447-'[2]$ зима'!am1447-'[2]$ зима'!al1447-'[2]$ зима'!ak1447-'[2]$ зима'!aj1447-'[2]$ зима'!ah1447-'[2]$ зима'!ag1447-'[2]$ зима'!af1447-'[2]$ зима'!ae1447-'[2]$ зима'!ad1447-'[2]$ зима'!ab1447-'[2]$ зима'!aa1447-'[2]$ зима'!z1447-'[2]$ зима'!y1447-'[2]$ зима'!x1447-'[2]$ зима'!v1447-'[2]$ зима'!u1447-'[2]$ зима'!t1447-'[2]$ зима'!s1447-'[2]$ зима'!r1447-'[2]$ зима'!p1447-'[2]$ зима'!o1447-'[2]$ зима'!n1447-'[2]$ зима'!m1447-'[2]$ зима'!l1447+'[2]$ зима'!q1447+'[2]$ зима'!w1447+'[2]$ зима'!ac1447+'[2]$ зима'!ai1447+'[2]$ зима'!ao1447+'[2]$ зима'!k1447</f>
        <v>0</v>
      </c>
      <c r="I1447" s="191" t="n">
        <f aca="false">'[2]$ зима'!ay1447*1.1</f>
        <v>3542</v>
      </c>
    </row>
    <row r="1448" customFormat="false" ht="15" hidden="true" customHeight="false" outlineLevel="0" collapsed="false">
      <c r="A1448" s="197" t="s">
        <v>2175</v>
      </c>
      <c r="B1448" s="198" t="s">
        <v>601</v>
      </c>
      <c r="C1448" s="148" t="s">
        <v>3482</v>
      </c>
      <c r="D1448" s="148"/>
      <c r="E1448" s="148"/>
      <c r="F1448" s="148"/>
      <c r="G1448" s="193"/>
      <c r="H1448" s="105" t="n">
        <f aca="false">'[2]$ зима'!j1448-'[2]$ зима'!au1448-'[2]$ зима'!at1448-'[2]$ зима'!as1448-'[2]$ зима'!ar1448-'[2]$ зима'!aq1448-'[2]$ зима'!ap1448-'[2]$ зима'!an1448-'[2]$ зима'!am1448-'[2]$ зима'!al1448-'[2]$ зима'!ak1448-'[2]$ зима'!aj1448-'[2]$ зима'!ah1448-'[2]$ зима'!ag1448-'[2]$ зима'!af1448-'[2]$ зима'!ae1448-'[2]$ зима'!ad1448-'[2]$ зима'!ab1448-'[2]$ зима'!aa1448-'[2]$ зима'!z1448-'[2]$ зима'!y1448-'[2]$ зима'!x1448-'[2]$ зима'!v1448-'[2]$ зима'!u1448-'[2]$ зима'!t1448-'[2]$ зима'!s1448-'[2]$ зима'!r1448-'[2]$ зима'!p1448-'[2]$ зима'!o1448-'[2]$ зима'!n1448-'[2]$ зима'!m1448-'[2]$ зима'!l1448+'[2]$ зима'!q1448+'[2]$ зима'!w1448+'[2]$ зима'!ac1448+'[2]$ зима'!ai1448+'[2]$ зима'!ao1448+'[2]$ зима'!k1448</f>
        <v>0</v>
      </c>
      <c r="I1448" s="191" t="n">
        <f aca="false">'[2]$ зима'!ay1448*1.1</f>
        <v>5082</v>
      </c>
    </row>
    <row r="1449" customFormat="false" ht="15" hidden="false" customHeight="false" outlineLevel="0" collapsed="false">
      <c r="A1449" s="232" t="s">
        <v>2175</v>
      </c>
      <c r="B1449" s="157" t="s">
        <v>601</v>
      </c>
      <c r="C1449" s="158" t="s">
        <v>3481</v>
      </c>
      <c r="D1449" s="158"/>
      <c r="E1449" s="224"/>
      <c r="F1449" s="224"/>
      <c r="G1449" s="218"/>
      <c r="H1449" s="105" t="n">
        <f aca="false">'[2]$ зима'!j1449-'[2]$ зима'!au1449-'[2]$ зима'!at1449-'[2]$ зима'!as1449-'[2]$ зима'!ar1449-'[2]$ зима'!aq1449-'[2]$ зима'!ap1449-'[2]$ зима'!an1449-'[2]$ зима'!am1449-'[2]$ зима'!al1449-'[2]$ зима'!ak1449-'[2]$ зима'!aj1449-'[2]$ зима'!ah1449-'[2]$ зима'!ag1449-'[2]$ зима'!af1449-'[2]$ зима'!ae1449-'[2]$ зима'!ad1449-'[2]$ зима'!ab1449-'[2]$ зима'!aa1449-'[2]$ зима'!z1449-'[2]$ зима'!y1449-'[2]$ зима'!x1449-'[2]$ зима'!v1449-'[2]$ зима'!u1449-'[2]$ зима'!t1449-'[2]$ зима'!s1449-'[2]$ зима'!r1449-'[2]$ зима'!p1449-'[2]$ зима'!o1449-'[2]$ зима'!n1449-'[2]$ зима'!m1449-'[2]$ зима'!l1449+'[2]$ зима'!q1449+'[2]$ зима'!w1449+'[2]$ зима'!ac1449+'[2]$ зима'!ai1449+'[2]$ зима'!ao1449+'[2]$ зима'!k1449</f>
        <v>4</v>
      </c>
      <c r="I1449" s="219"/>
    </row>
    <row r="1450" customFormat="false" ht="15" hidden="true" customHeight="false" outlineLevel="0" collapsed="false">
      <c r="A1450" s="197" t="s">
        <v>2175</v>
      </c>
      <c r="B1450" s="198" t="s">
        <v>606</v>
      </c>
      <c r="C1450" s="148" t="s">
        <v>3824</v>
      </c>
      <c r="D1450" s="148"/>
      <c r="E1450" s="148" t="n">
        <v>101</v>
      </c>
      <c r="F1450" s="148" t="s">
        <v>562</v>
      </c>
      <c r="G1450" s="193"/>
      <c r="H1450" s="105" t="n">
        <f aca="false">'[2]$ зима'!j1450-'[2]$ зима'!au1450-'[2]$ зима'!at1450-'[2]$ зима'!as1450-'[2]$ зима'!ar1450-'[2]$ зима'!aq1450-'[2]$ зима'!ap1450-'[2]$ зима'!an1450-'[2]$ зима'!am1450-'[2]$ зима'!al1450-'[2]$ зима'!ak1450-'[2]$ зима'!aj1450-'[2]$ зима'!ah1450-'[2]$ зима'!ag1450-'[2]$ зима'!af1450-'[2]$ зима'!ae1450-'[2]$ зима'!ad1450-'[2]$ зима'!ab1450-'[2]$ зима'!aa1450-'[2]$ зима'!z1450-'[2]$ зима'!y1450-'[2]$ зима'!x1450-'[2]$ зима'!v1450-'[2]$ зима'!u1450-'[2]$ зима'!t1450-'[2]$ зима'!s1450-'[2]$ зима'!r1450-'[2]$ зима'!p1450-'[2]$ зима'!o1450-'[2]$ зима'!n1450-'[2]$ зима'!m1450-'[2]$ зима'!l1450+'[2]$ зима'!q1450+'[2]$ зима'!w1450+'[2]$ зима'!ac1450+'[2]$ зима'!ai1450+'[2]$ зима'!ao1450+'[2]$ зима'!k1450</f>
        <v>0</v>
      </c>
      <c r="I1450" s="191" t="n">
        <f aca="false">'[2]$ зима'!ay1450*1.1</f>
        <v>3357.2</v>
      </c>
    </row>
    <row r="1451" customFormat="false" ht="15" hidden="true" customHeight="false" outlineLevel="0" collapsed="false">
      <c r="A1451" s="197" t="s">
        <v>2175</v>
      </c>
      <c r="B1451" s="198" t="s">
        <v>606</v>
      </c>
      <c r="C1451" s="148" t="s">
        <v>3825</v>
      </c>
      <c r="D1451" s="148"/>
      <c r="E1451" s="148" t="n">
        <v>101</v>
      </c>
      <c r="F1451" s="148" t="s">
        <v>3207</v>
      </c>
      <c r="G1451" s="193"/>
      <c r="H1451" s="105" t="n">
        <f aca="false">'[2]$ зима'!j1451-'[2]$ зима'!au1451-'[2]$ зима'!at1451-'[2]$ зима'!as1451-'[2]$ зима'!ar1451-'[2]$ зима'!aq1451-'[2]$ зима'!ap1451-'[2]$ зима'!an1451-'[2]$ зима'!am1451-'[2]$ зима'!al1451-'[2]$ зима'!ak1451-'[2]$ зима'!aj1451-'[2]$ зима'!ah1451-'[2]$ зима'!ag1451-'[2]$ зима'!af1451-'[2]$ зима'!ae1451-'[2]$ зима'!ad1451-'[2]$ зима'!ab1451-'[2]$ зима'!aa1451-'[2]$ зима'!z1451-'[2]$ зима'!y1451-'[2]$ зима'!x1451-'[2]$ зима'!v1451-'[2]$ зима'!u1451-'[2]$ зима'!t1451-'[2]$ зима'!s1451-'[2]$ зима'!r1451-'[2]$ зима'!p1451-'[2]$ зима'!o1451-'[2]$ зима'!n1451-'[2]$ зима'!m1451-'[2]$ зима'!l1451+'[2]$ зима'!q1451+'[2]$ зима'!w1451+'[2]$ зима'!ac1451+'[2]$ зима'!ai1451+'[2]$ зима'!ao1451+'[2]$ зима'!k1451</f>
        <v>0</v>
      </c>
      <c r="I1451" s="191" t="n">
        <f aca="false">'[2]$ зима'!ay1451*1.1</f>
        <v>3388</v>
      </c>
    </row>
    <row r="1452" customFormat="false" ht="15" hidden="true" customHeight="false" outlineLevel="0" collapsed="false">
      <c r="A1452" s="197" t="s">
        <v>2175</v>
      </c>
      <c r="B1452" s="198" t="s">
        <v>668</v>
      </c>
      <c r="C1452" s="148" t="s">
        <v>3664</v>
      </c>
      <c r="D1452" s="148"/>
      <c r="E1452" s="148"/>
      <c r="F1452" s="148"/>
      <c r="G1452" s="193"/>
      <c r="H1452" s="105" t="n">
        <f aca="false">'[2]$ зима'!j1452-'[2]$ зима'!au1452-'[2]$ зима'!at1452-'[2]$ зима'!as1452-'[2]$ зима'!ar1452-'[2]$ зима'!aq1452-'[2]$ зима'!ap1452-'[2]$ зима'!an1452-'[2]$ зима'!am1452-'[2]$ зима'!al1452-'[2]$ зима'!ak1452-'[2]$ зима'!aj1452-'[2]$ зима'!ah1452-'[2]$ зима'!ag1452-'[2]$ зима'!af1452-'[2]$ зима'!ae1452-'[2]$ зима'!ad1452-'[2]$ зима'!ab1452-'[2]$ зима'!aa1452-'[2]$ зима'!z1452-'[2]$ зима'!y1452-'[2]$ зима'!x1452-'[2]$ зима'!v1452-'[2]$ зима'!u1452-'[2]$ зима'!t1452-'[2]$ зима'!s1452-'[2]$ зима'!r1452-'[2]$ зима'!p1452-'[2]$ зима'!o1452-'[2]$ зима'!n1452-'[2]$ зима'!m1452-'[2]$ зима'!l1452+'[2]$ зима'!q1452+'[2]$ зима'!w1452+'[2]$ зима'!ac1452+'[2]$ зима'!ai1452+'[2]$ зима'!ao1452+'[2]$ зима'!k1452</f>
        <v>0</v>
      </c>
      <c r="I1452" s="191" t="n">
        <f aca="false">'[2]$ зима'!ay1452*1.1</f>
        <v>2926</v>
      </c>
    </row>
    <row r="1453" customFormat="false" ht="15" hidden="true" customHeight="false" outlineLevel="0" collapsed="false">
      <c r="A1453" s="197" t="s">
        <v>2175</v>
      </c>
      <c r="B1453" s="198" t="s">
        <v>593</v>
      </c>
      <c r="C1453" s="148" t="s">
        <v>3724</v>
      </c>
      <c r="D1453" s="148"/>
      <c r="E1453" s="148"/>
      <c r="F1453" s="148"/>
      <c r="G1453" s="193"/>
      <c r="H1453" s="105" t="n">
        <f aca="false">'[2]$ зима'!j1453-'[2]$ зима'!au1453-'[2]$ зима'!at1453-'[2]$ зима'!as1453-'[2]$ зима'!ar1453-'[2]$ зима'!aq1453-'[2]$ зима'!ap1453-'[2]$ зима'!an1453-'[2]$ зима'!am1453-'[2]$ зима'!al1453-'[2]$ зима'!ak1453-'[2]$ зима'!aj1453-'[2]$ зима'!ah1453-'[2]$ зима'!ag1453-'[2]$ зима'!af1453-'[2]$ зима'!ae1453-'[2]$ зима'!ad1453-'[2]$ зима'!ab1453-'[2]$ зима'!aa1453-'[2]$ зима'!z1453-'[2]$ зима'!y1453-'[2]$ зима'!x1453-'[2]$ зима'!v1453-'[2]$ зима'!u1453-'[2]$ зима'!t1453-'[2]$ зима'!s1453-'[2]$ зима'!r1453-'[2]$ зима'!p1453-'[2]$ зима'!o1453-'[2]$ зима'!n1453-'[2]$ зима'!m1453-'[2]$ зима'!l1453+'[2]$ зима'!q1453+'[2]$ зима'!w1453+'[2]$ зима'!ac1453+'[2]$ зима'!ai1453+'[2]$ зима'!ao1453+'[2]$ зима'!k1453</f>
        <v>0</v>
      </c>
      <c r="I1453" s="191" t="n">
        <f aca="false">'[2]$ зима'!ay1453*1.1</f>
        <v>4466</v>
      </c>
    </row>
    <row r="1454" customFormat="false" ht="15" hidden="true" customHeight="false" outlineLevel="0" collapsed="false">
      <c r="A1454" s="197" t="s">
        <v>2175</v>
      </c>
      <c r="B1454" s="198" t="s">
        <v>593</v>
      </c>
      <c r="C1454" s="148" t="s">
        <v>3659</v>
      </c>
      <c r="D1454" s="148"/>
      <c r="E1454" s="148"/>
      <c r="F1454" s="148"/>
      <c r="G1454" s="193"/>
      <c r="H1454" s="105" t="n">
        <f aca="false">'[2]$ зима'!j1454-'[2]$ зима'!au1454-'[2]$ зима'!at1454-'[2]$ зима'!as1454-'[2]$ зима'!ar1454-'[2]$ зима'!aq1454-'[2]$ зима'!ap1454-'[2]$ зима'!an1454-'[2]$ зима'!am1454-'[2]$ зима'!al1454-'[2]$ зима'!ak1454-'[2]$ зима'!aj1454-'[2]$ зима'!ah1454-'[2]$ зима'!ag1454-'[2]$ зима'!af1454-'[2]$ зима'!ae1454-'[2]$ зима'!ad1454-'[2]$ зима'!ab1454-'[2]$ зима'!aa1454-'[2]$ зима'!z1454-'[2]$ зима'!y1454-'[2]$ зима'!x1454-'[2]$ зима'!v1454-'[2]$ зима'!u1454-'[2]$ зима'!t1454-'[2]$ зима'!s1454-'[2]$ зима'!r1454-'[2]$ зима'!p1454-'[2]$ зима'!o1454-'[2]$ зима'!n1454-'[2]$ зима'!m1454-'[2]$ зима'!l1454+'[2]$ зима'!q1454+'[2]$ зима'!w1454+'[2]$ зима'!ac1454+'[2]$ зима'!ai1454+'[2]$ зима'!ao1454+'[2]$ зима'!k1454</f>
        <v>0</v>
      </c>
      <c r="I1454" s="191" t="n">
        <f aca="false">'[2]$ зима'!ay1454*1.1</f>
        <v>4466</v>
      </c>
    </row>
    <row r="1455" customFormat="false" ht="15" hidden="false" customHeight="false" outlineLevel="0" collapsed="false">
      <c r="A1455" s="197" t="s">
        <v>2175</v>
      </c>
      <c r="B1455" s="198" t="s">
        <v>593</v>
      </c>
      <c r="C1455" s="148" t="s">
        <v>3534</v>
      </c>
      <c r="D1455" s="148"/>
      <c r="E1455" s="192"/>
      <c r="F1455" s="192"/>
      <c r="G1455" s="193" t="s">
        <v>3711</v>
      </c>
      <c r="H1455" s="105" t="n">
        <f aca="false">'[2]$ зима'!j1455-'[2]$ зима'!au1455-'[2]$ зима'!at1455-'[2]$ зима'!as1455-'[2]$ зима'!ar1455-'[2]$ зима'!aq1455-'[2]$ зима'!ap1455-'[2]$ зима'!an1455-'[2]$ зима'!am1455-'[2]$ зима'!al1455-'[2]$ зима'!ak1455-'[2]$ зима'!aj1455-'[2]$ зима'!ah1455-'[2]$ зима'!ag1455-'[2]$ зима'!af1455-'[2]$ зима'!ae1455-'[2]$ зима'!ad1455-'[2]$ зима'!ab1455-'[2]$ зима'!aa1455-'[2]$ зима'!z1455-'[2]$ зима'!y1455-'[2]$ зима'!x1455-'[2]$ зима'!v1455-'[2]$ зима'!u1455-'[2]$ зима'!t1455-'[2]$ зима'!s1455-'[2]$ зима'!r1455-'[2]$ зима'!p1455-'[2]$ зима'!o1455-'[2]$ зима'!n1455-'[2]$ зима'!m1455-'[2]$ зима'!l1455+'[2]$ зима'!q1455+'[2]$ зима'!w1455+'[2]$ зима'!ac1455+'[2]$ зима'!ai1455+'[2]$ зима'!ao1455+'[2]$ зима'!k1455</f>
        <v>4</v>
      </c>
      <c r="I1455" s="191" t="n">
        <f aca="false">'[2]$ зима'!ay1455*1.1</f>
        <v>6098.4</v>
      </c>
      <c r="J1455" s="171" t="n">
        <v>2017</v>
      </c>
    </row>
    <row r="1456" customFormat="false" ht="15" hidden="false" customHeight="false" outlineLevel="0" collapsed="false">
      <c r="A1456" s="197" t="s">
        <v>2175</v>
      </c>
      <c r="B1456" s="198" t="s">
        <v>593</v>
      </c>
      <c r="C1456" s="148" t="s">
        <v>3632</v>
      </c>
      <c r="D1456" s="148"/>
      <c r="E1456" s="192"/>
      <c r="F1456" s="192" t="s">
        <v>3286</v>
      </c>
      <c r="G1456" s="193" t="s">
        <v>849</v>
      </c>
      <c r="H1456" s="105" t="n">
        <f aca="false">'[2]$ зима'!j1456-'[2]$ зима'!au1456-'[2]$ зима'!at1456-'[2]$ зима'!as1456-'[2]$ зима'!ar1456-'[2]$ зима'!aq1456-'[2]$ зима'!ap1456-'[2]$ зима'!an1456-'[2]$ зима'!am1456-'[2]$ зима'!al1456-'[2]$ зима'!ak1456-'[2]$ зима'!aj1456-'[2]$ зима'!ah1456-'[2]$ зима'!ag1456-'[2]$ зима'!af1456-'[2]$ зима'!ae1456-'[2]$ зима'!ad1456-'[2]$ зима'!ab1456-'[2]$ зима'!aa1456-'[2]$ зима'!z1456-'[2]$ зима'!y1456-'[2]$ зима'!x1456-'[2]$ зима'!v1456-'[2]$ зима'!u1456-'[2]$ зима'!t1456-'[2]$ зима'!s1456-'[2]$ зима'!r1456-'[2]$ зима'!p1456-'[2]$ зима'!o1456-'[2]$ зима'!n1456-'[2]$ зима'!m1456-'[2]$ зима'!l1456+'[2]$ зима'!q1456+'[2]$ зима'!w1456+'[2]$ зима'!ac1456+'[2]$ зима'!ai1456+'[2]$ зима'!ao1456+'[2]$ зима'!k1456</f>
        <v>4</v>
      </c>
      <c r="I1456" s="191" t="n">
        <f aca="false">'[2]$ зима'!ay1456*1.1</f>
        <v>6344.8</v>
      </c>
      <c r="J1456" s="171" t="n">
        <v>2017</v>
      </c>
    </row>
    <row r="1457" customFormat="false" ht="15" hidden="true" customHeight="false" outlineLevel="0" collapsed="false">
      <c r="A1457" s="197" t="s">
        <v>2175</v>
      </c>
      <c r="B1457" s="198" t="s">
        <v>677</v>
      </c>
      <c r="C1457" s="194" t="s">
        <v>3136</v>
      </c>
      <c r="D1457" s="148"/>
      <c r="E1457" s="148"/>
      <c r="F1457" s="148"/>
      <c r="G1457" s="193"/>
      <c r="H1457" s="105" t="n">
        <f aca="false">'[2]$ зима'!j1457-'[2]$ зима'!au1457-'[2]$ зима'!at1457-'[2]$ зима'!as1457-'[2]$ зима'!ar1457-'[2]$ зима'!aq1457-'[2]$ зима'!ap1457-'[2]$ зима'!an1457-'[2]$ зима'!am1457-'[2]$ зима'!al1457-'[2]$ зима'!ak1457-'[2]$ зима'!aj1457-'[2]$ зима'!ah1457-'[2]$ зима'!ag1457-'[2]$ зима'!af1457-'[2]$ зима'!ae1457-'[2]$ зима'!ad1457-'[2]$ зима'!ab1457-'[2]$ зима'!aa1457-'[2]$ зима'!z1457-'[2]$ зима'!y1457-'[2]$ зима'!x1457-'[2]$ зима'!v1457-'[2]$ зима'!u1457-'[2]$ зима'!t1457-'[2]$ зима'!s1457-'[2]$ зима'!r1457-'[2]$ зима'!p1457-'[2]$ зима'!o1457-'[2]$ зима'!n1457-'[2]$ зима'!m1457-'[2]$ зима'!l1457+'[2]$ зима'!q1457+'[2]$ зима'!w1457+'[2]$ зима'!ac1457+'[2]$ зима'!ai1457+'[2]$ зима'!ao1457+'[2]$ зима'!k1457</f>
        <v>0</v>
      </c>
      <c r="I1457" s="191" t="n">
        <f aca="false">'[2]$ зима'!ay1457*1.1</f>
        <v>2156</v>
      </c>
    </row>
    <row r="1458" customFormat="false" ht="15" hidden="true" customHeight="false" outlineLevel="0" collapsed="false">
      <c r="A1458" s="197" t="s">
        <v>2175</v>
      </c>
      <c r="B1458" s="149" t="s">
        <v>3142</v>
      </c>
      <c r="C1458" s="148" t="s">
        <v>3826</v>
      </c>
      <c r="D1458" s="148"/>
      <c r="E1458" s="148" t="n">
        <v>105</v>
      </c>
      <c r="F1458" s="148" t="s">
        <v>814</v>
      </c>
      <c r="G1458" s="193"/>
      <c r="H1458" s="105" t="n">
        <f aca="false">'[2]$ зима'!j1458-'[2]$ зима'!au1458-'[2]$ зима'!at1458-'[2]$ зима'!as1458-'[2]$ зима'!ar1458-'[2]$ зима'!aq1458-'[2]$ зима'!ap1458-'[2]$ зима'!an1458-'[2]$ зима'!am1458-'[2]$ зима'!al1458-'[2]$ зима'!ak1458-'[2]$ зима'!aj1458-'[2]$ зима'!ah1458-'[2]$ зима'!ag1458-'[2]$ зима'!af1458-'[2]$ зима'!ae1458-'[2]$ зима'!ad1458-'[2]$ зима'!ab1458-'[2]$ зима'!aa1458-'[2]$ зима'!z1458-'[2]$ зима'!y1458-'[2]$ зима'!x1458-'[2]$ зима'!v1458-'[2]$ зима'!u1458-'[2]$ зима'!t1458-'[2]$ зима'!s1458-'[2]$ зима'!r1458-'[2]$ зима'!p1458-'[2]$ зима'!o1458-'[2]$ зима'!n1458-'[2]$ зима'!m1458-'[2]$ зима'!l1458+'[2]$ зима'!q1458+'[2]$ зима'!w1458+'[2]$ зима'!ac1458+'[2]$ зима'!ai1458+'[2]$ зима'!ao1458+'[2]$ зима'!k1458</f>
        <v>0</v>
      </c>
      <c r="I1458" s="191" t="n">
        <f aca="false">'[2]$ зима'!ay1458*1.1</f>
        <v>2772</v>
      </c>
    </row>
    <row r="1459" customFormat="false" ht="15" hidden="false" customHeight="false" outlineLevel="0" collapsed="false">
      <c r="A1459" s="232" t="s">
        <v>2175</v>
      </c>
      <c r="B1459" s="157" t="s">
        <v>1149</v>
      </c>
      <c r="C1459" s="158" t="s">
        <v>3220</v>
      </c>
      <c r="D1459" s="158"/>
      <c r="E1459" s="224"/>
      <c r="F1459" s="224"/>
      <c r="G1459" s="218"/>
      <c r="H1459" s="105" t="n">
        <f aca="false">'[2]$ зима'!j1459-'[2]$ зима'!au1459-'[2]$ зима'!at1459-'[2]$ зима'!as1459-'[2]$ зима'!ar1459-'[2]$ зима'!aq1459-'[2]$ зима'!ap1459-'[2]$ зима'!an1459-'[2]$ зима'!am1459-'[2]$ зима'!al1459-'[2]$ зима'!ak1459-'[2]$ зима'!aj1459-'[2]$ зима'!ah1459-'[2]$ зима'!ag1459-'[2]$ зима'!af1459-'[2]$ зима'!ae1459-'[2]$ зима'!ad1459-'[2]$ зима'!ab1459-'[2]$ зима'!aa1459-'[2]$ зима'!z1459-'[2]$ зима'!y1459-'[2]$ зима'!x1459-'[2]$ зима'!v1459-'[2]$ зима'!u1459-'[2]$ зима'!t1459-'[2]$ зима'!s1459-'[2]$ зима'!r1459-'[2]$ зима'!p1459-'[2]$ зима'!o1459-'[2]$ зима'!n1459-'[2]$ зима'!m1459-'[2]$ зима'!l1459+'[2]$ зима'!q1459+'[2]$ зима'!w1459+'[2]$ зима'!ac1459+'[2]$ зима'!ai1459+'[2]$ зима'!ao1459+'[2]$ зима'!k1459</f>
        <v>3</v>
      </c>
      <c r="I1459" s="219" t="n">
        <f aca="false">'[2]$ зима'!ay1459*1.1</f>
        <v>1650</v>
      </c>
    </row>
    <row r="1460" customFormat="false" ht="15" hidden="false" customHeight="false" outlineLevel="0" collapsed="false">
      <c r="A1460" s="197" t="s">
        <v>2175</v>
      </c>
      <c r="B1460" s="198" t="s">
        <v>1149</v>
      </c>
      <c r="C1460" s="148" t="s">
        <v>3749</v>
      </c>
      <c r="D1460" s="148" t="s">
        <v>3147</v>
      </c>
      <c r="E1460" s="192"/>
      <c r="F1460" s="192"/>
      <c r="G1460" s="193" t="s">
        <v>722</v>
      </c>
      <c r="H1460" s="105" t="n">
        <f aca="false">'[2]$ зима'!j1460-'[2]$ зима'!au1460-'[2]$ зима'!at1460-'[2]$ зима'!as1460-'[2]$ зима'!ar1460-'[2]$ зима'!aq1460-'[2]$ зима'!ap1460-'[2]$ зима'!an1460-'[2]$ зима'!am1460-'[2]$ зима'!al1460-'[2]$ зима'!ak1460-'[2]$ зима'!aj1460-'[2]$ зима'!ah1460-'[2]$ зима'!ag1460-'[2]$ зима'!af1460-'[2]$ зима'!ae1460-'[2]$ зима'!ad1460-'[2]$ зима'!ab1460-'[2]$ зима'!aa1460-'[2]$ зима'!z1460-'[2]$ зима'!y1460-'[2]$ зима'!x1460-'[2]$ зима'!v1460-'[2]$ зима'!u1460-'[2]$ зима'!t1460-'[2]$ зима'!s1460-'[2]$ зима'!r1460-'[2]$ зима'!p1460-'[2]$ зима'!o1460-'[2]$ зима'!n1460-'[2]$ зима'!m1460-'[2]$ зима'!l1460+'[2]$ зима'!q1460+'[2]$ зима'!w1460+'[2]$ зима'!ac1460+'[2]$ зима'!ai1460+'[2]$ зима'!ao1460+'[2]$ зима'!k1460</f>
        <v>4</v>
      </c>
      <c r="I1460" s="191" t="n">
        <f aca="false">'[2]$ зима'!ay1460*1.1</f>
        <v>4312</v>
      </c>
      <c r="J1460" s="171" t="n">
        <v>2011</v>
      </c>
    </row>
    <row r="1461" customFormat="false" ht="15" hidden="false" customHeight="false" outlineLevel="0" collapsed="false">
      <c r="A1461" s="197" t="s">
        <v>2175</v>
      </c>
      <c r="B1461" s="198" t="s">
        <v>833</v>
      </c>
      <c r="C1461" s="148" t="s">
        <v>3827</v>
      </c>
      <c r="D1461" s="148"/>
      <c r="E1461" s="192" t="n">
        <v>105</v>
      </c>
      <c r="F1461" s="192" t="s">
        <v>814</v>
      </c>
      <c r="G1461" s="193"/>
      <c r="H1461" s="105" t="n">
        <f aca="false">'[2]$ зима'!j1461-'[2]$ зима'!au1461-'[2]$ зима'!at1461-'[2]$ зима'!as1461-'[2]$ зима'!ar1461-'[2]$ зима'!aq1461-'[2]$ зима'!ap1461-'[2]$ зима'!an1461-'[2]$ зима'!am1461-'[2]$ зима'!al1461-'[2]$ зима'!ak1461-'[2]$ зима'!aj1461-'[2]$ зима'!ah1461-'[2]$ зима'!ag1461-'[2]$ зима'!af1461-'[2]$ зима'!ae1461-'[2]$ зима'!ad1461-'[2]$ зима'!ab1461-'[2]$ зима'!aa1461-'[2]$ зима'!z1461-'[2]$ зима'!y1461-'[2]$ зима'!x1461-'[2]$ зима'!v1461-'[2]$ зима'!u1461-'[2]$ зима'!t1461-'[2]$ зима'!s1461-'[2]$ зима'!r1461-'[2]$ зима'!p1461-'[2]$ зима'!o1461-'[2]$ зима'!n1461-'[2]$ зима'!m1461-'[2]$ зима'!l1461+'[2]$ зима'!q1461+'[2]$ зима'!w1461+'[2]$ зима'!ac1461+'[2]$ зима'!ai1461+'[2]$ зима'!ao1461+'[2]$ зима'!k1461</f>
        <v>4</v>
      </c>
      <c r="I1461" s="191" t="n">
        <f aca="false">'[2]$ зима'!ay1461*1.1</f>
        <v>2772</v>
      </c>
    </row>
    <row r="1462" customFormat="false" ht="15" hidden="false" customHeight="false" outlineLevel="0" collapsed="false">
      <c r="A1462" s="197" t="s">
        <v>2175</v>
      </c>
      <c r="B1462" s="198" t="s">
        <v>589</v>
      </c>
      <c r="C1462" s="148" t="s">
        <v>3209</v>
      </c>
      <c r="D1462" s="148"/>
      <c r="E1462" s="192" t="n">
        <v>101</v>
      </c>
      <c r="F1462" s="192" t="s">
        <v>3207</v>
      </c>
      <c r="G1462" s="193" t="s">
        <v>626</v>
      </c>
      <c r="H1462" s="105" t="n">
        <f aca="false">'[2]$ зима'!j1462-'[2]$ зима'!au1462-'[2]$ зима'!at1462-'[2]$ зима'!as1462-'[2]$ зима'!ar1462-'[2]$ зима'!aq1462-'[2]$ зима'!ap1462-'[2]$ зима'!an1462-'[2]$ зима'!am1462-'[2]$ зима'!al1462-'[2]$ зима'!ak1462-'[2]$ зима'!aj1462-'[2]$ зима'!ah1462-'[2]$ зима'!ag1462-'[2]$ зима'!af1462-'[2]$ зима'!ae1462-'[2]$ зима'!ad1462-'[2]$ зима'!ab1462-'[2]$ зима'!aa1462-'[2]$ зима'!z1462-'[2]$ зима'!y1462-'[2]$ зима'!x1462-'[2]$ зима'!v1462-'[2]$ зима'!u1462-'[2]$ зима'!t1462-'[2]$ зима'!s1462-'[2]$ зима'!r1462-'[2]$ зима'!p1462-'[2]$ зима'!o1462-'[2]$ зима'!n1462-'[2]$ зима'!m1462-'[2]$ зима'!l1462+'[2]$ зима'!q1462+'[2]$ зима'!w1462+'[2]$ зима'!ac1462+'[2]$ зима'!ai1462+'[2]$ зима'!ao1462+'[2]$ зима'!k1462</f>
        <v>4</v>
      </c>
      <c r="I1462" s="191" t="n">
        <f aca="false">'[2]$ зима'!ay1462*1.1</f>
        <v>4373.6</v>
      </c>
      <c r="J1462" s="171" t="n">
        <v>2018</v>
      </c>
    </row>
    <row r="1463" customFormat="false" ht="15" hidden="true" customHeight="false" outlineLevel="0" collapsed="false">
      <c r="A1463" s="197" t="s">
        <v>2175</v>
      </c>
      <c r="B1463" s="198" t="s">
        <v>564</v>
      </c>
      <c r="C1463" s="148" t="s">
        <v>3828</v>
      </c>
      <c r="D1463" s="148"/>
      <c r="E1463" s="148"/>
      <c r="F1463" s="148"/>
      <c r="G1463" s="193"/>
      <c r="H1463" s="105" t="n">
        <f aca="false">'[2]$ зима'!j1463-'[2]$ зима'!au1463-'[2]$ зима'!at1463-'[2]$ зима'!as1463-'[2]$ зима'!ar1463-'[2]$ зима'!aq1463-'[2]$ зима'!ap1463-'[2]$ зима'!an1463-'[2]$ зима'!am1463-'[2]$ зима'!al1463-'[2]$ зима'!ak1463-'[2]$ зима'!aj1463-'[2]$ зима'!ah1463-'[2]$ зима'!ag1463-'[2]$ зима'!af1463-'[2]$ зима'!ae1463-'[2]$ зима'!ad1463-'[2]$ зима'!ab1463-'[2]$ зима'!aa1463-'[2]$ зима'!z1463-'[2]$ зима'!y1463-'[2]$ зима'!x1463-'[2]$ зима'!v1463-'[2]$ зима'!u1463-'[2]$ зима'!t1463-'[2]$ зима'!s1463-'[2]$ зима'!r1463-'[2]$ зима'!p1463-'[2]$ зима'!o1463-'[2]$ зима'!n1463-'[2]$ зима'!m1463-'[2]$ зима'!l1463+'[2]$ зима'!q1463+'[2]$ зима'!w1463+'[2]$ зима'!ac1463+'[2]$ зима'!ai1463+'[2]$ зима'!ao1463+'[2]$ зима'!k1463</f>
        <v>0</v>
      </c>
      <c r="I1463" s="191" t="n">
        <f aca="false">'[2]$ зима'!ay1463*1.1</f>
        <v>2063.6</v>
      </c>
      <c r="J1463" s="171" t="n">
        <v>2017</v>
      </c>
    </row>
    <row r="1464" customFormat="false" ht="15" hidden="true" customHeight="false" outlineLevel="0" collapsed="false">
      <c r="A1464" s="197" t="s">
        <v>2175</v>
      </c>
      <c r="B1464" s="198" t="s">
        <v>1028</v>
      </c>
      <c r="C1464" s="148" t="s">
        <v>3829</v>
      </c>
      <c r="D1464" s="148"/>
      <c r="E1464" s="148"/>
      <c r="F1464" s="148"/>
      <c r="G1464" s="193" t="s">
        <v>876</v>
      </c>
      <c r="H1464" s="105" t="n">
        <f aca="false">'[2]$ зима'!j1464-'[2]$ зима'!au1464-'[2]$ зима'!at1464-'[2]$ зима'!as1464-'[2]$ зима'!ar1464-'[2]$ зима'!aq1464-'[2]$ зима'!ap1464-'[2]$ зима'!an1464-'[2]$ зима'!am1464-'[2]$ зима'!al1464-'[2]$ зима'!ak1464-'[2]$ зима'!aj1464-'[2]$ зима'!ah1464-'[2]$ зима'!ag1464-'[2]$ зима'!af1464-'[2]$ зима'!ae1464-'[2]$ зима'!ad1464-'[2]$ зима'!ab1464-'[2]$ зима'!aa1464-'[2]$ зима'!z1464-'[2]$ зима'!y1464-'[2]$ зима'!x1464-'[2]$ зима'!v1464-'[2]$ зима'!u1464-'[2]$ зима'!t1464-'[2]$ зима'!s1464-'[2]$ зима'!r1464-'[2]$ зима'!p1464-'[2]$ зима'!o1464-'[2]$ зима'!n1464-'[2]$ зима'!m1464-'[2]$ зима'!l1464+'[2]$ зима'!q1464+'[2]$ зима'!w1464+'[2]$ зима'!ac1464+'[2]$ зима'!ai1464+'[2]$ зима'!ao1464+'[2]$ зима'!k1464</f>
        <v>0</v>
      </c>
      <c r="I1464" s="191" t="n">
        <f aca="false">'[2]$ зима'!ay1464*1.1</f>
        <v>3880.8</v>
      </c>
      <c r="J1464" s="171" t="n">
        <v>2017</v>
      </c>
    </row>
    <row r="1465" customFormat="false" ht="15" hidden="true" customHeight="false" outlineLevel="0" collapsed="false">
      <c r="A1465" s="197" t="s">
        <v>2191</v>
      </c>
      <c r="B1465" s="198" t="s">
        <v>948</v>
      </c>
      <c r="C1465" s="148" t="s">
        <v>3830</v>
      </c>
      <c r="D1465" s="148"/>
      <c r="E1465" s="148"/>
      <c r="F1465" s="148"/>
      <c r="G1465" s="200"/>
      <c r="H1465" s="105" t="n">
        <f aca="false">'[2]$ зима'!j1465-'[2]$ зима'!au1465-'[2]$ зима'!at1465-'[2]$ зима'!as1465-'[2]$ зима'!ar1465-'[2]$ зима'!aq1465-'[2]$ зима'!ap1465-'[2]$ зима'!an1465-'[2]$ зима'!am1465-'[2]$ зима'!al1465-'[2]$ зима'!ak1465-'[2]$ зима'!aj1465-'[2]$ зима'!ah1465-'[2]$ зима'!ag1465-'[2]$ зима'!af1465-'[2]$ зима'!ae1465-'[2]$ зима'!ad1465-'[2]$ зима'!ab1465-'[2]$ зима'!aa1465-'[2]$ зима'!z1465-'[2]$ зима'!y1465-'[2]$ зима'!x1465-'[2]$ зима'!v1465-'[2]$ зима'!u1465-'[2]$ зима'!t1465-'[2]$ зима'!s1465-'[2]$ зима'!r1465-'[2]$ зима'!p1465-'[2]$ зима'!o1465-'[2]$ зима'!n1465-'[2]$ зима'!m1465-'[2]$ зима'!l1465+'[2]$ зима'!q1465+'[2]$ зима'!w1465+'[2]$ зима'!ac1465+'[2]$ зима'!ai1465+'[2]$ зима'!ao1465+'[2]$ зима'!k1465</f>
        <v>0</v>
      </c>
      <c r="I1465" s="191" t="n">
        <f aca="false">'[2]$ зима'!ay1465*1.1</f>
        <v>3388</v>
      </c>
      <c r="J1465" s="201"/>
    </row>
    <row r="1466" customFormat="false" ht="15" hidden="true" customHeight="false" outlineLevel="0" collapsed="false">
      <c r="A1466" s="197" t="s">
        <v>2191</v>
      </c>
      <c r="B1466" s="198" t="s">
        <v>606</v>
      </c>
      <c r="C1466" s="148" t="s">
        <v>3831</v>
      </c>
      <c r="D1466" s="148"/>
      <c r="E1466" s="148" t="n">
        <v>102</v>
      </c>
      <c r="F1466" s="148" t="s">
        <v>970</v>
      </c>
      <c r="G1466" s="200"/>
      <c r="H1466" s="105" t="n">
        <f aca="false">'[2]$ зима'!j1466-'[2]$ зима'!au1466-'[2]$ зима'!at1466-'[2]$ зима'!as1466-'[2]$ зима'!ar1466-'[2]$ зима'!aq1466-'[2]$ зима'!ap1466-'[2]$ зима'!an1466-'[2]$ зима'!am1466-'[2]$ зима'!al1466-'[2]$ зима'!ak1466-'[2]$ зима'!aj1466-'[2]$ зима'!ah1466-'[2]$ зима'!ag1466-'[2]$ зима'!af1466-'[2]$ зима'!ae1466-'[2]$ зима'!ad1466-'[2]$ зима'!ab1466-'[2]$ зима'!aa1466-'[2]$ зима'!z1466-'[2]$ зима'!y1466-'[2]$ зима'!x1466-'[2]$ зима'!v1466-'[2]$ зима'!u1466-'[2]$ зима'!t1466-'[2]$ зима'!s1466-'[2]$ зима'!r1466-'[2]$ зима'!p1466-'[2]$ зима'!o1466-'[2]$ зима'!n1466-'[2]$ зима'!m1466-'[2]$ зима'!l1466+'[2]$ зима'!q1466+'[2]$ зима'!w1466+'[2]$ зима'!ac1466+'[2]$ зима'!ai1466+'[2]$ зима'!ao1466+'[2]$ зима'!k1466</f>
        <v>0</v>
      </c>
      <c r="I1466" s="191" t="n">
        <f aca="false">'[2]$ зима'!ay1466*1.1</f>
        <v>4004</v>
      </c>
      <c r="J1466" s="201" t="n">
        <v>2017</v>
      </c>
    </row>
    <row r="1467" customFormat="false" ht="15" hidden="true" customHeight="false" outlineLevel="0" collapsed="false">
      <c r="A1467" s="197" t="s">
        <v>2191</v>
      </c>
      <c r="B1467" s="198" t="s">
        <v>606</v>
      </c>
      <c r="C1467" s="148" t="s">
        <v>3832</v>
      </c>
      <c r="D1467" s="148"/>
      <c r="E1467" s="148"/>
      <c r="F1467" s="148"/>
      <c r="G1467" s="200"/>
      <c r="H1467" s="105" t="n">
        <f aca="false">'[2]$ зима'!j1467-'[2]$ зима'!au1467-'[2]$ зима'!at1467-'[2]$ зима'!as1467-'[2]$ зима'!ar1467-'[2]$ зима'!aq1467-'[2]$ зима'!ap1467-'[2]$ зима'!an1467-'[2]$ зима'!am1467-'[2]$ зима'!al1467-'[2]$ зима'!ak1467-'[2]$ зима'!aj1467-'[2]$ зима'!ah1467-'[2]$ зима'!ag1467-'[2]$ зима'!af1467-'[2]$ зима'!ae1467-'[2]$ зима'!ad1467-'[2]$ зима'!ab1467-'[2]$ зима'!aa1467-'[2]$ зима'!z1467-'[2]$ зима'!y1467-'[2]$ зима'!x1467-'[2]$ зима'!v1467-'[2]$ зима'!u1467-'[2]$ зима'!t1467-'[2]$ зима'!s1467-'[2]$ зима'!r1467-'[2]$ зима'!p1467-'[2]$ зима'!o1467-'[2]$ зима'!n1467-'[2]$ зима'!m1467-'[2]$ зима'!l1467+'[2]$ зима'!q1467+'[2]$ зима'!w1467+'[2]$ зима'!ac1467+'[2]$ зима'!ai1467+'[2]$ зима'!ao1467+'[2]$ зима'!k1467</f>
        <v>0</v>
      </c>
      <c r="I1467" s="191" t="n">
        <f aca="false">'[2]$ зима'!ay1467*1.1</f>
        <v>4188.8</v>
      </c>
      <c r="J1467" s="201"/>
    </row>
    <row r="1468" customFormat="false" ht="15" hidden="false" customHeight="false" outlineLevel="0" collapsed="false">
      <c r="A1468" s="197" t="s">
        <v>2191</v>
      </c>
      <c r="B1468" s="198" t="s">
        <v>668</v>
      </c>
      <c r="C1468" s="148" t="s">
        <v>3779</v>
      </c>
      <c r="D1468" s="148"/>
      <c r="E1468" s="192"/>
      <c r="F1468" s="192" t="s">
        <v>3286</v>
      </c>
      <c r="G1468" s="200"/>
      <c r="H1468" s="105" t="n">
        <f aca="false">'[2]$ зима'!j1468-'[2]$ зима'!au1468-'[2]$ зима'!at1468-'[2]$ зима'!as1468-'[2]$ зима'!ar1468-'[2]$ зима'!aq1468-'[2]$ зима'!ap1468-'[2]$ зима'!an1468-'[2]$ зима'!am1468-'[2]$ зима'!al1468-'[2]$ зима'!ak1468-'[2]$ зима'!aj1468-'[2]$ зима'!ah1468-'[2]$ зима'!ag1468-'[2]$ зима'!af1468-'[2]$ зима'!ae1468-'[2]$ зима'!ad1468-'[2]$ зима'!ab1468-'[2]$ зима'!aa1468-'[2]$ зима'!z1468-'[2]$ зима'!y1468-'[2]$ зима'!x1468-'[2]$ зима'!v1468-'[2]$ зима'!u1468-'[2]$ зима'!t1468-'[2]$ зима'!s1468-'[2]$ зима'!r1468-'[2]$ зима'!p1468-'[2]$ зима'!o1468-'[2]$ зима'!n1468-'[2]$ зима'!m1468-'[2]$ зима'!l1468+'[2]$ зима'!q1468+'[2]$ зима'!w1468+'[2]$ зима'!ac1468+'[2]$ зима'!ai1468+'[2]$ зима'!ao1468+'[2]$ зима'!k1468</f>
        <v>2</v>
      </c>
      <c r="I1468" s="191" t="n">
        <f aca="false">'[2]$ зима'!ay1468*1.1</f>
        <v>4774</v>
      </c>
      <c r="J1468" s="201"/>
    </row>
    <row r="1469" customFormat="false" ht="15" hidden="true" customHeight="false" outlineLevel="0" collapsed="false">
      <c r="A1469" s="197" t="s">
        <v>2191</v>
      </c>
      <c r="B1469" s="198" t="s">
        <v>593</v>
      </c>
      <c r="C1469" s="194" t="s">
        <v>3188</v>
      </c>
      <c r="D1469" s="194"/>
      <c r="E1469" s="194"/>
      <c r="F1469" s="194"/>
      <c r="G1469" s="200"/>
      <c r="H1469" s="105" t="n">
        <f aca="false">'[2]$ зима'!j1469-'[2]$ зима'!au1469-'[2]$ зима'!at1469-'[2]$ зима'!as1469-'[2]$ зима'!ar1469-'[2]$ зима'!aq1469-'[2]$ зима'!ap1469-'[2]$ зима'!an1469-'[2]$ зима'!am1469-'[2]$ зима'!al1469-'[2]$ зима'!ak1469-'[2]$ зима'!aj1469-'[2]$ зима'!ah1469-'[2]$ зима'!ag1469-'[2]$ зима'!af1469-'[2]$ зима'!ae1469-'[2]$ зима'!ad1469-'[2]$ зима'!ab1469-'[2]$ зима'!aa1469-'[2]$ зима'!z1469-'[2]$ зима'!y1469-'[2]$ зима'!x1469-'[2]$ зима'!v1469-'[2]$ зима'!u1469-'[2]$ зима'!t1469-'[2]$ зима'!s1469-'[2]$ зима'!r1469-'[2]$ зима'!p1469-'[2]$ зима'!o1469-'[2]$ зима'!n1469-'[2]$ зима'!m1469-'[2]$ зима'!l1469+'[2]$ зима'!q1469+'[2]$ зима'!w1469+'[2]$ зима'!ac1469+'[2]$ зима'!ai1469+'[2]$ зима'!ao1469+'[2]$ зима'!k1469</f>
        <v>0</v>
      </c>
      <c r="I1469" s="191" t="n">
        <f aca="false">'[2]$ зима'!ay1469*1.1</f>
        <v>5852</v>
      </c>
      <c r="J1469" s="201"/>
    </row>
    <row r="1470" customFormat="false" ht="15" hidden="true" customHeight="false" outlineLevel="0" collapsed="false">
      <c r="A1470" s="197" t="s">
        <v>2191</v>
      </c>
      <c r="B1470" s="198" t="s">
        <v>593</v>
      </c>
      <c r="C1470" s="194" t="s">
        <v>3735</v>
      </c>
      <c r="D1470" s="194"/>
      <c r="E1470" s="194"/>
      <c r="F1470" s="194"/>
      <c r="G1470" s="200"/>
      <c r="H1470" s="105" t="n">
        <f aca="false">'[2]$ зима'!j1470-'[2]$ зима'!au1470-'[2]$ зима'!at1470-'[2]$ зима'!as1470-'[2]$ зима'!ar1470-'[2]$ зима'!aq1470-'[2]$ зима'!ap1470-'[2]$ зима'!an1470-'[2]$ зима'!am1470-'[2]$ зима'!al1470-'[2]$ зима'!ak1470-'[2]$ зима'!aj1470-'[2]$ зима'!ah1470-'[2]$ зима'!ag1470-'[2]$ зима'!af1470-'[2]$ зима'!ae1470-'[2]$ зима'!ad1470-'[2]$ зима'!ab1470-'[2]$ зима'!aa1470-'[2]$ зима'!z1470-'[2]$ зима'!y1470-'[2]$ зима'!x1470-'[2]$ зима'!v1470-'[2]$ зима'!u1470-'[2]$ зима'!t1470-'[2]$ зима'!s1470-'[2]$ зима'!r1470-'[2]$ зима'!p1470-'[2]$ зима'!o1470-'[2]$ зима'!n1470-'[2]$ зима'!m1470-'[2]$ зима'!l1470+'[2]$ зима'!q1470+'[2]$ зима'!w1470+'[2]$ зима'!ac1470+'[2]$ зима'!ai1470+'[2]$ зима'!ao1470+'[2]$ зима'!k1470</f>
        <v>0</v>
      </c>
      <c r="I1470" s="191" t="n">
        <f aca="false">'[2]$ зима'!ay1470*1.1</f>
        <v>5698</v>
      </c>
      <c r="J1470" s="201"/>
    </row>
    <row r="1471" customFormat="false" ht="15" hidden="true" customHeight="false" outlineLevel="0" collapsed="false">
      <c r="A1471" s="197" t="s">
        <v>2191</v>
      </c>
      <c r="B1471" s="149" t="s">
        <v>3142</v>
      </c>
      <c r="C1471" s="194" t="s">
        <v>3646</v>
      </c>
      <c r="D1471" s="194"/>
      <c r="E1471" s="194"/>
      <c r="F1471" s="194"/>
      <c r="G1471" s="200"/>
      <c r="H1471" s="105" t="n">
        <f aca="false">'[2]$ зима'!j1471-'[2]$ зима'!au1471-'[2]$ зима'!at1471-'[2]$ зима'!as1471-'[2]$ зима'!ar1471-'[2]$ зима'!aq1471-'[2]$ зима'!ap1471-'[2]$ зима'!an1471-'[2]$ зима'!am1471-'[2]$ зима'!al1471-'[2]$ зима'!ak1471-'[2]$ зима'!aj1471-'[2]$ зима'!ah1471-'[2]$ зима'!ag1471-'[2]$ зима'!af1471-'[2]$ зима'!ae1471-'[2]$ зима'!ad1471-'[2]$ зима'!ab1471-'[2]$ зима'!aa1471-'[2]$ зима'!z1471-'[2]$ зима'!y1471-'[2]$ зима'!x1471-'[2]$ зима'!v1471-'[2]$ зима'!u1471-'[2]$ зима'!t1471-'[2]$ зима'!s1471-'[2]$ зима'!r1471-'[2]$ зима'!p1471-'[2]$ зима'!o1471-'[2]$ зима'!n1471-'[2]$ зима'!m1471-'[2]$ зима'!l1471+'[2]$ зима'!q1471+'[2]$ зима'!w1471+'[2]$ зима'!ac1471+'[2]$ зима'!ai1471+'[2]$ зима'!ao1471+'[2]$ зима'!k1471</f>
        <v>0</v>
      </c>
      <c r="I1471" s="191" t="n">
        <f aca="false">'[2]$ зима'!ay1471*1.1</f>
        <v>3388</v>
      </c>
      <c r="J1471" s="201"/>
    </row>
    <row r="1472" customFormat="false" ht="15" hidden="true" customHeight="false" outlineLevel="0" collapsed="false">
      <c r="A1472" s="197" t="s">
        <v>2191</v>
      </c>
      <c r="B1472" s="198" t="s">
        <v>589</v>
      </c>
      <c r="C1472" s="194" t="s">
        <v>3774</v>
      </c>
      <c r="D1472" s="194"/>
      <c r="E1472" s="194"/>
      <c r="F1472" s="194"/>
      <c r="G1472" s="193" t="s">
        <v>626</v>
      </c>
      <c r="H1472" s="105" t="n">
        <f aca="false">'[2]$ зима'!j1472-'[2]$ зима'!au1472-'[2]$ зима'!at1472-'[2]$ зима'!as1472-'[2]$ зима'!ar1472-'[2]$ зима'!aq1472-'[2]$ зима'!ap1472-'[2]$ зима'!an1472-'[2]$ зима'!am1472-'[2]$ зима'!al1472-'[2]$ зима'!ak1472-'[2]$ зима'!aj1472-'[2]$ зима'!ah1472-'[2]$ зима'!ag1472-'[2]$ зима'!af1472-'[2]$ зима'!ae1472-'[2]$ зима'!ad1472-'[2]$ зима'!ab1472-'[2]$ зима'!aa1472-'[2]$ зима'!z1472-'[2]$ зима'!y1472-'[2]$ зима'!x1472-'[2]$ зима'!v1472-'[2]$ зима'!u1472-'[2]$ зима'!t1472-'[2]$ зима'!s1472-'[2]$ зима'!r1472-'[2]$ зима'!p1472-'[2]$ зима'!o1472-'[2]$ зима'!n1472-'[2]$ зима'!m1472-'[2]$ зима'!l1472+'[2]$ зима'!q1472+'[2]$ зима'!w1472+'[2]$ зима'!ac1472+'[2]$ зима'!ai1472+'[2]$ зима'!ao1472+'[2]$ зима'!k1472</f>
        <v>0</v>
      </c>
      <c r="I1472" s="191" t="n">
        <f aca="false">'[2]$ зима'!ay1472*1.1</f>
        <v>5603.4</v>
      </c>
      <c r="J1472" s="201"/>
    </row>
    <row r="1473" customFormat="false" ht="15" hidden="true" customHeight="false" outlineLevel="0" collapsed="false">
      <c r="A1473" s="197" t="s">
        <v>2191</v>
      </c>
      <c r="B1473" s="198" t="s">
        <v>1028</v>
      </c>
      <c r="C1473" s="194" t="s">
        <v>3833</v>
      </c>
      <c r="D1473" s="194"/>
      <c r="E1473" s="194"/>
      <c r="F1473" s="194"/>
      <c r="G1473" s="200" t="s">
        <v>876</v>
      </c>
      <c r="H1473" s="105" t="n">
        <f aca="false">'[2]$ зима'!j1473-'[2]$ зима'!au1473-'[2]$ зима'!at1473-'[2]$ зима'!as1473-'[2]$ зима'!ar1473-'[2]$ зима'!aq1473-'[2]$ зима'!ap1473-'[2]$ зима'!an1473-'[2]$ зима'!am1473-'[2]$ зима'!al1473-'[2]$ зима'!ak1473-'[2]$ зима'!aj1473-'[2]$ зима'!ah1473-'[2]$ зима'!ag1473-'[2]$ зима'!af1473-'[2]$ зима'!ae1473-'[2]$ зима'!ad1473-'[2]$ зима'!ab1473-'[2]$ зима'!aa1473-'[2]$ зима'!z1473-'[2]$ зима'!y1473-'[2]$ зима'!x1473-'[2]$ зима'!v1473-'[2]$ зима'!u1473-'[2]$ зима'!t1473-'[2]$ зима'!s1473-'[2]$ зима'!r1473-'[2]$ зима'!p1473-'[2]$ зима'!o1473-'[2]$ зима'!n1473-'[2]$ зима'!m1473-'[2]$ зима'!l1473+'[2]$ зима'!q1473+'[2]$ зима'!w1473+'[2]$ зима'!ac1473+'[2]$ зима'!ai1473+'[2]$ зима'!ao1473+'[2]$ зима'!k1473</f>
        <v>0</v>
      </c>
      <c r="I1473" s="191" t="n">
        <f aca="false">'[2]$ зима'!ay1473*1.1</f>
        <v>4312</v>
      </c>
      <c r="J1473" s="201" t="n">
        <v>2017</v>
      </c>
    </row>
    <row r="1474" customFormat="false" ht="15" hidden="true" customHeight="false" outlineLevel="0" collapsed="false">
      <c r="A1474" s="197" t="s">
        <v>2199</v>
      </c>
      <c r="B1474" s="198" t="s">
        <v>601</v>
      </c>
      <c r="C1474" s="194" t="s">
        <v>3482</v>
      </c>
      <c r="D1474" s="194"/>
      <c r="E1474" s="194"/>
      <c r="F1474" s="194"/>
      <c r="G1474" s="200"/>
      <c r="H1474" s="105" t="n">
        <f aca="false">'[2]$ зима'!j1474-'[2]$ зима'!au1474-'[2]$ зима'!at1474-'[2]$ зима'!as1474-'[2]$ зима'!ar1474-'[2]$ зима'!aq1474-'[2]$ зима'!ap1474-'[2]$ зима'!an1474-'[2]$ зима'!am1474-'[2]$ зима'!al1474-'[2]$ зима'!ak1474-'[2]$ зима'!aj1474-'[2]$ зима'!ah1474-'[2]$ зима'!ag1474-'[2]$ зима'!af1474-'[2]$ зима'!ae1474-'[2]$ зима'!ad1474-'[2]$ зима'!ab1474-'[2]$ зима'!aa1474-'[2]$ зима'!z1474-'[2]$ зима'!y1474-'[2]$ зима'!x1474-'[2]$ зима'!v1474-'[2]$ зима'!u1474-'[2]$ зима'!t1474-'[2]$ зима'!s1474-'[2]$ зима'!r1474-'[2]$ зима'!p1474-'[2]$ зима'!o1474-'[2]$ зима'!n1474-'[2]$ зима'!m1474-'[2]$ зима'!l1474+'[2]$ зима'!q1474+'[2]$ зима'!w1474+'[2]$ зима'!ac1474+'[2]$ зима'!ai1474+'[2]$ зима'!ao1474+'[2]$ зима'!k1474</f>
        <v>0</v>
      </c>
      <c r="I1474" s="191" t="n">
        <f aca="false">'[2]$ зима'!ay1474*1.1</f>
        <v>5698</v>
      </c>
      <c r="J1474" s="201"/>
    </row>
    <row r="1475" customFormat="false" ht="15" hidden="false" customHeight="false" outlineLevel="0" collapsed="false">
      <c r="A1475" s="197" t="s">
        <v>2199</v>
      </c>
      <c r="B1475" s="198" t="s">
        <v>1487</v>
      </c>
      <c r="C1475" s="148" t="s">
        <v>3834</v>
      </c>
      <c r="D1475" s="194"/>
      <c r="E1475" s="195"/>
      <c r="F1475" s="195"/>
      <c r="G1475" s="200" t="s">
        <v>595</v>
      </c>
      <c r="H1475" s="105" t="n">
        <f aca="false">'[2]$ зима'!j1475-'[2]$ зима'!au1475-'[2]$ зима'!at1475-'[2]$ зима'!as1475-'[2]$ зима'!ar1475-'[2]$ зима'!aq1475-'[2]$ зима'!ap1475-'[2]$ зима'!an1475-'[2]$ зима'!am1475-'[2]$ зима'!al1475-'[2]$ зима'!ak1475-'[2]$ зима'!aj1475-'[2]$ зима'!ah1475-'[2]$ зима'!ag1475-'[2]$ зима'!af1475-'[2]$ зима'!ae1475-'[2]$ зима'!ad1475-'[2]$ зима'!ab1475-'[2]$ зима'!aa1475-'[2]$ зима'!z1475-'[2]$ зима'!y1475-'[2]$ зима'!x1475-'[2]$ зима'!v1475-'[2]$ зима'!u1475-'[2]$ зима'!t1475-'[2]$ зима'!s1475-'[2]$ зима'!r1475-'[2]$ зима'!p1475-'[2]$ зима'!o1475-'[2]$ зима'!n1475-'[2]$ зима'!m1475-'[2]$ зима'!l1475+'[2]$ зима'!q1475+'[2]$ зима'!w1475+'[2]$ зима'!ac1475+'[2]$ зима'!ai1475+'[2]$ зима'!ao1475+'[2]$ зима'!k1475</f>
        <v>4</v>
      </c>
      <c r="I1475" s="191" t="n">
        <f aca="false">'[2]$ зима'!ay1475*1.1</f>
        <v>2926</v>
      </c>
      <c r="J1475" s="201" t="n">
        <v>2014</v>
      </c>
    </row>
    <row r="1476" customFormat="false" ht="15" hidden="false" customHeight="false" outlineLevel="0" collapsed="false">
      <c r="A1476" s="197" t="s">
        <v>2199</v>
      </c>
      <c r="B1476" s="149" t="s">
        <v>707</v>
      </c>
      <c r="C1476" s="148" t="s">
        <v>3835</v>
      </c>
      <c r="D1476" s="148"/>
      <c r="E1476" s="192"/>
      <c r="F1476" s="192"/>
      <c r="G1476" s="193" t="s">
        <v>626</v>
      </c>
      <c r="H1476" s="105" t="n">
        <f aca="false">'[2]$ зима'!j1476-'[2]$ зима'!au1476-'[2]$ зима'!at1476-'[2]$ зима'!as1476-'[2]$ зима'!ar1476-'[2]$ зима'!aq1476-'[2]$ зима'!ap1476-'[2]$ зима'!an1476-'[2]$ зима'!am1476-'[2]$ зима'!al1476-'[2]$ зима'!ak1476-'[2]$ зима'!aj1476-'[2]$ зима'!ah1476-'[2]$ зима'!ag1476-'[2]$ зима'!af1476-'[2]$ зима'!ae1476-'[2]$ зима'!ad1476-'[2]$ зима'!ab1476-'[2]$ зима'!aa1476-'[2]$ зима'!z1476-'[2]$ зима'!y1476-'[2]$ зима'!x1476-'[2]$ зима'!v1476-'[2]$ зима'!u1476-'[2]$ зима'!t1476-'[2]$ зима'!s1476-'[2]$ зима'!r1476-'[2]$ зима'!p1476-'[2]$ зима'!o1476-'[2]$ зима'!n1476-'[2]$ зима'!m1476-'[2]$ зима'!l1476+'[2]$ зима'!q1476+'[2]$ зима'!w1476+'[2]$ зима'!ac1476+'[2]$ зима'!ai1476+'[2]$ зима'!ao1476+'[2]$ зима'!k1476</f>
        <v>8</v>
      </c>
      <c r="I1476" s="191" t="n">
        <f aca="false">'[2]$ зима'!ay1476*1.1</f>
        <v>3388</v>
      </c>
      <c r="J1476" s="171" t="n">
        <v>2012</v>
      </c>
    </row>
    <row r="1477" customFormat="false" ht="15" hidden="false" customHeight="false" outlineLevel="0" collapsed="false">
      <c r="A1477" s="197" t="s">
        <v>2199</v>
      </c>
      <c r="B1477" s="149" t="s">
        <v>3484</v>
      </c>
      <c r="C1477" s="148" t="s">
        <v>3754</v>
      </c>
      <c r="D1477" s="148"/>
      <c r="E1477" s="192" t="n">
        <v>103</v>
      </c>
      <c r="F1477" s="192" t="s">
        <v>3216</v>
      </c>
      <c r="G1477" s="193" t="s">
        <v>520</v>
      </c>
      <c r="H1477" s="105" t="n">
        <f aca="false">'[2]$ зима'!j1477-'[2]$ зима'!au1477-'[2]$ зима'!at1477-'[2]$ зима'!as1477-'[2]$ зима'!ar1477-'[2]$ зима'!aq1477-'[2]$ зима'!ap1477-'[2]$ зима'!an1477-'[2]$ зима'!am1477-'[2]$ зима'!al1477-'[2]$ зима'!ak1477-'[2]$ зима'!aj1477-'[2]$ зима'!ah1477-'[2]$ зима'!ag1477-'[2]$ зима'!af1477-'[2]$ зима'!ae1477-'[2]$ зима'!ad1477-'[2]$ зима'!ab1477-'[2]$ зима'!aa1477-'[2]$ зима'!z1477-'[2]$ зима'!y1477-'[2]$ зима'!x1477-'[2]$ зима'!v1477-'[2]$ зима'!u1477-'[2]$ зима'!t1477-'[2]$ зима'!s1477-'[2]$ зима'!r1477-'[2]$ зима'!p1477-'[2]$ зима'!o1477-'[2]$ зима'!n1477-'[2]$ зима'!m1477-'[2]$ зима'!l1477+'[2]$ зима'!q1477+'[2]$ зима'!w1477+'[2]$ зима'!ac1477+'[2]$ зима'!ai1477+'[2]$ зима'!ao1477+'[2]$ зима'!k1477</f>
        <v>4</v>
      </c>
      <c r="I1477" s="191" t="n">
        <f aca="false">'[2]$ зима'!ay1477*1.1</f>
        <v>2217.6</v>
      </c>
      <c r="J1477" s="171" t="n">
        <v>2018</v>
      </c>
    </row>
    <row r="1478" customFormat="false" ht="15" hidden="true" customHeight="false" outlineLevel="0" collapsed="false">
      <c r="A1478" s="197" t="s">
        <v>2199</v>
      </c>
      <c r="B1478" s="149" t="s">
        <v>606</v>
      </c>
      <c r="C1478" s="148" t="s">
        <v>3715</v>
      </c>
      <c r="D1478" s="148"/>
      <c r="E1478" s="148"/>
      <c r="F1478" s="148"/>
      <c r="G1478" s="193"/>
      <c r="H1478" s="105" t="n">
        <f aca="false">'[2]$ зима'!j1478-'[2]$ зима'!au1478-'[2]$ зима'!at1478-'[2]$ зима'!as1478-'[2]$ зима'!ar1478-'[2]$ зима'!aq1478-'[2]$ зима'!ap1478-'[2]$ зима'!an1478-'[2]$ зима'!am1478-'[2]$ зима'!al1478-'[2]$ зима'!ak1478-'[2]$ зима'!aj1478-'[2]$ зима'!ah1478-'[2]$ зима'!ag1478-'[2]$ зима'!af1478-'[2]$ зима'!ae1478-'[2]$ зима'!ad1478-'[2]$ зима'!ab1478-'[2]$ зима'!aa1478-'[2]$ зима'!z1478-'[2]$ зима'!y1478-'[2]$ зима'!x1478-'[2]$ зима'!v1478-'[2]$ зима'!u1478-'[2]$ зима'!t1478-'[2]$ зима'!s1478-'[2]$ зима'!r1478-'[2]$ зима'!p1478-'[2]$ зима'!o1478-'[2]$ зима'!n1478-'[2]$ зима'!m1478-'[2]$ зима'!l1478+'[2]$ зима'!q1478+'[2]$ зима'!w1478+'[2]$ зима'!ac1478+'[2]$ зима'!ai1478+'[2]$ зима'!ao1478+'[2]$ зима'!k1478</f>
        <v>0</v>
      </c>
      <c r="I1478" s="191" t="n">
        <f aca="false">'[2]$ зима'!ay1478*1.1</f>
        <v>3634.4</v>
      </c>
    </row>
    <row r="1479" customFormat="false" ht="15" hidden="true" customHeight="false" outlineLevel="0" collapsed="false">
      <c r="A1479" s="197" t="s">
        <v>2199</v>
      </c>
      <c r="B1479" s="149" t="s">
        <v>606</v>
      </c>
      <c r="C1479" s="148" t="s">
        <v>3836</v>
      </c>
      <c r="D1479" s="148"/>
      <c r="E1479" s="148"/>
      <c r="F1479" s="148"/>
      <c r="G1479" s="193" t="s">
        <v>857</v>
      </c>
      <c r="H1479" s="105" t="n">
        <f aca="false">'[2]$ зима'!j1479-'[2]$ зима'!au1479-'[2]$ зима'!at1479-'[2]$ зима'!as1479-'[2]$ зима'!ar1479-'[2]$ зима'!aq1479-'[2]$ зима'!ap1479-'[2]$ зима'!an1479-'[2]$ зима'!am1479-'[2]$ зима'!al1479-'[2]$ зима'!ak1479-'[2]$ зима'!aj1479-'[2]$ зима'!ah1479-'[2]$ зима'!ag1479-'[2]$ зима'!af1479-'[2]$ зима'!ae1479-'[2]$ зима'!ad1479-'[2]$ зима'!ab1479-'[2]$ зима'!aa1479-'[2]$ зима'!z1479-'[2]$ зима'!y1479-'[2]$ зима'!x1479-'[2]$ зима'!v1479-'[2]$ зима'!u1479-'[2]$ зима'!t1479-'[2]$ зима'!s1479-'[2]$ зима'!r1479-'[2]$ зима'!p1479-'[2]$ зима'!o1479-'[2]$ зима'!n1479-'[2]$ зима'!m1479-'[2]$ зима'!l1479+'[2]$ зима'!q1479+'[2]$ зима'!w1479+'[2]$ зима'!ac1479+'[2]$ зима'!ai1479+'[2]$ зима'!ao1479+'[2]$ зима'!k1479</f>
        <v>0</v>
      </c>
      <c r="I1479" s="191" t="n">
        <f aca="false">'[2]$ зима'!ay1479*1.1</f>
        <v>3542</v>
      </c>
    </row>
    <row r="1480" customFormat="false" ht="15" hidden="false" customHeight="false" outlineLevel="0" collapsed="false">
      <c r="A1480" s="197" t="s">
        <v>2199</v>
      </c>
      <c r="B1480" s="198" t="s">
        <v>589</v>
      </c>
      <c r="C1480" s="194" t="s">
        <v>3837</v>
      </c>
      <c r="D1480" s="194"/>
      <c r="E1480" s="195"/>
      <c r="F1480" s="195"/>
      <c r="G1480" s="193" t="s">
        <v>626</v>
      </c>
      <c r="H1480" s="105" t="n">
        <f aca="false">'[2]$ зима'!j1480-'[2]$ зима'!au1480-'[2]$ зима'!at1480-'[2]$ зима'!as1480-'[2]$ зима'!ar1480-'[2]$ зима'!aq1480-'[2]$ зима'!ap1480-'[2]$ зима'!an1480-'[2]$ зима'!am1480-'[2]$ зима'!al1480-'[2]$ зима'!ak1480-'[2]$ зима'!aj1480-'[2]$ зима'!ah1480-'[2]$ зима'!ag1480-'[2]$ зима'!af1480-'[2]$ зима'!ae1480-'[2]$ зима'!ad1480-'[2]$ зима'!ab1480-'[2]$ зима'!aa1480-'[2]$ зима'!z1480-'[2]$ зима'!y1480-'[2]$ зима'!x1480-'[2]$ зима'!v1480-'[2]$ зима'!u1480-'[2]$ зима'!t1480-'[2]$ зима'!s1480-'[2]$ зима'!r1480-'[2]$ зима'!p1480-'[2]$ зима'!o1480-'[2]$ зима'!n1480-'[2]$ зима'!m1480-'[2]$ зима'!l1480+'[2]$ зима'!q1480+'[2]$ зима'!w1480+'[2]$ зима'!ac1480+'[2]$ зима'!ai1480+'[2]$ зима'!ao1480+'[2]$ зима'!k1480</f>
        <v>4</v>
      </c>
      <c r="I1480" s="191" t="n">
        <f aca="false">'[2]$ зима'!ay1480*1.1</f>
        <v>3592.6</v>
      </c>
      <c r="J1480" s="201" t="n">
        <v>2013</v>
      </c>
    </row>
    <row r="1481" customFormat="false" ht="15" hidden="false" customHeight="false" outlineLevel="0" collapsed="false">
      <c r="A1481" s="197" t="s">
        <v>2199</v>
      </c>
      <c r="B1481" s="198" t="s">
        <v>589</v>
      </c>
      <c r="C1481" s="148" t="s">
        <v>3224</v>
      </c>
      <c r="D1481" s="194"/>
      <c r="E1481" s="195"/>
      <c r="F1481" s="195"/>
      <c r="G1481" s="193" t="s">
        <v>626</v>
      </c>
      <c r="H1481" s="105" t="n">
        <f aca="false">'[2]$ зима'!j1481-'[2]$ зима'!au1481-'[2]$ зима'!at1481-'[2]$ зима'!as1481-'[2]$ зима'!ar1481-'[2]$ зима'!aq1481-'[2]$ зима'!ap1481-'[2]$ зима'!an1481-'[2]$ зима'!am1481-'[2]$ зима'!al1481-'[2]$ зима'!ak1481-'[2]$ зима'!aj1481-'[2]$ зима'!ah1481-'[2]$ зима'!ag1481-'[2]$ зима'!af1481-'[2]$ зима'!ae1481-'[2]$ зима'!ad1481-'[2]$ зима'!ab1481-'[2]$ зима'!aa1481-'[2]$ зима'!z1481-'[2]$ зима'!y1481-'[2]$ зима'!x1481-'[2]$ зима'!v1481-'[2]$ зима'!u1481-'[2]$ зима'!t1481-'[2]$ зима'!s1481-'[2]$ зима'!r1481-'[2]$ зима'!p1481-'[2]$ зима'!o1481-'[2]$ зима'!n1481-'[2]$ зима'!m1481-'[2]$ зима'!l1481+'[2]$ зима'!q1481+'[2]$ зима'!w1481+'[2]$ зима'!ac1481+'[2]$ зима'!ai1481+'[2]$ зима'!ao1481+'[2]$ зима'!k1481</f>
        <v>4</v>
      </c>
      <c r="I1481" s="191" t="n">
        <f aca="false">'[2]$ зима'!ay1481*1.1</f>
        <v>4217.4</v>
      </c>
      <c r="J1481" s="201" t="n">
        <v>2015</v>
      </c>
    </row>
    <row r="1482" customFormat="false" ht="15" hidden="false" customHeight="false" outlineLevel="0" collapsed="false">
      <c r="A1482" s="197" t="s">
        <v>2199</v>
      </c>
      <c r="B1482" s="198" t="s">
        <v>589</v>
      </c>
      <c r="C1482" s="148" t="s">
        <v>3209</v>
      </c>
      <c r="D1482" s="148"/>
      <c r="E1482" s="192"/>
      <c r="F1482" s="192"/>
      <c r="G1482" s="193" t="s">
        <v>626</v>
      </c>
      <c r="H1482" s="105" t="n">
        <f aca="false">'[2]$ зима'!j1482-'[2]$ зима'!au1482-'[2]$ зима'!at1482-'[2]$ зима'!as1482-'[2]$ зима'!ar1482-'[2]$ зима'!aq1482-'[2]$ зима'!ap1482-'[2]$ зима'!an1482-'[2]$ зима'!am1482-'[2]$ зима'!al1482-'[2]$ зима'!ak1482-'[2]$ зима'!aj1482-'[2]$ зима'!ah1482-'[2]$ зима'!ag1482-'[2]$ зима'!af1482-'[2]$ зима'!ae1482-'[2]$ зима'!ad1482-'[2]$ зима'!ab1482-'[2]$ зима'!aa1482-'[2]$ зима'!z1482-'[2]$ зима'!y1482-'[2]$ зима'!x1482-'[2]$ зима'!v1482-'[2]$ зима'!u1482-'[2]$ зима'!t1482-'[2]$ зима'!s1482-'[2]$ зима'!r1482-'[2]$ зима'!p1482-'[2]$ зима'!o1482-'[2]$ зима'!n1482-'[2]$ зима'!m1482-'[2]$ зима'!l1482+'[2]$ зима'!q1482+'[2]$ зима'!w1482+'[2]$ зима'!ac1482+'[2]$ зима'!ai1482+'[2]$ зима'!ao1482+'[2]$ зима'!k1482</f>
        <v>4</v>
      </c>
      <c r="I1482" s="191" t="n">
        <f aca="false">'[2]$ зима'!ay1482*1.1</f>
        <v>4373.6</v>
      </c>
      <c r="J1482" s="201" t="n">
        <v>2017</v>
      </c>
    </row>
    <row r="1483" customFormat="false" ht="15" hidden="true" customHeight="false" outlineLevel="0" collapsed="false">
      <c r="A1483" s="197" t="s">
        <v>2199</v>
      </c>
      <c r="B1483" s="198" t="s">
        <v>564</v>
      </c>
      <c r="C1483" s="148" t="s">
        <v>3838</v>
      </c>
      <c r="D1483" s="148"/>
      <c r="E1483" s="148"/>
      <c r="F1483" s="148"/>
      <c r="G1483" s="200"/>
      <c r="H1483" s="105" t="n">
        <f aca="false">'[2]$ зима'!j1483-'[2]$ зима'!au1483-'[2]$ зима'!at1483-'[2]$ зима'!as1483-'[2]$ зима'!ar1483-'[2]$ зима'!aq1483-'[2]$ зима'!ap1483-'[2]$ зима'!an1483-'[2]$ зима'!am1483-'[2]$ зима'!al1483-'[2]$ зима'!ak1483-'[2]$ зима'!aj1483-'[2]$ зима'!ah1483-'[2]$ зима'!ag1483-'[2]$ зима'!af1483-'[2]$ зима'!ae1483-'[2]$ зима'!ad1483-'[2]$ зима'!ab1483-'[2]$ зима'!aa1483-'[2]$ зима'!z1483-'[2]$ зима'!y1483-'[2]$ зима'!x1483-'[2]$ зима'!v1483-'[2]$ зима'!u1483-'[2]$ зима'!t1483-'[2]$ зима'!s1483-'[2]$ зима'!r1483-'[2]$ зима'!p1483-'[2]$ зима'!o1483-'[2]$ зима'!n1483-'[2]$ зима'!m1483-'[2]$ зима'!l1483+'[2]$ зима'!q1483+'[2]$ зима'!w1483+'[2]$ зима'!ac1483+'[2]$ зима'!ai1483+'[2]$ зима'!ao1483+'[2]$ зима'!k1483</f>
        <v>0</v>
      </c>
      <c r="I1483" s="191" t="n">
        <f aca="false">'[2]$ зима'!ay1483*1.1</f>
        <v>2310</v>
      </c>
      <c r="J1483" s="201"/>
    </row>
    <row r="1484" customFormat="false" ht="15" hidden="true" customHeight="false" outlineLevel="0" collapsed="false">
      <c r="A1484" s="210" t="s">
        <v>2211</v>
      </c>
      <c r="B1484" s="198" t="s">
        <v>601</v>
      </c>
      <c r="C1484" s="194" t="s">
        <v>3839</v>
      </c>
      <c r="D1484" s="194"/>
      <c r="E1484" s="194" t="n">
        <v>96</v>
      </c>
      <c r="F1484" s="194" t="s">
        <v>1455</v>
      </c>
      <c r="G1484" s="200"/>
      <c r="H1484" s="105" t="n">
        <f aca="false">'[2]$ зима'!j1484-'[2]$ зима'!au1484-'[2]$ зима'!at1484-'[2]$ зима'!as1484-'[2]$ зима'!ar1484-'[2]$ зима'!aq1484-'[2]$ зима'!ap1484-'[2]$ зима'!an1484-'[2]$ зима'!am1484-'[2]$ зима'!al1484-'[2]$ зима'!ak1484-'[2]$ зима'!aj1484-'[2]$ зима'!ah1484-'[2]$ зима'!ag1484-'[2]$ зима'!af1484-'[2]$ зима'!ae1484-'[2]$ зима'!ad1484-'[2]$ зима'!ab1484-'[2]$ зима'!aa1484-'[2]$ зима'!z1484-'[2]$ зима'!y1484-'[2]$ зима'!x1484-'[2]$ зима'!v1484-'[2]$ зима'!u1484-'[2]$ зима'!t1484-'[2]$ зима'!s1484-'[2]$ зима'!r1484-'[2]$ зима'!p1484-'[2]$ зима'!o1484-'[2]$ зима'!n1484-'[2]$ зима'!m1484-'[2]$ зима'!l1484+'[2]$ зима'!q1484+'[2]$ зима'!w1484+'[2]$ зима'!ac1484+'[2]$ зима'!ai1484+'[2]$ зима'!ao1484+'[2]$ зима'!k1484</f>
        <v>0</v>
      </c>
      <c r="I1484" s="191" t="n">
        <f aca="false">'[2]$ зима'!ay1484*1.1</f>
        <v>5390</v>
      </c>
      <c r="J1484" s="201"/>
    </row>
    <row r="1485" customFormat="false" ht="15" hidden="false" customHeight="false" outlineLevel="0" collapsed="false">
      <c r="A1485" s="210" t="s">
        <v>2211</v>
      </c>
      <c r="B1485" s="198" t="s">
        <v>606</v>
      </c>
      <c r="C1485" s="148" t="s">
        <v>3309</v>
      </c>
      <c r="D1485" s="194"/>
      <c r="E1485" s="195"/>
      <c r="F1485" s="195"/>
      <c r="G1485" s="200"/>
      <c r="H1485" s="105" t="n">
        <f aca="false">'[2]$ зима'!j1485-'[2]$ зима'!au1485-'[2]$ зима'!at1485-'[2]$ зима'!as1485-'[2]$ зима'!ar1485-'[2]$ зима'!aq1485-'[2]$ зима'!ap1485-'[2]$ зима'!an1485-'[2]$ зима'!am1485-'[2]$ зима'!al1485-'[2]$ зима'!ak1485-'[2]$ зима'!aj1485-'[2]$ зима'!ah1485-'[2]$ зима'!ag1485-'[2]$ зима'!af1485-'[2]$ зима'!ae1485-'[2]$ зима'!ad1485-'[2]$ зима'!ab1485-'[2]$ зима'!aa1485-'[2]$ зима'!z1485-'[2]$ зима'!y1485-'[2]$ зима'!x1485-'[2]$ зима'!v1485-'[2]$ зима'!u1485-'[2]$ зима'!t1485-'[2]$ зима'!s1485-'[2]$ зима'!r1485-'[2]$ зима'!p1485-'[2]$ зима'!o1485-'[2]$ зима'!n1485-'[2]$ зима'!m1485-'[2]$ зима'!l1485+'[2]$ зима'!q1485+'[2]$ зима'!w1485+'[2]$ зима'!ac1485+'[2]$ зима'!ai1485+'[2]$ зима'!ao1485+'[2]$ зима'!k1485</f>
        <v>2</v>
      </c>
      <c r="I1485" s="191" t="n">
        <f aca="false">'[2]$ зима'!ay1485*1.1</f>
        <v>4096.4</v>
      </c>
      <c r="J1485" s="201" t="n">
        <v>2017</v>
      </c>
    </row>
    <row r="1486" customFormat="false" ht="15" hidden="false" customHeight="false" outlineLevel="0" collapsed="false">
      <c r="A1486" s="210" t="s">
        <v>2211</v>
      </c>
      <c r="B1486" s="198" t="s">
        <v>668</v>
      </c>
      <c r="C1486" s="148" t="s">
        <v>3779</v>
      </c>
      <c r="D1486" s="194"/>
      <c r="E1486" s="195"/>
      <c r="F1486" s="195"/>
      <c r="G1486" s="200"/>
      <c r="H1486" s="105" t="n">
        <f aca="false">'[2]$ зима'!j1486-'[2]$ зима'!au1486-'[2]$ зима'!at1486-'[2]$ зима'!as1486-'[2]$ зима'!ar1486-'[2]$ зима'!aq1486-'[2]$ зима'!ap1486-'[2]$ зима'!an1486-'[2]$ зима'!am1486-'[2]$ зима'!al1486-'[2]$ зима'!ak1486-'[2]$ зима'!aj1486-'[2]$ зима'!ah1486-'[2]$ зима'!ag1486-'[2]$ зима'!af1486-'[2]$ зима'!ae1486-'[2]$ зима'!ad1486-'[2]$ зима'!ab1486-'[2]$ зима'!aa1486-'[2]$ зима'!z1486-'[2]$ зима'!y1486-'[2]$ зима'!x1486-'[2]$ зима'!v1486-'[2]$ зима'!u1486-'[2]$ зима'!t1486-'[2]$ зима'!s1486-'[2]$ зима'!r1486-'[2]$ зима'!p1486-'[2]$ зима'!o1486-'[2]$ зима'!n1486-'[2]$ зима'!m1486-'[2]$ зима'!l1486+'[2]$ зима'!q1486+'[2]$ зима'!w1486+'[2]$ зима'!ac1486+'[2]$ зима'!ai1486+'[2]$ зима'!ao1486+'[2]$ зима'!k1486</f>
        <v>4</v>
      </c>
      <c r="I1486" s="191" t="n">
        <f aca="false">'[2]$ зима'!ay1486*1.1</f>
        <v>3388</v>
      </c>
      <c r="J1486" s="201"/>
    </row>
    <row r="1487" customFormat="false" ht="15" hidden="true" customHeight="false" outlineLevel="0" collapsed="false">
      <c r="A1487" s="210" t="s">
        <v>2211</v>
      </c>
      <c r="B1487" s="198" t="s">
        <v>1149</v>
      </c>
      <c r="C1487" s="194" t="s">
        <v>3840</v>
      </c>
      <c r="D1487" s="194"/>
      <c r="E1487" s="194" t="n">
        <v>100</v>
      </c>
      <c r="F1487" s="194" t="s">
        <v>814</v>
      </c>
      <c r="G1487" s="200"/>
      <c r="H1487" s="105" t="n">
        <f aca="false">'[2]$ зима'!j1487-'[2]$ зима'!au1487-'[2]$ зима'!at1487-'[2]$ зима'!as1487-'[2]$ зима'!ar1487-'[2]$ зима'!aq1487-'[2]$ зима'!ap1487-'[2]$ зима'!an1487-'[2]$ зима'!am1487-'[2]$ зима'!al1487-'[2]$ зима'!ak1487-'[2]$ зима'!aj1487-'[2]$ зима'!ah1487-'[2]$ зима'!ag1487-'[2]$ зима'!af1487-'[2]$ зима'!ae1487-'[2]$ зима'!ad1487-'[2]$ зима'!ab1487-'[2]$ зима'!aa1487-'[2]$ зима'!z1487-'[2]$ зима'!y1487-'[2]$ зима'!x1487-'[2]$ зима'!v1487-'[2]$ зима'!u1487-'[2]$ зима'!t1487-'[2]$ зима'!s1487-'[2]$ зима'!r1487-'[2]$ зима'!p1487-'[2]$ зима'!o1487-'[2]$ зима'!n1487-'[2]$ зима'!m1487-'[2]$ зима'!l1487+'[2]$ зима'!q1487+'[2]$ зима'!w1487+'[2]$ зима'!ac1487+'[2]$ зима'!ai1487+'[2]$ зима'!ao1487+'[2]$ зима'!k1487</f>
        <v>0</v>
      </c>
      <c r="I1487" s="191" t="n">
        <f aca="false">'[2]$ зима'!ay1487*1.1</f>
        <v>3696</v>
      </c>
      <c r="J1487" s="201"/>
    </row>
    <row r="1488" customFormat="false" ht="15" hidden="true" customHeight="false" outlineLevel="0" collapsed="false">
      <c r="A1488" s="210" t="s">
        <v>2216</v>
      </c>
      <c r="B1488" s="198" t="s">
        <v>601</v>
      </c>
      <c r="C1488" s="194" t="s">
        <v>3841</v>
      </c>
      <c r="D1488" s="194"/>
      <c r="E1488" s="194" t="n">
        <v>104</v>
      </c>
      <c r="F1488" s="194" t="s">
        <v>1455</v>
      </c>
      <c r="G1488" s="200"/>
      <c r="H1488" s="105" t="n">
        <f aca="false">'[2]$ зима'!j1488-'[2]$ зима'!au1488-'[2]$ зима'!at1488-'[2]$ зима'!as1488-'[2]$ зима'!ar1488-'[2]$ зима'!aq1488-'[2]$ зима'!ap1488-'[2]$ зима'!an1488-'[2]$ зима'!am1488-'[2]$ зима'!al1488-'[2]$ зима'!ak1488-'[2]$ зима'!aj1488-'[2]$ зима'!ah1488-'[2]$ зима'!ag1488-'[2]$ зима'!af1488-'[2]$ зима'!ae1488-'[2]$ зима'!ad1488-'[2]$ зима'!ab1488-'[2]$ зима'!aa1488-'[2]$ зима'!z1488-'[2]$ зима'!y1488-'[2]$ зима'!x1488-'[2]$ зима'!v1488-'[2]$ зима'!u1488-'[2]$ зима'!t1488-'[2]$ зима'!s1488-'[2]$ зима'!r1488-'[2]$ зима'!p1488-'[2]$ зима'!o1488-'[2]$ зима'!n1488-'[2]$ зима'!m1488-'[2]$ зима'!l1488+'[2]$ зима'!q1488+'[2]$ зима'!w1488+'[2]$ зима'!ac1488+'[2]$ зима'!ai1488+'[2]$ зима'!ao1488+'[2]$ зима'!k1488</f>
        <v>0</v>
      </c>
      <c r="I1488" s="191" t="n">
        <f aca="false">'[2]$ зима'!ay1488*1.1</f>
        <v>5544</v>
      </c>
      <c r="J1488" s="201"/>
    </row>
    <row r="1489" customFormat="false" ht="15" hidden="false" customHeight="false" outlineLevel="0" collapsed="false">
      <c r="A1489" s="210" t="s">
        <v>2216</v>
      </c>
      <c r="B1489" s="198" t="s">
        <v>606</v>
      </c>
      <c r="C1489" s="148" t="s">
        <v>3459</v>
      </c>
      <c r="D1489" s="194"/>
      <c r="E1489" s="195"/>
      <c r="F1489" s="195" t="s">
        <v>3286</v>
      </c>
      <c r="G1489" s="200"/>
      <c r="H1489" s="105" t="n">
        <f aca="false">'[2]$ зима'!j1489-'[2]$ зима'!au1489-'[2]$ зима'!at1489-'[2]$ зима'!as1489-'[2]$ зима'!ar1489-'[2]$ зима'!aq1489-'[2]$ зима'!ap1489-'[2]$ зима'!an1489-'[2]$ зима'!am1489-'[2]$ зима'!al1489-'[2]$ зима'!ak1489-'[2]$ зима'!aj1489-'[2]$ зима'!ah1489-'[2]$ зима'!ag1489-'[2]$ зима'!af1489-'[2]$ зима'!ae1489-'[2]$ зима'!ad1489-'[2]$ зима'!ab1489-'[2]$ зима'!aa1489-'[2]$ зима'!z1489-'[2]$ зима'!y1489-'[2]$ зима'!x1489-'[2]$ зима'!v1489-'[2]$ зима'!u1489-'[2]$ зима'!t1489-'[2]$ зима'!s1489-'[2]$ зима'!r1489-'[2]$ зима'!p1489-'[2]$ зима'!o1489-'[2]$ зима'!n1489-'[2]$ зима'!m1489-'[2]$ зима'!l1489+'[2]$ зима'!q1489+'[2]$ зима'!w1489+'[2]$ зима'!ac1489+'[2]$ зима'!ai1489+'[2]$ зима'!ao1489+'[2]$ зима'!k1489</f>
        <v>4</v>
      </c>
      <c r="I1489" s="191" t="n">
        <f aca="false">'[2]$ зима'!ay1489*1.1</f>
        <v>3850</v>
      </c>
      <c r="J1489" s="201" t="n">
        <v>2017</v>
      </c>
    </row>
    <row r="1490" customFormat="false" ht="15" hidden="true" customHeight="false" outlineLevel="0" collapsed="false">
      <c r="A1490" s="210" t="s">
        <v>2216</v>
      </c>
      <c r="B1490" s="198" t="s">
        <v>593</v>
      </c>
      <c r="C1490" s="194" t="s">
        <v>3656</v>
      </c>
      <c r="D1490" s="194"/>
      <c r="E1490" s="195" t="n">
        <v>100</v>
      </c>
      <c r="F1490" s="195" t="s">
        <v>814</v>
      </c>
      <c r="G1490" s="200" t="s">
        <v>849</v>
      </c>
      <c r="H1490" s="105" t="n">
        <f aca="false">'[2]$ зима'!j1490-'[2]$ зима'!au1490-'[2]$ зима'!at1490-'[2]$ зима'!as1490-'[2]$ зима'!ar1490-'[2]$ зима'!aq1490-'[2]$ зима'!ap1490-'[2]$ зима'!an1490-'[2]$ зима'!am1490-'[2]$ зима'!al1490-'[2]$ зима'!ak1490-'[2]$ зима'!aj1490-'[2]$ зима'!ah1490-'[2]$ зима'!ag1490-'[2]$ зима'!af1490-'[2]$ зима'!ae1490-'[2]$ зима'!ad1490-'[2]$ зима'!ab1490-'[2]$ зима'!aa1490-'[2]$ зима'!z1490-'[2]$ зима'!y1490-'[2]$ зима'!x1490-'[2]$ зима'!v1490-'[2]$ зима'!u1490-'[2]$ зима'!t1490-'[2]$ зима'!s1490-'[2]$ зима'!r1490-'[2]$ зима'!p1490-'[2]$ зима'!o1490-'[2]$ зима'!n1490-'[2]$ зима'!m1490-'[2]$ зима'!l1490+'[2]$ зима'!q1490+'[2]$ зима'!w1490+'[2]$ зима'!ac1490+'[2]$ зима'!ai1490+'[2]$ зима'!ao1490+'[2]$ зима'!k1490</f>
        <v>0</v>
      </c>
      <c r="I1490" s="191" t="n">
        <f aca="false">'[2]$ зима'!ay1490*1.1</f>
        <v>7176.4</v>
      </c>
      <c r="J1490" s="201" t="n">
        <v>2017</v>
      </c>
    </row>
    <row r="1491" customFormat="false" ht="15" hidden="false" customHeight="false" outlineLevel="0" collapsed="false">
      <c r="A1491" s="210" t="s">
        <v>2216</v>
      </c>
      <c r="B1491" s="198" t="s">
        <v>564</v>
      </c>
      <c r="C1491" s="194" t="s">
        <v>3811</v>
      </c>
      <c r="D1491" s="194"/>
      <c r="E1491" s="195" t="n">
        <v>104</v>
      </c>
      <c r="F1491" s="195" t="s">
        <v>814</v>
      </c>
      <c r="G1491" s="200"/>
      <c r="H1491" s="105" t="n">
        <f aca="false">'[2]$ зима'!j1491-'[2]$ зима'!au1491-'[2]$ зима'!at1491-'[2]$ зима'!as1491-'[2]$ зима'!ar1491-'[2]$ зима'!aq1491-'[2]$ зима'!ap1491-'[2]$ зима'!an1491-'[2]$ зима'!am1491-'[2]$ зима'!al1491-'[2]$ зима'!ak1491-'[2]$ зима'!aj1491-'[2]$ зима'!ah1491-'[2]$ зима'!ag1491-'[2]$ зима'!af1491-'[2]$ зима'!ae1491-'[2]$ зима'!ad1491-'[2]$ зима'!ab1491-'[2]$ зима'!aa1491-'[2]$ зима'!z1491-'[2]$ зима'!y1491-'[2]$ зима'!x1491-'[2]$ зима'!v1491-'[2]$ зима'!u1491-'[2]$ зима'!t1491-'[2]$ зима'!s1491-'[2]$ зима'!r1491-'[2]$ зима'!p1491-'[2]$ зима'!o1491-'[2]$ зима'!n1491-'[2]$ зима'!m1491-'[2]$ зима'!l1491+'[2]$ зима'!q1491+'[2]$ зима'!w1491+'[2]$ зима'!ac1491+'[2]$ зима'!ai1491+'[2]$ зима'!ao1491+'[2]$ зима'!k1491</f>
        <v>4</v>
      </c>
      <c r="I1491" s="191" t="n">
        <f aca="false">'[2]$ зима'!ay1491*1.1</f>
        <v>2833.6</v>
      </c>
      <c r="J1491" s="201" t="n">
        <v>2017</v>
      </c>
    </row>
    <row r="1492" customFormat="false" ht="15" hidden="true" customHeight="false" outlineLevel="0" collapsed="false">
      <c r="A1492" s="210" t="s">
        <v>2216</v>
      </c>
      <c r="B1492" s="198" t="s">
        <v>1028</v>
      </c>
      <c r="C1492" s="194" t="s">
        <v>3842</v>
      </c>
      <c r="D1492" s="194"/>
      <c r="E1492" s="194"/>
      <c r="F1492" s="194"/>
      <c r="G1492" s="200"/>
      <c r="H1492" s="105" t="n">
        <f aca="false">'[2]$ зима'!j1492-'[2]$ зима'!au1492-'[2]$ зима'!at1492-'[2]$ зима'!as1492-'[2]$ зима'!ar1492-'[2]$ зима'!aq1492-'[2]$ зима'!ap1492-'[2]$ зима'!an1492-'[2]$ зима'!am1492-'[2]$ зима'!al1492-'[2]$ зима'!ak1492-'[2]$ зима'!aj1492-'[2]$ зима'!ah1492-'[2]$ зима'!ag1492-'[2]$ зима'!af1492-'[2]$ зима'!ae1492-'[2]$ зима'!ad1492-'[2]$ зима'!ab1492-'[2]$ зима'!aa1492-'[2]$ зима'!z1492-'[2]$ зима'!y1492-'[2]$ зима'!x1492-'[2]$ зима'!v1492-'[2]$ зима'!u1492-'[2]$ зима'!t1492-'[2]$ зима'!s1492-'[2]$ зима'!r1492-'[2]$ зима'!p1492-'[2]$ зима'!o1492-'[2]$ зима'!n1492-'[2]$ зима'!m1492-'[2]$ зима'!l1492+'[2]$ зима'!q1492+'[2]$ зима'!w1492+'[2]$ зима'!ac1492+'[2]$ зима'!ai1492+'[2]$ зима'!ao1492+'[2]$ зима'!k1492</f>
        <v>0</v>
      </c>
      <c r="I1492" s="191" t="n">
        <f aca="false">'[2]$ зима'!ay1492*1.1</f>
        <v>4158</v>
      </c>
      <c r="J1492" s="201"/>
    </row>
    <row r="1493" customFormat="false" ht="15" hidden="true" customHeight="false" outlineLevel="0" collapsed="false">
      <c r="A1493" s="210" t="s">
        <v>3843</v>
      </c>
      <c r="B1493" s="198" t="s">
        <v>568</v>
      </c>
      <c r="C1493" s="194" t="s">
        <v>3121</v>
      </c>
      <c r="D1493" s="194"/>
      <c r="E1493" s="195"/>
      <c r="F1493" s="195"/>
      <c r="G1493" s="200" t="s">
        <v>585</v>
      </c>
      <c r="H1493" s="105" t="n">
        <f aca="false">'[2]$ зима'!j1493-'[2]$ зима'!au1493-'[2]$ зима'!at1493-'[2]$ зима'!as1493-'[2]$ зима'!ar1493-'[2]$ зима'!aq1493-'[2]$ зима'!ap1493-'[2]$ зима'!an1493-'[2]$ зима'!am1493-'[2]$ зима'!al1493-'[2]$ зима'!ak1493-'[2]$ зима'!aj1493-'[2]$ зима'!ah1493-'[2]$ зима'!ag1493-'[2]$ зима'!af1493-'[2]$ зима'!ae1493-'[2]$ зима'!ad1493-'[2]$ зима'!ab1493-'[2]$ зима'!aa1493-'[2]$ зима'!z1493-'[2]$ зима'!y1493-'[2]$ зима'!x1493-'[2]$ зима'!v1493-'[2]$ зима'!u1493-'[2]$ зима'!t1493-'[2]$ зима'!s1493-'[2]$ зима'!r1493-'[2]$ зима'!p1493-'[2]$ зима'!o1493-'[2]$ зима'!n1493-'[2]$ зима'!m1493-'[2]$ зима'!l1493+'[2]$ зима'!q1493+'[2]$ зима'!w1493+'[2]$ зима'!ac1493+'[2]$ зима'!ai1493+'[2]$ зима'!ao1493+'[2]$ зима'!k1493</f>
        <v>0</v>
      </c>
      <c r="I1493" s="191" t="n">
        <f aca="false">'[2]$ зима'!ay1493*1.1</f>
        <v>2618</v>
      </c>
      <c r="J1493" s="201" t="n">
        <v>2016</v>
      </c>
    </row>
    <row r="1494" customFormat="false" ht="15" hidden="true" customHeight="false" outlineLevel="0" collapsed="false">
      <c r="A1494" s="210" t="s">
        <v>3843</v>
      </c>
      <c r="B1494" s="198" t="s">
        <v>601</v>
      </c>
      <c r="C1494" s="148" t="s">
        <v>3482</v>
      </c>
      <c r="D1494" s="148"/>
      <c r="E1494" s="148"/>
      <c r="F1494" s="148"/>
      <c r="G1494" s="200"/>
      <c r="H1494" s="105" t="n">
        <f aca="false">'[2]$ зима'!j1494-'[2]$ зима'!au1494-'[2]$ зима'!at1494-'[2]$ зима'!as1494-'[2]$ зима'!ar1494-'[2]$ зима'!aq1494-'[2]$ зима'!ap1494-'[2]$ зима'!an1494-'[2]$ зима'!am1494-'[2]$ зима'!al1494-'[2]$ зима'!ak1494-'[2]$ зима'!aj1494-'[2]$ зима'!ah1494-'[2]$ зима'!ag1494-'[2]$ зима'!af1494-'[2]$ зима'!ae1494-'[2]$ зима'!ad1494-'[2]$ зима'!ab1494-'[2]$ зима'!aa1494-'[2]$ зима'!z1494-'[2]$ зима'!y1494-'[2]$ зима'!x1494-'[2]$ зима'!v1494-'[2]$ зима'!u1494-'[2]$ зима'!t1494-'[2]$ зима'!s1494-'[2]$ зима'!r1494-'[2]$ зима'!p1494-'[2]$ зима'!o1494-'[2]$ зима'!n1494-'[2]$ зима'!m1494-'[2]$ зима'!l1494+'[2]$ зима'!q1494+'[2]$ зима'!w1494+'[2]$ зима'!ac1494+'[2]$ зима'!ai1494+'[2]$ зима'!ao1494+'[2]$ зима'!k1494</f>
        <v>0</v>
      </c>
      <c r="I1494" s="191" t="n">
        <f aca="false">'[2]$ зима'!ay1494*1.1</f>
        <v>5544</v>
      </c>
      <c r="J1494" s="201"/>
    </row>
    <row r="1495" customFormat="false" ht="15" hidden="true" customHeight="false" outlineLevel="0" collapsed="false">
      <c r="A1495" s="210" t="s">
        <v>2225</v>
      </c>
      <c r="B1495" s="198" t="s">
        <v>658</v>
      </c>
      <c r="C1495" s="148" t="s">
        <v>3844</v>
      </c>
      <c r="D1495" s="148"/>
      <c r="E1495" s="148"/>
      <c r="F1495" s="148"/>
      <c r="G1495" s="200"/>
      <c r="H1495" s="105" t="n">
        <f aca="false">'[2]$ зима'!j1495-'[2]$ зима'!au1495-'[2]$ зима'!at1495-'[2]$ зима'!as1495-'[2]$ зима'!ar1495-'[2]$ зима'!aq1495-'[2]$ зима'!ap1495-'[2]$ зима'!an1495-'[2]$ зима'!am1495-'[2]$ зима'!al1495-'[2]$ зима'!ak1495-'[2]$ зима'!aj1495-'[2]$ зима'!ah1495-'[2]$ зима'!ag1495-'[2]$ зима'!af1495-'[2]$ зима'!ae1495-'[2]$ зима'!ad1495-'[2]$ зима'!ab1495-'[2]$ зима'!aa1495-'[2]$ зима'!z1495-'[2]$ зима'!y1495-'[2]$ зима'!x1495-'[2]$ зима'!v1495-'[2]$ зима'!u1495-'[2]$ зима'!t1495-'[2]$ зима'!s1495-'[2]$ зима'!r1495-'[2]$ зима'!p1495-'[2]$ зима'!o1495-'[2]$ зима'!n1495-'[2]$ зима'!m1495-'[2]$ зима'!l1495+'[2]$ зима'!q1495+'[2]$ зима'!w1495+'[2]$ зима'!ac1495+'[2]$ зима'!ai1495+'[2]$ зима'!ao1495+'[2]$ зима'!k1495</f>
        <v>0</v>
      </c>
      <c r="I1495" s="191" t="n">
        <f aca="false">'[2]$ зима'!ay1495*1.1</f>
        <v>4620</v>
      </c>
      <c r="J1495" s="201"/>
    </row>
    <row r="1496" customFormat="false" ht="15" hidden="true" customHeight="false" outlineLevel="0" collapsed="false">
      <c r="A1496" s="210" t="s">
        <v>2225</v>
      </c>
      <c r="B1496" s="198" t="s">
        <v>707</v>
      </c>
      <c r="C1496" s="148" t="s">
        <v>3408</v>
      </c>
      <c r="D1496" s="148"/>
      <c r="E1496" s="148"/>
      <c r="F1496" s="148"/>
      <c r="G1496" s="200" t="s">
        <v>868</v>
      </c>
      <c r="H1496" s="105" t="n">
        <f aca="false">'[2]$ зима'!j1496-'[2]$ зима'!au1496-'[2]$ зима'!at1496-'[2]$ зима'!as1496-'[2]$ зима'!ar1496-'[2]$ зима'!aq1496-'[2]$ зима'!ap1496-'[2]$ зима'!an1496-'[2]$ зима'!am1496-'[2]$ зима'!al1496-'[2]$ зима'!ak1496-'[2]$ зима'!aj1496-'[2]$ зима'!ah1496-'[2]$ зима'!ag1496-'[2]$ зима'!af1496-'[2]$ зима'!ae1496-'[2]$ зима'!ad1496-'[2]$ зима'!ab1496-'[2]$ зима'!aa1496-'[2]$ зима'!z1496-'[2]$ зима'!y1496-'[2]$ зима'!x1496-'[2]$ зима'!v1496-'[2]$ зима'!u1496-'[2]$ зима'!t1496-'[2]$ зима'!s1496-'[2]$ зима'!r1496-'[2]$ зима'!p1496-'[2]$ зима'!o1496-'[2]$ зима'!n1496-'[2]$ зима'!m1496-'[2]$ зима'!l1496+'[2]$ зима'!q1496+'[2]$ зима'!w1496+'[2]$ зима'!ac1496+'[2]$ зима'!ai1496+'[2]$ зима'!ao1496+'[2]$ зима'!k1496</f>
        <v>0</v>
      </c>
      <c r="I1496" s="191" t="n">
        <f aca="false">'[2]$ зима'!ay1496*1.1</f>
        <v>4928</v>
      </c>
      <c r="J1496" s="201"/>
    </row>
    <row r="1497" customFormat="false" ht="15" hidden="true" customHeight="false" outlineLevel="0" collapsed="false">
      <c r="A1497" s="210" t="s">
        <v>2225</v>
      </c>
      <c r="B1497" s="198" t="s">
        <v>557</v>
      </c>
      <c r="C1497" s="148" t="s">
        <v>3845</v>
      </c>
      <c r="D1497" s="148"/>
      <c r="E1497" s="148"/>
      <c r="F1497" s="148"/>
      <c r="G1497" s="200"/>
      <c r="H1497" s="105" t="n">
        <f aca="false">'[2]$ зима'!j1497-'[2]$ зима'!au1497-'[2]$ зима'!at1497-'[2]$ зима'!as1497-'[2]$ зима'!ar1497-'[2]$ зима'!aq1497-'[2]$ зима'!ap1497-'[2]$ зима'!an1497-'[2]$ зима'!am1497-'[2]$ зима'!al1497-'[2]$ зима'!ak1497-'[2]$ зима'!aj1497-'[2]$ зима'!ah1497-'[2]$ зима'!ag1497-'[2]$ зима'!af1497-'[2]$ зима'!ae1497-'[2]$ зима'!ad1497-'[2]$ зима'!ab1497-'[2]$ зима'!aa1497-'[2]$ зима'!z1497-'[2]$ зима'!y1497-'[2]$ зима'!x1497-'[2]$ зима'!v1497-'[2]$ зима'!u1497-'[2]$ зима'!t1497-'[2]$ зима'!s1497-'[2]$ зима'!r1497-'[2]$ зима'!p1497-'[2]$ зима'!o1497-'[2]$ зима'!n1497-'[2]$ зима'!m1497-'[2]$ зима'!l1497+'[2]$ зима'!q1497+'[2]$ зима'!w1497+'[2]$ зима'!ac1497+'[2]$ зима'!ai1497+'[2]$ зима'!ao1497+'[2]$ зима'!k1497</f>
        <v>0</v>
      </c>
      <c r="I1497" s="191" t="n">
        <f aca="false">'[2]$ зима'!ay1497*1.1</f>
        <v>3542</v>
      </c>
      <c r="J1497" s="201"/>
    </row>
    <row r="1498" customFormat="false" ht="15" hidden="true" customHeight="false" outlineLevel="0" collapsed="false">
      <c r="A1498" s="210" t="s">
        <v>2225</v>
      </c>
      <c r="B1498" s="198" t="s">
        <v>606</v>
      </c>
      <c r="C1498" s="148" t="s">
        <v>3846</v>
      </c>
      <c r="D1498" s="148"/>
      <c r="E1498" s="148" t="n">
        <v>103</v>
      </c>
      <c r="F1498" s="148" t="s">
        <v>562</v>
      </c>
      <c r="G1498" s="200"/>
      <c r="H1498" s="105" t="n">
        <f aca="false">'[2]$ зима'!j1498-'[2]$ зима'!au1498-'[2]$ зима'!at1498-'[2]$ зима'!as1498-'[2]$ зима'!ar1498-'[2]$ зима'!aq1498-'[2]$ зима'!ap1498-'[2]$ зима'!an1498-'[2]$ зима'!am1498-'[2]$ зима'!al1498-'[2]$ зима'!ak1498-'[2]$ зима'!aj1498-'[2]$ зима'!ah1498-'[2]$ зима'!ag1498-'[2]$ зима'!af1498-'[2]$ зима'!ae1498-'[2]$ зима'!ad1498-'[2]$ зима'!ab1498-'[2]$ зима'!aa1498-'[2]$ зима'!z1498-'[2]$ зима'!y1498-'[2]$ зима'!x1498-'[2]$ зима'!v1498-'[2]$ зима'!u1498-'[2]$ зима'!t1498-'[2]$ зима'!s1498-'[2]$ зима'!r1498-'[2]$ зима'!p1498-'[2]$ зима'!o1498-'[2]$ зима'!n1498-'[2]$ зима'!m1498-'[2]$ зима'!l1498+'[2]$ зима'!q1498+'[2]$ зима'!w1498+'[2]$ зима'!ac1498+'[2]$ зима'!ai1498+'[2]$ зима'!ao1498+'[2]$ зима'!k1498</f>
        <v>0</v>
      </c>
      <c r="I1498" s="191" t="n">
        <f aca="false">'[2]$ зима'!ay1498*1.1</f>
        <v>3542</v>
      </c>
      <c r="J1498" s="201"/>
    </row>
    <row r="1499" customFormat="false" ht="15" hidden="true" customHeight="false" outlineLevel="0" collapsed="false">
      <c r="A1499" s="210" t="s">
        <v>2225</v>
      </c>
      <c r="B1499" s="198" t="s">
        <v>606</v>
      </c>
      <c r="C1499" s="148" t="s">
        <v>3533</v>
      </c>
      <c r="D1499" s="148"/>
      <c r="E1499" s="148" t="n">
        <v>103</v>
      </c>
      <c r="F1499" s="148" t="s">
        <v>3207</v>
      </c>
      <c r="G1499" s="200" t="s">
        <v>857</v>
      </c>
      <c r="H1499" s="105" t="n">
        <f aca="false">'[2]$ зима'!j1499-'[2]$ зима'!au1499-'[2]$ зима'!at1499-'[2]$ зима'!as1499-'[2]$ зима'!ar1499-'[2]$ зима'!aq1499-'[2]$ зима'!ap1499-'[2]$ зима'!an1499-'[2]$ зима'!am1499-'[2]$ зима'!al1499-'[2]$ зима'!ak1499-'[2]$ зима'!aj1499-'[2]$ зима'!ah1499-'[2]$ зима'!ag1499-'[2]$ зима'!af1499-'[2]$ зима'!ae1499-'[2]$ зима'!ad1499-'[2]$ зима'!ab1499-'[2]$ зима'!aa1499-'[2]$ зима'!z1499-'[2]$ зима'!y1499-'[2]$ зима'!x1499-'[2]$ зима'!v1499-'[2]$ зима'!u1499-'[2]$ зима'!t1499-'[2]$ зима'!s1499-'[2]$ зима'!r1499-'[2]$ зима'!p1499-'[2]$ зима'!o1499-'[2]$ зима'!n1499-'[2]$ зима'!m1499-'[2]$ зима'!l1499+'[2]$ зима'!q1499+'[2]$ зима'!w1499+'[2]$ зима'!ac1499+'[2]$ зима'!ai1499+'[2]$ зима'!ao1499+'[2]$ зима'!k1499</f>
        <v>0</v>
      </c>
      <c r="I1499" s="191" t="n">
        <f aca="false">'[2]$ зима'!ay1499*1.1</f>
        <v>3757.6</v>
      </c>
      <c r="J1499" s="201" t="n">
        <v>2017</v>
      </c>
    </row>
    <row r="1500" customFormat="false" ht="15" hidden="true" customHeight="false" outlineLevel="0" collapsed="false">
      <c r="A1500" s="188" t="s">
        <v>2225</v>
      </c>
      <c r="B1500" s="149" t="s">
        <v>668</v>
      </c>
      <c r="C1500" s="148" t="s">
        <v>3664</v>
      </c>
      <c r="D1500" s="148"/>
      <c r="E1500" s="148"/>
      <c r="F1500" s="148"/>
      <c r="G1500" s="193"/>
      <c r="H1500" s="105" t="n">
        <f aca="false">'[2]$ зима'!j1500-'[2]$ зима'!au1500-'[2]$ зима'!at1500-'[2]$ зима'!as1500-'[2]$ зима'!ar1500-'[2]$ зима'!aq1500-'[2]$ зима'!ap1500-'[2]$ зима'!an1500-'[2]$ зима'!am1500-'[2]$ зима'!al1500-'[2]$ зима'!ak1500-'[2]$ зима'!aj1500-'[2]$ зима'!ah1500-'[2]$ зима'!ag1500-'[2]$ зима'!af1500-'[2]$ зима'!ae1500-'[2]$ зима'!ad1500-'[2]$ зима'!ab1500-'[2]$ зима'!aa1500-'[2]$ зима'!z1500-'[2]$ зима'!y1500-'[2]$ зима'!x1500-'[2]$ зима'!v1500-'[2]$ зима'!u1500-'[2]$ зима'!t1500-'[2]$ зима'!s1500-'[2]$ зима'!r1500-'[2]$ зима'!p1500-'[2]$ зима'!o1500-'[2]$ зима'!n1500-'[2]$ зима'!m1500-'[2]$ зима'!l1500+'[2]$ зима'!q1500+'[2]$ зима'!w1500+'[2]$ зима'!ac1500+'[2]$ зима'!ai1500+'[2]$ зима'!ao1500+'[2]$ зима'!k1500</f>
        <v>0</v>
      </c>
      <c r="I1500" s="191" t="n">
        <f aca="false">'[2]$ зима'!ay1500*1.1</f>
        <v>2618</v>
      </c>
    </row>
    <row r="1501" customFormat="false" ht="15" hidden="true" customHeight="false" outlineLevel="0" collapsed="false">
      <c r="A1501" s="188" t="s">
        <v>2225</v>
      </c>
      <c r="B1501" s="149" t="s">
        <v>583</v>
      </c>
      <c r="C1501" s="148" t="s">
        <v>3313</v>
      </c>
      <c r="D1501" s="148"/>
      <c r="E1501" s="148"/>
      <c r="F1501" s="148"/>
      <c r="G1501" s="193"/>
      <c r="H1501" s="105" t="n">
        <f aca="false">'[2]$ зима'!j1501-'[2]$ зима'!au1501-'[2]$ зима'!at1501-'[2]$ зима'!as1501-'[2]$ зима'!ar1501-'[2]$ зима'!aq1501-'[2]$ зима'!ap1501-'[2]$ зима'!an1501-'[2]$ зима'!am1501-'[2]$ зима'!al1501-'[2]$ зима'!ak1501-'[2]$ зима'!aj1501-'[2]$ зима'!ah1501-'[2]$ зима'!ag1501-'[2]$ зима'!af1501-'[2]$ зима'!ae1501-'[2]$ зима'!ad1501-'[2]$ зима'!ab1501-'[2]$ зима'!aa1501-'[2]$ зима'!z1501-'[2]$ зима'!y1501-'[2]$ зима'!x1501-'[2]$ зима'!v1501-'[2]$ зима'!u1501-'[2]$ зима'!t1501-'[2]$ зима'!s1501-'[2]$ зима'!r1501-'[2]$ зима'!p1501-'[2]$ зима'!o1501-'[2]$ зима'!n1501-'[2]$ зима'!m1501-'[2]$ зима'!l1501+'[2]$ зима'!q1501+'[2]$ зима'!w1501+'[2]$ зима'!ac1501+'[2]$ зима'!ai1501+'[2]$ зима'!ao1501+'[2]$ зима'!k1501</f>
        <v>0</v>
      </c>
      <c r="I1501" s="191" t="n">
        <f aca="false">'[2]$ зима'!ay1501*1.1</f>
        <v>2926</v>
      </c>
    </row>
    <row r="1502" customFormat="false" ht="15" hidden="false" customHeight="false" outlineLevel="0" collapsed="false">
      <c r="A1502" s="217" t="s">
        <v>2225</v>
      </c>
      <c r="B1502" s="157" t="s">
        <v>613</v>
      </c>
      <c r="C1502" s="158" t="s">
        <v>3745</v>
      </c>
      <c r="D1502" s="158"/>
      <c r="E1502" s="224"/>
      <c r="F1502" s="224"/>
      <c r="G1502" s="218"/>
      <c r="H1502" s="105" t="n">
        <f aca="false">'[2]$ зима'!j1502-'[2]$ зима'!au1502-'[2]$ зима'!at1502-'[2]$ зима'!as1502-'[2]$ зима'!ar1502-'[2]$ зима'!aq1502-'[2]$ зима'!ap1502-'[2]$ зима'!an1502-'[2]$ зима'!am1502-'[2]$ зима'!al1502-'[2]$ зима'!ak1502-'[2]$ зима'!aj1502-'[2]$ зима'!ah1502-'[2]$ зима'!ag1502-'[2]$ зима'!af1502-'[2]$ зима'!ae1502-'[2]$ зима'!ad1502-'[2]$ зима'!ab1502-'[2]$ зима'!aa1502-'[2]$ зима'!z1502-'[2]$ зима'!y1502-'[2]$ зима'!x1502-'[2]$ зима'!v1502-'[2]$ зима'!u1502-'[2]$ зима'!t1502-'[2]$ зима'!s1502-'[2]$ зима'!r1502-'[2]$ зима'!p1502-'[2]$ зима'!o1502-'[2]$ зима'!n1502-'[2]$ зима'!m1502-'[2]$ зима'!l1502+'[2]$ зима'!q1502+'[2]$ зима'!w1502+'[2]$ зима'!ac1502+'[2]$ зима'!ai1502+'[2]$ зима'!ao1502+'[2]$ зима'!k1502</f>
        <v>2</v>
      </c>
      <c r="I1502" s="219" t="n">
        <f aca="false">'[2]$ зима'!ay1502*1.1</f>
        <v>3300</v>
      </c>
    </row>
    <row r="1503" customFormat="false" ht="15" hidden="false" customHeight="false" outlineLevel="0" collapsed="false">
      <c r="A1503" s="188" t="s">
        <v>2225</v>
      </c>
      <c r="B1503" s="149" t="s">
        <v>593</v>
      </c>
      <c r="C1503" s="148" t="s">
        <v>3632</v>
      </c>
      <c r="D1503" s="148"/>
      <c r="E1503" s="192" t="n">
        <v>107</v>
      </c>
      <c r="F1503" s="192" t="s">
        <v>814</v>
      </c>
      <c r="G1503" s="193" t="s">
        <v>849</v>
      </c>
      <c r="H1503" s="105" t="n">
        <f aca="false">'[2]$ зима'!j1503-'[2]$ зима'!au1503-'[2]$ зима'!at1503-'[2]$ зима'!as1503-'[2]$ зима'!ar1503-'[2]$ зима'!aq1503-'[2]$ зима'!ap1503-'[2]$ зима'!an1503-'[2]$ зима'!am1503-'[2]$ зима'!al1503-'[2]$ зима'!ak1503-'[2]$ зима'!aj1503-'[2]$ зима'!ah1503-'[2]$ зима'!ag1503-'[2]$ зима'!af1503-'[2]$ зима'!ae1503-'[2]$ зима'!ad1503-'[2]$ зима'!ab1503-'[2]$ зима'!aa1503-'[2]$ зима'!z1503-'[2]$ зима'!y1503-'[2]$ зима'!x1503-'[2]$ зима'!v1503-'[2]$ зима'!u1503-'[2]$ зима'!t1503-'[2]$ зима'!s1503-'[2]$ зима'!r1503-'[2]$ зима'!p1503-'[2]$ зима'!o1503-'[2]$ зима'!n1503-'[2]$ зима'!m1503-'[2]$ зима'!l1503+'[2]$ зима'!q1503+'[2]$ зима'!w1503+'[2]$ зима'!ac1503+'[2]$ зима'!ai1503+'[2]$ зима'!ao1503+'[2]$ зима'!k1503</f>
        <v>8</v>
      </c>
      <c r="I1503" s="191" t="n">
        <f aca="false">'[2]$ зима'!ay1503*1.1</f>
        <v>5544</v>
      </c>
      <c r="J1503" s="171" t="n">
        <v>2016</v>
      </c>
    </row>
    <row r="1504" customFormat="false" ht="15" hidden="true" customHeight="false" outlineLevel="0" collapsed="false">
      <c r="A1504" s="188" t="s">
        <v>2225</v>
      </c>
      <c r="B1504" s="149" t="s">
        <v>593</v>
      </c>
      <c r="C1504" s="148" t="s">
        <v>3847</v>
      </c>
      <c r="D1504" s="148"/>
      <c r="E1504" s="148" t="n">
        <v>107</v>
      </c>
      <c r="F1504" s="148" t="s">
        <v>634</v>
      </c>
      <c r="G1504" s="193" t="s">
        <v>2382</v>
      </c>
      <c r="H1504" s="105" t="n">
        <f aca="false">'[2]$ зима'!j1504-'[2]$ зима'!au1504-'[2]$ зима'!at1504-'[2]$ зима'!as1504-'[2]$ зима'!ar1504-'[2]$ зима'!aq1504-'[2]$ зима'!ap1504-'[2]$ зима'!an1504-'[2]$ зима'!am1504-'[2]$ зима'!al1504-'[2]$ зима'!ak1504-'[2]$ зима'!aj1504-'[2]$ зима'!ah1504-'[2]$ зима'!ag1504-'[2]$ зима'!af1504-'[2]$ зима'!ae1504-'[2]$ зима'!ad1504-'[2]$ зима'!ab1504-'[2]$ зима'!aa1504-'[2]$ зима'!z1504-'[2]$ зима'!y1504-'[2]$ зима'!x1504-'[2]$ зима'!v1504-'[2]$ зима'!u1504-'[2]$ зима'!t1504-'[2]$ зима'!s1504-'[2]$ зима'!r1504-'[2]$ зима'!p1504-'[2]$ зима'!o1504-'[2]$ зима'!n1504-'[2]$ зима'!m1504-'[2]$ зима'!l1504+'[2]$ зима'!q1504+'[2]$ зима'!w1504+'[2]$ зима'!ac1504+'[2]$ зима'!ai1504+'[2]$ зима'!ao1504+'[2]$ зима'!k1504</f>
        <v>0</v>
      </c>
      <c r="I1504" s="191" t="n">
        <f aca="false">'[2]$ зима'!ay1504*1.1</f>
        <v>5544</v>
      </c>
    </row>
    <row r="1505" customFormat="false" ht="15" hidden="false" customHeight="false" outlineLevel="0" collapsed="false">
      <c r="A1505" s="217" t="s">
        <v>2225</v>
      </c>
      <c r="B1505" s="157" t="s">
        <v>1149</v>
      </c>
      <c r="C1505" s="158" t="s">
        <v>3848</v>
      </c>
      <c r="D1505" s="158"/>
      <c r="E1505" s="224"/>
      <c r="F1505" s="224"/>
      <c r="G1505" s="218"/>
      <c r="H1505" s="105" t="n">
        <f aca="false">'[2]$ зима'!j1505-'[2]$ зима'!au1505-'[2]$ зима'!at1505-'[2]$ зима'!as1505-'[2]$ зима'!ar1505-'[2]$ зима'!aq1505-'[2]$ зима'!ap1505-'[2]$ зима'!an1505-'[2]$ зима'!am1505-'[2]$ зима'!al1505-'[2]$ зима'!ak1505-'[2]$ зима'!aj1505-'[2]$ зима'!ah1505-'[2]$ зима'!ag1505-'[2]$ зима'!af1505-'[2]$ зима'!ae1505-'[2]$ зима'!ad1505-'[2]$ зима'!ab1505-'[2]$ зима'!aa1505-'[2]$ зима'!z1505-'[2]$ зима'!y1505-'[2]$ зима'!x1505-'[2]$ зима'!v1505-'[2]$ зима'!u1505-'[2]$ зима'!t1505-'[2]$ зима'!s1505-'[2]$ зима'!r1505-'[2]$ зима'!p1505-'[2]$ зима'!o1505-'[2]$ зима'!n1505-'[2]$ зима'!m1505-'[2]$ зима'!l1505+'[2]$ зима'!q1505+'[2]$ зима'!w1505+'[2]$ зима'!ac1505+'[2]$ зима'!ai1505+'[2]$ зима'!ao1505+'[2]$ зима'!k1505</f>
        <v>4</v>
      </c>
      <c r="I1505" s="219" t="n">
        <f aca="false">'[2]$ зима'!ay1505*1.1</f>
        <v>990</v>
      </c>
    </row>
    <row r="1506" customFormat="false" ht="15" hidden="true" customHeight="false" outlineLevel="0" collapsed="false">
      <c r="A1506" s="188" t="s">
        <v>2225</v>
      </c>
      <c r="B1506" s="149" t="s">
        <v>586</v>
      </c>
      <c r="C1506" s="148" t="s">
        <v>3133</v>
      </c>
      <c r="D1506" s="148"/>
      <c r="E1506" s="148"/>
      <c r="F1506" s="148"/>
      <c r="G1506" s="193"/>
      <c r="H1506" s="105" t="n">
        <f aca="false">'[2]$ зима'!j1506-'[2]$ зима'!au1506-'[2]$ зима'!at1506-'[2]$ зима'!as1506-'[2]$ зима'!ar1506-'[2]$ зима'!aq1506-'[2]$ зима'!ap1506-'[2]$ зима'!an1506-'[2]$ зима'!am1506-'[2]$ зима'!al1506-'[2]$ зима'!ak1506-'[2]$ зима'!aj1506-'[2]$ зима'!ah1506-'[2]$ зима'!ag1506-'[2]$ зима'!af1506-'[2]$ зима'!ae1506-'[2]$ зима'!ad1506-'[2]$ зима'!ab1506-'[2]$ зима'!aa1506-'[2]$ зима'!z1506-'[2]$ зима'!y1506-'[2]$ зима'!x1506-'[2]$ зима'!v1506-'[2]$ зима'!u1506-'[2]$ зима'!t1506-'[2]$ зима'!s1506-'[2]$ зима'!r1506-'[2]$ зима'!p1506-'[2]$ зима'!o1506-'[2]$ зима'!n1506-'[2]$ зима'!m1506-'[2]$ зима'!l1506+'[2]$ зима'!q1506+'[2]$ зима'!w1506+'[2]$ зима'!ac1506+'[2]$ зима'!ai1506+'[2]$ зима'!ao1506+'[2]$ зима'!k1506</f>
        <v>0</v>
      </c>
      <c r="I1506" s="191" t="n">
        <f aca="false">'[2]$ зима'!ay1506*1.1</f>
        <v>2156</v>
      </c>
      <c r="J1506" s="171" t="n">
        <v>2017</v>
      </c>
    </row>
    <row r="1507" customFormat="false" ht="15" hidden="false" customHeight="false" outlineLevel="0" collapsed="false">
      <c r="A1507" s="188" t="s">
        <v>2225</v>
      </c>
      <c r="B1507" s="149" t="s">
        <v>3432</v>
      </c>
      <c r="C1507" s="148" t="s">
        <v>3849</v>
      </c>
      <c r="D1507" s="148" t="s">
        <v>582</v>
      </c>
      <c r="E1507" s="192" t="n">
        <v>107</v>
      </c>
      <c r="F1507" s="192" t="s">
        <v>970</v>
      </c>
      <c r="G1507" s="193"/>
      <c r="H1507" s="105" t="n">
        <f aca="false">'[2]$ зима'!j1507-'[2]$ зима'!au1507-'[2]$ зима'!at1507-'[2]$ зима'!as1507-'[2]$ зима'!ar1507-'[2]$ зима'!aq1507-'[2]$ зима'!ap1507-'[2]$ зима'!an1507-'[2]$ зима'!am1507-'[2]$ зима'!al1507-'[2]$ зима'!ak1507-'[2]$ зима'!aj1507-'[2]$ зима'!ah1507-'[2]$ зима'!ag1507-'[2]$ зима'!af1507-'[2]$ зима'!ae1507-'[2]$ зима'!ad1507-'[2]$ зима'!ab1507-'[2]$ зима'!aa1507-'[2]$ зима'!z1507-'[2]$ зима'!y1507-'[2]$ зима'!x1507-'[2]$ зима'!v1507-'[2]$ зима'!u1507-'[2]$ зима'!t1507-'[2]$ зима'!s1507-'[2]$ зима'!r1507-'[2]$ зима'!p1507-'[2]$ зима'!o1507-'[2]$ зима'!n1507-'[2]$ зима'!m1507-'[2]$ зима'!l1507+'[2]$ зима'!q1507+'[2]$ зима'!w1507+'[2]$ зима'!ac1507+'[2]$ зима'!ai1507+'[2]$ зима'!ao1507+'[2]$ зима'!k1507</f>
        <v>2</v>
      </c>
      <c r="I1507" s="191" t="n">
        <f aca="false">'[2]$ зима'!ay1507*1.1</f>
        <v>2464</v>
      </c>
    </row>
    <row r="1508" customFormat="false" ht="15" hidden="false" customHeight="false" outlineLevel="0" collapsed="false">
      <c r="A1508" s="188" t="s">
        <v>2225</v>
      </c>
      <c r="B1508" s="149" t="s">
        <v>589</v>
      </c>
      <c r="C1508" s="148" t="s">
        <v>3209</v>
      </c>
      <c r="D1508" s="148"/>
      <c r="E1508" s="192" t="n">
        <v>107</v>
      </c>
      <c r="F1508" s="192" t="s">
        <v>3437</v>
      </c>
      <c r="G1508" s="193" t="s">
        <v>626</v>
      </c>
      <c r="H1508" s="105" t="n">
        <f aca="false">'[2]$ зима'!j1508-'[2]$ зима'!au1508-'[2]$ зима'!at1508-'[2]$ зима'!as1508-'[2]$ зима'!ar1508-'[2]$ зима'!aq1508-'[2]$ зима'!ap1508-'[2]$ зима'!an1508-'[2]$ зима'!am1508-'[2]$ зима'!al1508-'[2]$ зима'!ak1508-'[2]$ зима'!aj1508-'[2]$ зима'!ah1508-'[2]$ зима'!ag1508-'[2]$ зима'!af1508-'[2]$ зима'!ae1508-'[2]$ зима'!ad1508-'[2]$ зима'!ab1508-'[2]$ зима'!aa1508-'[2]$ зима'!z1508-'[2]$ зима'!y1508-'[2]$ зима'!x1508-'[2]$ зима'!v1508-'[2]$ зима'!u1508-'[2]$ зима'!t1508-'[2]$ зима'!s1508-'[2]$ зима'!r1508-'[2]$ зима'!p1508-'[2]$ зима'!o1508-'[2]$ зима'!n1508-'[2]$ зима'!m1508-'[2]$ зима'!l1508+'[2]$ зима'!q1508+'[2]$ зима'!w1508+'[2]$ зима'!ac1508+'[2]$ зима'!ai1508+'[2]$ зима'!ao1508+'[2]$ зима'!k1508</f>
        <v>8</v>
      </c>
      <c r="I1508" s="191" t="n">
        <f aca="false">'[2]$ зима'!ay1508*1.1</f>
        <v>5092.12</v>
      </c>
      <c r="J1508" s="171" t="n">
        <v>2018</v>
      </c>
    </row>
    <row r="1509" customFormat="false" ht="15" hidden="false" customHeight="false" outlineLevel="0" collapsed="false">
      <c r="A1509" s="188" t="s">
        <v>2225</v>
      </c>
      <c r="B1509" s="149" t="s">
        <v>564</v>
      </c>
      <c r="C1509" s="148" t="s">
        <v>3540</v>
      </c>
      <c r="D1509" s="148"/>
      <c r="E1509" s="192" t="n">
        <v>107</v>
      </c>
      <c r="F1509" s="192" t="s">
        <v>3220</v>
      </c>
      <c r="G1509" s="193"/>
      <c r="H1509" s="105" t="n">
        <f aca="false">'[2]$ зима'!j1509-'[2]$ зима'!au1509-'[2]$ зима'!at1509-'[2]$ зима'!as1509-'[2]$ зима'!ar1509-'[2]$ зима'!aq1509-'[2]$ зима'!ap1509-'[2]$ зима'!an1509-'[2]$ зима'!am1509-'[2]$ зима'!al1509-'[2]$ зима'!ak1509-'[2]$ зима'!aj1509-'[2]$ зима'!ah1509-'[2]$ зима'!ag1509-'[2]$ зима'!af1509-'[2]$ зима'!ae1509-'[2]$ зима'!ad1509-'[2]$ зима'!ab1509-'[2]$ зима'!aa1509-'[2]$ зима'!z1509-'[2]$ зима'!y1509-'[2]$ зима'!x1509-'[2]$ зима'!v1509-'[2]$ зима'!u1509-'[2]$ зима'!t1509-'[2]$ зима'!s1509-'[2]$ зима'!r1509-'[2]$ зима'!p1509-'[2]$ зима'!o1509-'[2]$ зима'!n1509-'[2]$ зима'!m1509-'[2]$ зима'!l1509+'[2]$ зима'!q1509+'[2]$ зима'!w1509+'[2]$ зима'!ac1509+'[2]$ зима'!ai1509+'[2]$ зима'!ao1509+'[2]$ зима'!k1509</f>
        <v>4</v>
      </c>
      <c r="I1509" s="191" t="n">
        <f aca="false">'[2]$ зима'!ay1509*1.1</f>
        <v>2464</v>
      </c>
    </row>
    <row r="1510" customFormat="false" ht="15" hidden="true" customHeight="false" outlineLevel="0" collapsed="false">
      <c r="A1510" s="188" t="s">
        <v>2225</v>
      </c>
      <c r="B1510" s="149" t="s">
        <v>1028</v>
      </c>
      <c r="C1510" s="148" t="s">
        <v>3767</v>
      </c>
      <c r="D1510" s="148"/>
      <c r="E1510" s="148"/>
      <c r="F1510" s="148"/>
      <c r="G1510" s="193"/>
      <c r="H1510" s="105" t="n">
        <f aca="false">'[2]$ зима'!j1510-'[2]$ зима'!au1510-'[2]$ зима'!at1510-'[2]$ зима'!as1510-'[2]$ зима'!ar1510-'[2]$ зима'!aq1510-'[2]$ зима'!ap1510-'[2]$ зима'!an1510-'[2]$ зима'!am1510-'[2]$ зима'!al1510-'[2]$ зима'!ak1510-'[2]$ зима'!aj1510-'[2]$ зима'!ah1510-'[2]$ зима'!ag1510-'[2]$ зима'!af1510-'[2]$ зима'!ae1510-'[2]$ зима'!ad1510-'[2]$ зима'!ab1510-'[2]$ зима'!aa1510-'[2]$ зима'!z1510-'[2]$ зима'!y1510-'[2]$ зима'!x1510-'[2]$ зима'!v1510-'[2]$ зима'!u1510-'[2]$ зима'!t1510-'[2]$ зима'!s1510-'[2]$ зима'!r1510-'[2]$ зима'!p1510-'[2]$ зима'!o1510-'[2]$ зима'!n1510-'[2]$ зима'!m1510-'[2]$ зима'!l1510+'[2]$ зима'!q1510+'[2]$ зима'!w1510+'[2]$ зима'!ac1510+'[2]$ зима'!ai1510+'[2]$ зима'!ao1510+'[2]$ зима'!k1510</f>
        <v>0</v>
      </c>
      <c r="I1510" s="191" t="n">
        <f aca="false">'[2]$ зима'!ay1510*1.1</f>
        <v>4312</v>
      </c>
    </row>
    <row r="1511" customFormat="false" ht="15" hidden="true" customHeight="false" outlineLevel="0" collapsed="false">
      <c r="A1511" s="188" t="s">
        <v>2225</v>
      </c>
      <c r="B1511" s="149" t="s">
        <v>1028</v>
      </c>
      <c r="C1511" s="148" t="s">
        <v>3850</v>
      </c>
      <c r="D1511" s="148"/>
      <c r="E1511" s="148"/>
      <c r="F1511" s="148"/>
      <c r="G1511" s="193"/>
      <c r="H1511" s="105" t="n">
        <f aca="false">'[2]$ зима'!j1511-'[2]$ зима'!au1511-'[2]$ зима'!at1511-'[2]$ зима'!as1511-'[2]$ зима'!ar1511-'[2]$ зима'!aq1511-'[2]$ зима'!ap1511-'[2]$ зима'!an1511-'[2]$ зима'!am1511-'[2]$ зима'!al1511-'[2]$ зима'!ak1511-'[2]$ зима'!aj1511-'[2]$ зима'!ah1511-'[2]$ зима'!ag1511-'[2]$ зима'!af1511-'[2]$ зима'!ae1511-'[2]$ зима'!ad1511-'[2]$ зима'!ab1511-'[2]$ зима'!aa1511-'[2]$ зима'!z1511-'[2]$ зима'!y1511-'[2]$ зима'!x1511-'[2]$ зима'!v1511-'[2]$ зима'!u1511-'[2]$ зима'!t1511-'[2]$ зима'!s1511-'[2]$ зима'!r1511-'[2]$ зима'!p1511-'[2]$ зима'!o1511-'[2]$ зима'!n1511-'[2]$ зима'!m1511-'[2]$ зима'!l1511+'[2]$ зима'!q1511+'[2]$ зима'!w1511+'[2]$ зима'!ac1511+'[2]$ зима'!ai1511+'[2]$ зима'!ao1511+'[2]$ зима'!k1511</f>
        <v>0</v>
      </c>
      <c r="I1511" s="191" t="n">
        <f aca="false">'[2]$ зима'!ay1511*1.1</f>
        <v>4928</v>
      </c>
    </row>
    <row r="1512" customFormat="false" ht="15" hidden="false" customHeight="false" outlineLevel="0" collapsed="false">
      <c r="A1512" s="188" t="s">
        <v>2225</v>
      </c>
      <c r="B1512" s="149" t="s">
        <v>770</v>
      </c>
      <c r="C1512" s="148" t="s">
        <v>3851</v>
      </c>
      <c r="D1512" s="148"/>
      <c r="E1512" s="192"/>
      <c r="F1512" s="192" t="s">
        <v>3286</v>
      </c>
      <c r="G1512" s="193"/>
      <c r="H1512" s="105" t="n">
        <f aca="false">'[2]$ зима'!j1512-'[2]$ зима'!au1512-'[2]$ зима'!at1512-'[2]$ зима'!as1512-'[2]$ зима'!ar1512-'[2]$ зима'!aq1512-'[2]$ зима'!ap1512-'[2]$ зима'!an1512-'[2]$ зима'!am1512-'[2]$ зима'!al1512-'[2]$ зима'!ak1512-'[2]$ зима'!aj1512-'[2]$ зима'!ah1512-'[2]$ зима'!ag1512-'[2]$ зима'!af1512-'[2]$ зима'!ae1512-'[2]$ зима'!ad1512-'[2]$ зима'!ab1512-'[2]$ зима'!aa1512-'[2]$ зима'!z1512-'[2]$ зима'!y1512-'[2]$ зима'!x1512-'[2]$ зима'!v1512-'[2]$ зима'!u1512-'[2]$ зима'!t1512-'[2]$ зима'!s1512-'[2]$ зима'!r1512-'[2]$ зима'!p1512-'[2]$ зима'!o1512-'[2]$ зима'!n1512-'[2]$ зима'!m1512-'[2]$ зима'!l1512+'[2]$ зима'!q1512+'[2]$ зима'!w1512+'[2]$ зима'!ac1512+'[2]$ зима'!ai1512+'[2]$ зима'!ao1512+'[2]$ зима'!k1512</f>
        <v>2</v>
      </c>
      <c r="I1512" s="191" t="n">
        <f aca="false">'[2]$ зима'!ay1512*1.1</f>
        <v>4928</v>
      </c>
    </row>
    <row r="1513" customFormat="false" ht="15" hidden="true" customHeight="false" outlineLevel="0" collapsed="false">
      <c r="A1513" s="188" t="s">
        <v>2247</v>
      </c>
      <c r="B1513" s="149" t="s">
        <v>601</v>
      </c>
      <c r="C1513" s="148" t="s">
        <v>3482</v>
      </c>
      <c r="D1513" s="148"/>
      <c r="E1513" s="148"/>
      <c r="F1513" s="148"/>
      <c r="G1513" s="193"/>
      <c r="H1513" s="105" t="n">
        <f aca="false">'[2]$ зима'!j1513-'[2]$ зима'!au1513-'[2]$ зима'!at1513-'[2]$ зима'!as1513-'[2]$ зима'!ar1513-'[2]$ зима'!aq1513-'[2]$ зима'!ap1513-'[2]$ зима'!an1513-'[2]$ зима'!am1513-'[2]$ зима'!al1513-'[2]$ зима'!ak1513-'[2]$ зима'!aj1513-'[2]$ зима'!ah1513-'[2]$ зима'!ag1513-'[2]$ зима'!af1513-'[2]$ зима'!ae1513-'[2]$ зима'!ad1513-'[2]$ зима'!ab1513-'[2]$ зима'!aa1513-'[2]$ зима'!z1513-'[2]$ зима'!y1513-'[2]$ зима'!x1513-'[2]$ зима'!v1513-'[2]$ зима'!u1513-'[2]$ зима'!t1513-'[2]$ зима'!s1513-'[2]$ зима'!r1513-'[2]$ зима'!p1513-'[2]$ зима'!o1513-'[2]$ зима'!n1513-'[2]$ зима'!m1513-'[2]$ зима'!l1513+'[2]$ зима'!q1513+'[2]$ зима'!w1513+'[2]$ зима'!ac1513+'[2]$ зима'!ai1513+'[2]$ зима'!ao1513+'[2]$ зима'!k1513</f>
        <v>0</v>
      </c>
      <c r="I1513" s="191" t="n">
        <f aca="false">'[2]$ зима'!ay1513*1.1</f>
        <v>5852</v>
      </c>
      <c r="J1513" s="171" t="n">
        <v>2014</v>
      </c>
    </row>
    <row r="1514" customFormat="false" ht="15" hidden="true" customHeight="false" outlineLevel="0" collapsed="false">
      <c r="A1514" s="188" t="s">
        <v>2247</v>
      </c>
      <c r="B1514" s="149" t="s">
        <v>606</v>
      </c>
      <c r="C1514" s="148" t="s">
        <v>3805</v>
      </c>
      <c r="D1514" s="202"/>
      <c r="E1514" s="202" t="n">
        <v>110</v>
      </c>
      <c r="F1514" s="202" t="s">
        <v>3207</v>
      </c>
      <c r="G1514" s="203"/>
      <c r="H1514" s="105" t="n">
        <f aca="false">'[2]$ зима'!j1514-'[2]$ зима'!au1514-'[2]$ зима'!at1514-'[2]$ зима'!as1514-'[2]$ зима'!ar1514-'[2]$ зима'!aq1514-'[2]$ зима'!ap1514-'[2]$ зима'!an1514-'[2]$ зима'!am1514-'[2]$ зима'!al1514-'[2]$ зима'!ak1514-'[2]$ зима'!aj1514-'[2]$ зима'!ah1514-'[2]$ зима'!ag1514-'[2]$ зима'!af1514-'[2]$ зима'!ae1514-'[2]$ зима'!ad1514-'[2]$ зима'!ab1514-'[2]$ зима'!aa1514-'[2]$ зима'!z1514-'[2]$ зима'!y1514-'[2]$ зима'!x1514-'[2]$ зима'!v1514-'[2]$ зима'!u1514-'[2]$ зима'!t1514-'[2]$ зима'!s1514-'[2]$ зима'!r1514-'[2]$ зима'!p1514-'[2]$ зима'!o1514-'[2]$ зима'!n1514-'[2]$ зима'!m1514-'[2]$ зима'!l1514+'[2]$ зима'!q1514+'[2]$ зима'!w1514+'[2]$ зима'!ac1514+'[2]$ зима'!ai1514+'[2]$ зима'!ao1514+'[2]$ зима'!k1514</f>
        <v>0</v>
      </c>
      <c r="I1514" s="191" t="n">
        <f aca="false">'[2]$ зима'!ay1514*1.1</f>
        <v>3388</v>
      </c>
    </row>
    <row r="1515" customFormat="false" ht="15" hidden="true" customHeight="false" outlineLevel="0" collapsed="false">
      <c r="A1515" s="188" t="s">
        <v>2247</v>
      </c>
      <c r="B1515" s="149" t="s">
        <v>606</v>
      </c>
      <c r="C1515" s="148" t="s">
        <v>3623</v>
      </c>
      <c r="D1515" s="202"/>
      <c r="E1515" s="202"/>
      <c r="F1515" s="202"/>
      <c r="G1515" s="203"/>
      <c r="H1515" s="105" t="n">
        <f aca="false">'[2]$ зима'!j1515-'[2]$ зима'!au1515-'[2]$ зима'!at1515-'[2]$ зима'!as1515-'[2]$ зима'!ar1515-'[2]$ зима'!aq1515-'[2]$ зима'!ap1515-'[2]$ зима'!an1515-'[2]$ зима'!am1515-'[2]$ зима'!al1515-'[2]$ зима'!ak1515-'[2]$ зима'!aj1515-'[2]$ зима'!ah1515-'[2]$ зима'!ag1515-'[2]$ зима'!af1515-'[2]$ зима'!ae1515-'[2]$ зима'!ad1515-'[2]$ зима'!ab1515-'[2]$ зима'!aa1515-'[2]$ зима'!z1515-'[2]$ зима'!y1515-'[2]$ зима'!x1515-'[2]$ зима'!v1515-'[2]$ зима'!u1515-'[2]$ зима'!t1515-'[2]$ зима'!s1515-'[2]$ зима'!r1515-'[2]$ зима'!p1515-'[2]$ зима'!o1515-'[2]$ зима'!n1515-'[2]$ зима'!m1515-'[2]$ зима'!l1515+'[2]$ зима'!q1515+'[2]$ зима'!w1515+'[2]$ зима'!ac1515+'[2]$ зима'!ai1515+'[2]$ зима'!ao1515+'[2]$ зима'!k1515</f>
        <v>0</v>
      </c>
      <c r="I1515" s="191" t="n">
        <f aca="false">'[2]$ зима'!ay1515*1.1</f>
        <v>4620</v>
      </c>
    </row>
    <row r="1516" customFormat="false" ht="15" hidden="false" customHeight="false" outlineLevel="0" collapsed="false">
      <c r="A1516" s="188" t="s">
        <v>2247</v>
      </c>
      <c r="B1516" s="149" t="s">
        <v>668</v>
      </c>
      <c r="C1516" s="148" t="s">
        <v>3629</v>
      </c>
      <c r="D1516" s="202"/>
      <c r="E1516" s="211" t="n">
        <v>111</v>
      </c>
      <c r="F1516" s="211" t="s">
        <v>3816</v>
      </c>
      <c r="G1516" s="203"/>
      <c r="H1516" s="105" t="n">
        <f aca="false">'[2]$ зима'!j1516-'[2]$ зима'!au1516-'[2]$ зима'!at1516-'[2]$ зима'!as1516-'[2]$ зима'!ar1516-'[2]$ зима'!aq1516-'[2]$ зима'!ap1516-'[2]$ зима'!an1516-'[2]$ зима'!am1516-'[2]$ зима'!al1516-'[2]$ зима'!ak1516-'[2]$ зима'!aj1516-'[2]$ зима'!ah1516-'[2]$ зима'!ag1516-'[2]$ зима'!af1516-'[2]$ зима'!ae1516-'[2]$ зима'!ad1516-'[2]$ зима'!ab1516-'[2]$ зима'!aa1516-'[2]$ зима'!z1516-'[2]$ зима'!y1516-'[2]$ зима'!x1516-'[2]$ зима'!v1516-'[2]$ зима'!u1516-'[2]$ зима'!t1516-'[2]$ зима'!s1516-'[2]$ зима'!r1516-'[2]$ зима'!p1516-'[2]$ зима'!o1516-'[2]$ зима'!n1516-'[2]$ зима'!m1516-'[2]$ зима'!l1516+'[2]$ зима'!q1516+'[2]$ зима'!w1516+'[2]$ зима'!ac1516+'[2]$ зима'!ai1516+'[2]$ зима'!ao1516+'[2]$ зима'!k1516</f>
        <v>4</v>
      </c>
      <c r="I1516" s="191" t="n">
        <f aca="false">'[2]$ зима'!ay1516*1.1</f>
        <v>4065.6</v>
      </c>
    </row>
    <row r="1517" customFormat="false" ht="15" hidden="false" customHeight="false" outlineLevel="0" collapsed="false">
      <c r="A1517" s="188" t="s">
        <v>2247</v>
      </c>
      <c r="B1517" s="149" t="s">
        <v>574</v>
      </c>
      <c r="C1517" s="148" t="s">
        <v>3381</v>
      </c>
      <c r="D1517" s="148"/>
      <c r="E1517" s="192" t="n">
        <v>111</v>
      </c>
      <c r="F1517" s="192" t="s">
        <v>970</v>
      </c>
      <c r="G1517" s="193" t="s">
        <v>576</v>
      </c>
      <c r="H1517" s="105" t="n">
        <f aca="false">'[2]$ зима'!j1517-'[2]$ зима'!au1517-'[2]$ зима'!at1517-'[2]$ зима'!as1517-'[2]$ зима'!ar1517-'[2]$ зима'!aq1517-'[2]$ зима'!ap1517-'[2]$ зима'!an1517-'[2]$ зима'!am1517-'[2]$ зима'!al1517-'[2]$ зима'!ak1517-'[2]$ зима'!aj1517-'[2]$ зима'!ah1517-'[2]$ зима'!ag1517-'[2]$ зима'!af1517-'[2]$ зима'!ae1517-'[2]$ зима'!ad1517-'[2]$ зима'!ab1517-'[2]$ зима'!aa1517-'[2]$ зима'!z1517-'[2]$ зима'!y1517-'[2]$ зима'!x1517-'[2]$ зима'!v1517-'[2]$ зима'!u1517-'[2]$ зима'!t1517-'[2]$ зима'!s1517-'[2]$ зима'!r1517-'[2]$ зима'!p1517-'[2]$ зима'!o1517-'[2]$ зима'!n1517-'[2]$ зима'!m1517-'[2]$ зима'!l1517+'[2]$ зима'!q1517+'[2]$ зима'!w1517+'[2]$ зима'!ac1517+'[2]$ зима'!ai1517+'[2]$ зима'!ao1517+'[2]$ зима'!k1517</f>
        <v>4</v>
      </c>
      <c r="I1517" s="191" t="n">
        <f aca="false">'[2]$ зима'!ay1517*1.1</f>
        <v>3748.8</v>
      </c>
    </row>
    <row r="1518" customFormat="false" ht="15" hidden="true" customHeight="false" outlineLevel="0" collapsed="false">
      <c r="A1518" s="188" t="s">
        <v>2247</v>
      </c>
      <c r="B1518" s="149" t="s">
        <v>593</v>
      </c>
      <c r="C1518" s="148" t="s">
        <v>3852</v>
      </c>
      <c r="D1518" s="202"/>
      <c r="E1518" s="202" t="n">
        <v>109</v>
      </c>
      <c r="F1518" s="202" t="s">
        <v>3853</v>
      </c>
      <c r="G1518" s="203"/>
      <c r="H1518" s="105" t="n">
        <f aca="false">'[2]$ зима'!j1518-'[2]$ зима'!au1518-'[2]$ зима'!at1518-'[2]$ зима'!as1518-'[2]$ зима'!ar1518-'[2]$ зима'!aq1518-'[2]$ зима'!ap1518-'[2]$ зима'!an1518-'[2]$ зима'!am1518-'[2]$ зима'!al1518-'[2]$ зима'!ak1518-'[2]$ зима'!aj1518-'[2]$ зима'!ah1518-'[2]$ зима'!ag1518-'[2]$ зима'!af1518-'[2]$ зима'!ae1518-'[2]$ зима'!ad1518-'[2]$ зима'!ab1518-'[2]$ зима'!aa1518-'[2]$ зима'!z1518-'[2]$ зима'!y1518-'[2]$ зима'!x1518-'[2]$ зима'!v1518-'[2]$ зима'!u1518-'[2]$ зима'!t1518-'[2]$ зима'!s1518-'[2]$ зима'!r1518-'[2]$ зима'!p1518-'[2]$ зима'!o1518-'[2]$ зима'!n1518-'[2]$ зима'!m1518-'[2]$ зима'!l1518+'[2]$ зима'!q1518+'[2]$ зима'!w1518+'[2]$ зима'!ac1518+'[2]$ зима'!ai1518+'[2]$ зима'!ao1518+'[2]$ зима'!k1518</f>
        <v>0</v>
      </c>
      <c r="I1518" s="191" t="n">
        <f aca="false">'[2]$ зима'!ay1518*1.1</f>
        <v>5698</v>
      </c>
      <c r="J1518" s="171" t="s">
        <v>3290</v>
      </c>
    </row>
    <row r="1519" customFormat="false" ht="15" hidden="false" customHeight="false" outlineLevel="0" collapsed="false">
      <c r="A1519" s="188" t="s">
        <v>2247</v>
      </c>
      <c r="B1519" s="149" t="s">
        <v>593</v>
      </c>
      <c r="C1519" s="148" t="s">
        <v>3632</v>
      </c>
      <c r="D1519" s="202"/>
      <c r="E1519" s="211" t="n">
        <v>111</v>
      </c>
      <c r="F1519" s="211" t="s">
        <v>814</v>
      </c>
      <c r="G1519" s="203"/>
      <c r="H1519" s="105" t="n">
        <f aca="false">'[2]$ зима'!j1519-'[2]$ зима'!au1519-'[2]$ зима'!at1519-'[2]$ зима'!as1519-'[2]$ зима'!ar1519-'[2]$ зима'!aq1519-'[2]$ зима'!ap1519-'[2]$ зима'!an1519-'[2]$ зима'!am1519-'[2]$ зима'!al1519-'[2]$ зима'!ak1519-'[2]$ зима'!aj1519-'[2]$ зима'!ah1519-'[2]$ зима'!ag1519-'[2]$ зима'!af1519-'[2]$ зима'!ae1519-'[2]$ зима'!ad1519-'[2]$ зима'!ab1519-'[2]$ зима'!aa1519-'[2]$ зима'!z1519-'[2]$ зима'!y1519-'[2]$ зима'!x1519-'[2]$ зима'!v1519-'[2]$ зима'!u1519-'[2]$ зима'!t1519-'[2]$ зима'!s1519-'[2]$ зима'!r1519-'[2]$ зима'!p1519-'[2]$ зима'!o1519-'[2]$ зима'!n1519-'[2]$ зима'!m1519-'[2]$ зима'!l1519+'[2]$ зима'!q1519+'[2]$ зима'!w1519+'[2]$ зима'!ac1519+'[2]$ зима'!ai1519+'[2]$ зима'!ao1519+'[2]$ зима'!k1519</f>
        <v>8</v>
      </c>
      <c r="I1519" s="191" t="n">
        <f aca="false">'[2]$ зима'!ay1519*1.1</f>
        <v>7084</v>
      </c>
    </row>
    <row r="1520" customFormat="false" ht="15" hidden="false" customHeight="false" outlineLevel="0" collapsed="false">
      <c r="A1520" s="188" t="s">
        <v>2247</v>
      </c>
      <c r="B1520" s="149" t="s">
        <v>1149</v>
      </c>
      <c r="C1520" s="148" t="s">
        <v>3170</v>
      </c>
      <c r="D1520" s="202"/>
      <c r="E1520" s="211"/>
      <c r="F1520" s="211"/>
      <c r="G1520" s="203"/>
      <c r="H1520" s="105" t="n">
        <f aca="false">'[2]$ зима'!j1520-'[2]$ зима'!au1520-'[2]$ зима'!at1520-'[2]$ зима'!as1520-'[2]$ зима'!ar1520-'[2]$ зима'!aq1520-'[2]$ зима'!ap1520-'[2]$ зима'!an1520-'[2]$ зима'!am1520-'[2]$ зима'!al1520-'[2]$ зима'!ak1520-'[2]$ зима'!aj1520-'[2]$ зима'!ah1520-'[2]$ зима'!ag1520-'[2]$ зима'!af1520-'[2]$ зима'!ae1520-'[2]$ зима'!ad1520-'[2]$ зима'!ab1520-'[2]$ зима'!aa1520-'[2]$ зима'!z1520-'[2]$ зима'!y1520-'[2]$ зима'!x1520-'[2]$ зима'!v1520-'[2]$ зима'!u1520-'[2]$ зима'!t1520-'[2]$ зима'!s1520-'[2]$ зима'!r1520-'[2]$ зима'!p1520-'[2]$ зима'!o1520-'[2]$ зима'!n1520-'[2]$ зима'!m1520-'[2]$ зима'!l1520+'[2]$ зима'!q1520+'[2]$ зима'!w1520+'[2]$ зима'!ac1520+'[2]$ зима'!ai1520+'[2]$ зима'!ao1520+'[2]$ зима'!k1520</f>
        <v>2</v>
      </c>
      <c r="I1520" s="191" t="n">
        <f aca="false">'[2]$ зима'!ay1520*1.1</f>
        <v>3696</v>
      </c>
    </row>
    <row r="1521" customFormat="false" ht="15" hidden="true" customHeight="false" outlineLevel="0" collapsed="false">
      <c r="A1521" s="188" t="s">
        <v>2247</v>
      </c>
      <c r="B1521" s="149" t="s">
        <v>564</v>
      </c>
      <c r="C1521" s="148" t="s">
        <v>3854</v>
      </c>
      <c r="D1521" s="202"/>
      <c r="E1521" s="202"/>
      <c r="F1521" s="202"/>
      <c r="G1521" s="203"/>
      <c r="H1521" s="105" t="n">
        <f aca="false">'[2]$ зима'!j1521-'[2]$ зима'!au1521-'[2]$ зима'!at1521-'[2]$ зима'!as1521-'[2]$ зима'!ar1521-'[2]$ зима'!aq1521-'[2]$ зима'!ap1521-'[2]$ зима'!an1521-'[2]$ зима'!am1521-'[2]$ зима'!al1521-'[2]$ зима'!ak1521-'[2]$ зима'!aj1521-'[2]$ зима'!ah1521-'[2]$ зима'!ag1521-'[2]$ зима'!af1521-'[2]$ зима'!ae1521-'[2]$ зима'!ad1521-'[2]$ зима'!ab1521-'[2]$ зима'!aa1521-'[2]$ зима'!z1521-'[2]$ зима'!y1521-'[2]$ зима'!x1521-'[2]$ зима'!v1521-'[2]$ зима'!u1521-'[2]$ зима'!t1521-'[2]$ зима'!s1521-'[2]$ зима'!r1521-'[2]$ зима'!p1521-'[2]$ зима'!o1521-'[2]$ зима'!n1521-'[2]$ зима'!m1521-'[2]$ зима'!l1521+'[2]$ зима'!q1521+'[2]$ зима'!w1521+'[2]$ зима'!ac1521+'[2]$ зима'!ai1521+'[2]$ зима'!ao1521+'[2]$ зима'!k1521</f>
        <v>0</v>
      </c>
      <c r="I1521" s="191" t="n">
        <f aca="false">'[2]$ зима'!ay1521*1.1</f>
        <v>2618</v>
      </c>
      <c r="J1521" s="171" t="n">
        <v>2017</v>
      </c>
    </row>
    <row r="1522" customFormat="false" ht="15" hidden="false" customHeight="false" outlineLevel="0" collapsed="false">
      <c r="A1522" s="188" t="s">
        <v>2247</v>
      </c>
      <c r="B1522" s="149" t="s">
        <v>589</v>
      </c>
      <c r="C1522" s="148" t="s">
        <v>3209</v>
      </c>
      <c r="D1522" s="148"/>
      <c r="E1522" s="192"/>
      <c r="F1522" s="192" t="s">
        <v>3207</v>
      </c>
      <c r="G1522" s="193" t="s">
        <v>626</v>
      </c>
      <c r="H1522" s="105" t="n">
        <f aca="false">'[2]$ зима'!j1522-'[2]$ зима'!au1522-'[2]$ зима'!at1522-'[2]$ зима'!as1522-'[2]$ зима'!ar1522-'[2]$ зима'!aq1522-'[2]$ зима'!ap1522-'[2]$ зима'!an1522-'[2]$ зима'!am1522-'[2]$ зима'!al1522-'[2]$ зима'!ak1522-'[2]$ зима'!aj1522-'[2]$ зима'!ah1522-'[2]$ зима'!ag1522-'[2]$ зима'!af1522-'[2]$ зима'!ae1522-'[2]$ зима'!ad1522-'[2]$ зима'!ab1522-'[2]$ зима'!aa1522-'[2]$ зима'!z1522-'[2]$ зима'!y1522-'[2]$ зима'!x1522-'[2]$ зима'!v1522-'[2]$ зима'!u1522-'[2]$ зима'!t1522-'[2]$ зима'!s1522-'[2]$ зима'!r1522-'[2]$ зима'!p1522-'[2]$ зима'!o1522-'[2]$ зима'!n1522-'[2]$ зима'!m1522-'[2]$ зима'!l1522+'[2]$ зима'!q1522+'[2]$ зима'!w1522+'[2]$ зима'!ac1522+'[2]$ зима'!ai1522+'[2]$ зима'!ao1522+'[2]$ зима'!k1522</f>
        <v>4</v>
      </c>
      <c r="I1522" s="191" t="n">
        <f aca="false">'[2]$ зима'!ay1522*1.1</f>
        <v>5060.88</v>
      </c>
      <c r="J1522" s="171" t="n">
        <v>2016</v>
      </c>
    </row>
    <row r="1523" customFormat="false" ht="15" hidden="true" customHeight="false" outlineLevel="0" collapsed="false">
      <c r="A1523" s="188" t="s">
        <v>2247</v>
      </c>
      <c r="B1523" s="149" t="s">
        <v>1028</v>
      </c>
      <c r="C1523" s="148" t="s">
        <v>3855</v>
      </c>
      <c r="D1523" s="202"/>
      <c r="E1523" s="202"/>
      <c r="F1523" s="202"/>
      <c r="G1523" s="203"/>
      <c r="H1523" s="105" t="n">
        <f aca="false">'[2]$ зима'!j1523-'[2]$ зима'!au1523-'[2]$ зима'!at1523-'[2]$ зима'!as1523-'[2]$ зима'!ar1523-'[2]$ зима'!aq1523-'[2]$ зима'!ap1523-'[2]$ зима'!an1523-'[2]$ зима'!am1523-'[2]$ зима'!al1523-'[2]$ зима'!ak1523-'[2]$ зима'!aj1523-'[2]$ зима'!ah1523-'[2]$ зима'!ag1523-'[2]$ зима'!af1523-'[2]$ зима'!ae1523-'[2]$ зима'!ad1523-'[2]$ зима'!ab1523-'[2]$ зима'!aa1523-'[2]$ зима'!z1523-'[2]$ зима'!y1523-'[2]$ зима'!x1523-'[2]$ зима'!v1523-'[2]$ зима'!u1523-'[2]$ зима'!t1523-'[2]$ зима'!s1523-'[2]$ зима'!r1523-'[2]$ зима'!p1523-'[2]$ зима'!o1523-'[2]$ зима'!n1523-'[2]$ зима'!m1523-'[2]$ зима'!l1523+'[2]$ зима'!q1523+'[2]$ зима'!w1523+'[2]$ зима'!ac1523+'[2]$ зима'!ai1523+'[2]$ зима'!ao1523+'[2]$ зима'!k1523</f>
        <v>0</v>
      </c>
      <c r="I1523" s="191" t="n">
        <f aca="false">'[2]$ зима'!ay1523*1.1</f>
        <v>3542</v>
      </c>
    </row>
    <row r="1524" customFormat="false" ht="15" hidden="true" customHeight="false" outlineLevel="0" collapsed="false">
      <c r="A1524" s="188" t="s">
        <v>2259</v>
      </c>
      <c r="B1524" s="149" t="s">
        <v>601</v>
      </c>
      <c r="C1524" s="148" t="s">
        <v>3507</v>
      </c>
      <c r="D1524" s="202"/>
      <c r="E1524" s="202"/>
      <c r="F1524" s="202"/>
      <c r="G1524" s="203" t="s">
        <v>1954</v>
      </c>
      <c r="H1524" s="105" t="n">
        <f aca="false">'[2]$ зима'!j1524-'[2]$ зима'!au1524-'[2]$ зима'!at1524-'[2]$ зима'!as1524-'[2]$ зима'!ar1524-'[2]$ зима'!aq1524-'[2]$ зима'!ap1524-'[2]$ зима'!an1524-'[2]$ зима'!am1524-'[2]$ зима'!al1524-'[2]$ зима'!ak1524-'[2]$ зима'!aj1524-'[2]$ зима'!ah1524-'[2]$ зима'!ag1524-'[2]$ зима'!af1524-'[2]$ зима'!ae1524-'[2]$ зима'!ad1524-'[2]$ зима'!ab1524-'[2]$ зима'!aa1524-'[2]$ зима'!z1524-'[2]$ зима'!y1524-'[2]$ зима'!x1524-'[2]$ зима'!v1524-'[2]$ зима'!u1524-'[2]$ зима'!t1524-'[2]$ зима'!s1524-'[2]$ зима'!r1524-'[2]$ зима'!p1524-'[2]$ зима'!o1524-'[2]$ зима'!n1524-'[2]$ зима'!m1524-'[2]$ зима'!l1524+'[2]$ зима'!q1524+'[2]$ зима'!w1524+'[2]$ зима'!ac1524+'[2]$ зима'!ai1524+'[2]$ зима'!ao1524+'[2]$ зима'!k1524</f>
        <v>0</v>
      </c>
      <c r="I1524" s="191" t="n">
        <f aca="false">'[2]$ зима'!ay1524*1.1</f>
        <v>5605.6</v>
      </c>
    </row>
    <row r="1525" customFormat="false" ht="15" hidden="false" customHeight="false" outlineLevel="0" collapsed="false">
      <c r="A1525" s="188" t="s">
        <v>2259</v>
      </c>
      <c r="B1525" s="149" t="s">
        <v>601</v>
      </c>
      <c r="C1525" s="148" t="s">
        <v>3482</v>
      </c>
      <c r="D1525" s="202"/>
      <c r="E1525" s="211"/>
      <c r="F1525" s="211"/>
      <c r="G1525" s="203"/>
      <c r="H1525" s="105" t="n">
        <f aca="false">'[2]$ зима'!j1525-'[2]$ зима'!au1525-'[2]$ зима'!at1525-'[2]$ зима'!as1525-'[2]$ зима'!ar1525-'[2]$ зима'!aq1525-'[2]$ зима'!ap1525-'[2]$ зима'!an1525-'[2]$ зима'!am1525-'[2]$ зима'!al1525-'[2]$ зима'!ak1525-'[2]$ зима'!aj1525-'[2]$ зима'!ah1525-'[2]$ зима'!ag1525-'[2]$ зима'!af1525-'[2]$ зима'!ae1525-'[2]$ зима'!ad1525-'[2]$ зима'!ab1525-'[2]$ зима'!aa1525-'[2]$ зима'!z1525-'[2]$ зима'!y1525-'[2]$ зима'!x1525-'[2]$ зима'!v1525-'[2]$ зима'!u1525-'[2]$ зима'!t1525-'[2]$ зима'!s1525-'[2]$ зима'!r1525-'[2]$ зима'!p1525-'[2]$ зима'!o1525-'[2]$ зима'!n1525-'[2]$ зима'!m1525-'[2]$ зима'!l1525+'[2]$ зима'!q1525+'[2]$ зима'!w1525+'[2]$ зима'!ac1525+'[2]$ зима'!ai1525+'[2]$ зима'!ao1525+'[2]$ зима'!k1525</f>
        <v>4</v>
      </c>
      <c r="I1525" s="191" t="n">
        <f aca="false">'[2]$ зима'!ay1525*1.1</f>
        <v>5852</v>
      </c>
    </row>
    <row r="1526" customFormat="false" ht="15" hidden="false" customHeight="false" outlineLevel="0" collapsed="false">
      <c r="A1526" s="188" t="s">
        <v>2259</v>
      </c>
      <c r="B1526" s="149" t="s">
        <v>601</v>
      </c>
      <c r="C1526" s="148" t="s">
        <v>3481</v>
      </c>
      <c r="D1526" s="202"/>
      <c r="E1526" s="211"/>
      <c r="F1526" s="211"/>
      <c r="G1526" s="203"/>
      <c r="H1526" s="105" t="n">
        <f aca="false">'[2]$ зима'!j1526-'[2]$ зима'!au1526-'[2]$ зима'!at1526-'[2]$ зима'!as1526-'[2]$ зима'!ar1526-'[2]$ зима'!aq1526-'[2]$ зима'!ap1526-'[2]$ зима'!an1526-'[2]$ зима'!am1526-'[2]$ зима'!al1526-'[2]$ зима'!ak1526-'[2]$ зима'!aj1526-'[2]$ зима'!ah1526-'[2]$ зима'!ag1526-'[2]$ зима'!af1526-'[2]$ зима'!ae1526-'[2]$ зима'!ad1526-'[2]$ зима'!ab1526-'[2]$ зима'!aa1526-'[2]$ зима'!z1526-'[2]$ зима'!y1526-'[2]$ зима'!x1526-'[2]$ зима'!v1526-'[2]$ зима'!u1526-'[2]$ зима'!t1526-'[2]$ зима'!s1526-'[2]$ зима'!r1526-'[2]$ зима'!p1526-'[2]$ зима'!o1526-'[2]$ зима'!n1526-'[2]$ зима'!m1526-'[2]$ зима'!l1526+'[2]$ зима'!q1526+'[2]$ зима'!w1526+'[2]$ зима'!ac1526+'[2]$ зима'!ai1526+'[2]$ зима'!ao1526+'[2]$ зима'!k1526</f>
        <v>4</v>
      </c>
      <c r="I1526" s="191" t="n">
        <f aca="false">'[2]$ зима'!ay1526*1.1</f>
        <v>4620</v>
      </c>
    </row>
    <row r="1527" customFormat="false" ht="15" hidden="false" customHeight="false" outlineLevel="0" collapsed="false">
      <c r="A1527" s="188" t="s">
        <v>2259</v>
      </c>
      <c r="B1527" s="149" t="s">
        <v>606</v>
      </c>
      <c r="C1527" s="148" t="s">
        <v>3715</v>
      </c>
      <c r="D1527" s="202"/>
      <c r="E1527" s="211" t="n">
        <v>106</v>
      </c>
      <c r="F1527" s="211" t="s">
        <v>3207</v>
      </c>
      <c r="G1527" s="203"/>
      <c r="H1527" s="105" t="n">
        <f aca="false">'[2]$ зима'!j1527-'[2]$ зима'!au1527-'[2]$ зима'!at1527-'[2]$ зима'!as1527-'[2]$ зима'!ar1527-'[2]$ зима'!aq1527-'[2]$ зима'!ap1527-'[2]$ зима'!an1527-'[2]$ зима'!am1527-'[2]$ зима'!al1527-'[2]$ зима'!ak1527-'[2]$ зима'!aj1527-'[2]$ зима'!ah1527-'[2]$ зима'!ag1527-'[2]$ зима'!af1527-'[2]$ зима'!ae1527-'[2]$ зима'!ad1527-'[2]$ зима'!ab1527-'[2]$ зима'!aa1527-'[2]$ зима'!z1527-'[2]$ зима'!y1527-'[2]$ зима'!x1527-'[2]$ зима'!v1527-'[2]$ зима'!u1527-'[2]$ зима'!t1527-'[2]$ зима'!s1527-'[2]$ зима'!r1527-'[2]$ зима'!p1527-'[2]$ зима'!o1527-'[2]$ зима'!n1527-'[2]$ зима'!m1527-'[2]$ зима'!l1527+'[2]$ зима'!q1527+'[2]$ зима'!w1527+'[2]$ зима'!ac1527+'[2]$ зима'!ai1527+'[2]$ зима'!ao1527+'[2]$ зима'!k1527</f>
        <v>4</v>
      </c>
      <c r="I1527" s="191" t="n">
        <f aca="false">'[2]$ зима'!ay1527*1.1</f>
        <v>4127.2</v>
      </c>
      <c r="J1527" s="171" t="n">
        <v>2017</v>
      </c>
    </row>
    <row r="1528" customFormat="false" ht="15" hidden="false" customHeight="false" outlineLevel="0" collapsed="false">
      <c r="A1528" s="188" t="s">
        <v>2259</v>
      </c>
      <c r="B1528" s="149" t="s">
        <v>593</v>
      </c>
      <c r="C1528" s="148" t="s">
        <v>3632</v>
      </c>
      <c r="D1528" s="202"/>
      <c r="E1528" s="211" t="n">
        <v>110</v>
      </c>
      <c r="F1528" s="211" t="s">
        <v>814</v>
      </c>
      <c r="G1528" s="203" t="s">
        <v>935</v>
      </c>
      <c r="H1528" s="105" t="n">
        <f aca="false">'[2]$ зима'!j1528-'[2]$ зима'!au1528-'[2]$ зима'!at1528-'[2]$ зима'!as1528-'[2]$ зима'!ar1528-'[2]$ зима'!aq1528-'[2]$ зима'!ap1528-'[2]$ зима'!an1528-'[2]$ зима'!am1528-'[2]$ зима'!al1528-'[2]$ зима'!ak1528-'[2]$ зима'!aj1528-'[2]$ зима'!ah1528-'[2]$ зима'!ag1528-'[2]$ зима'!af1528-'[2]$ зима'!ae1528-'[2]$ зима'!ad1528-'[2]$ зима'!ab1528-'[2]$ зима'!aa1528-'[2]$ зима'!z1528-'[2]$ зима'!y1528-'[2]$ зима'!x1528-'[2]$ зима'!v1528-'[2]$ зима'!u1528-'[2]$ зима'!t1528-'[2]$ зима'!s1528-'[2]$ зима'!r1528-'[2]$ зима'!p1528-'[2]$ зима'!o1528-'[2]$ зима'!n1528-'[2]$ зима'!m1528-'[2]$ зима'!l1528+'[2]$ зима'!q1528+'[2]$ зима'!w1528+'[2]$ зима'!ac1528+'[2]$ зима'!ai1528+'[2]$ зима'!ao1528+'[2]$ зима'!k1528</f>
        <v>8</v>
      </c>
      <c r="I1528" s="191" t="n">
        <f aca="false">'[2]$ зима'!ay1528*1.1</f>
        <v>6314</v>
      </c>
    </row>
    <row r="1529" customFormat="false" ht="15" hidden="false" customHeight="false" outlineLevel="0" collapsed="false">
      <c r="A1529" s="188" t="s">
        <v>2259</v>
      </c>
      <c r="B1529" s="149" t="s">
        <v>589</v>
      </c>
      <c r="C1529" s="148" t="s">
        <v>3224</v>
      </c>
      <c r="D1529" s="202"/>
      <c r="E1529" s="211" t="n">
        <v>110</v>
      </c>
      <c r="F1529" s="211" t="s">
        <v>562</v>
      </c>
      <c r="G1529" s="203" t="s">
        <v>626</v>
      </c>
      <c r="H1529" s="105" t="n">
        <f aca="false">'[2]$ зима'!j1529-'[2]$ зима'!au1529-'[2]$ зима'!at1529-'[2]$ зима'!as1529-'[2]$ зима'!ar1529-'[2]$ зима'!aq1529-'[2]$ зима'!ap1529-'[2]$ зима'!an1529-'[2]$ зима'!am1529-'[2]$ зима'!al1529-'[2]$ зима'!ak1529-'[2]$ зима'!aj1529-'[2]$ зима'!ah1529-'[2]$ зима'!ag1529-'[2]$ зима'!af1529-'[2]$ зима'!ae1529-'[2]$ зима'!ad1529-'[2]$ зима'!ab1529-'[2]$ зима'!aa1529-'[2]$ зима'!z1529-'[2]$ зима'!y1529-'[2]$ зима'!x1529-'[2]$ зима'!v1529-'[2]$ зима'!u1529-'[2]$ зима'!t1529-'[2]$ зима'!s1529-'[2]$ зима'!r1529-'[2]$ зима'!p1529-'[2]$ зима'!o1529-'[2]$ зима'!n1529-'[2]$ зима'!m1529-'[2]$ зима'!l1529+'[2]$ зима'!q1529+'[2]$ зима'!w1529+'[2]$ зима'!ac1529+'[2]$ зима'!ai1529+'[2]$ зима'!ao1529+'[2]$ зима'!k1529</f>
        <v>4</v>
      </c>
      <c r="I1529" s="191" t="n">
        <f aca="false">'[2]$ зима'!ay1529*1.1</f>
        <v>5529.48</v>
      </c>
      <c r="J1529" s="171" t="n">
        <v>2018</v>
      </c>
    </row>
    <row r="1530" customFormat="false" ht="15" hidden="true" customHeight="false" outlineLevel="0" collapsed="false">
      <c r="A1530" s="188" t="s">
        <v>2265</v>
      </c>
      <c r="B1530" s="149" t="s">
        <v>593</v>
      </c>
      <c r="C1530" s="148" t="s">
        <v>3724</v>
      </c>
      <c r="D1530" s="202"/>
      <c r="E1530" s="202"/>
      <c r="F1530" s="202"/>
      <c r="G1530" s="203"/>
      <c r="H1530" s="105" t="n">
        <f aca="false">'[2]$ зима'!j1530-'[2]$ зима'!au1530-'[2]$ зима'!at1530-'[2]$ зима'!as1530-'[2]$ зима'!ar1530-'[2]$ зима'!aq1530-'[2]$ зима'!ap1530-'[2]$ зима'!an1530-'[2]$ зима'!am1530-'[2]$ зима'!al1530-'[2]$ зима'!ak1530-'[2]$ зима'!aj1530-'[2]$ зима'!ah1530-'[2]$ зима'!ag1530-'[2]$ зима'!af1530-'[2]$ зима'!ae1530-'[2]$ зима'!ad1530-'[2]$ зима'!ab1530-'[2]$ зима'!aa1530-'[2]$ зима'!z1530-'[2]$ зима'!y1530-'[2]$ зима'!x1530-'[2]$ зима'!v1530-'[2]$ зима'!u1530-'[2]$ зима'!t1530-'[2]$ зима'!s1530-'[2]$ зима'!r1530-'[2]$ зима'!p1530-'[2]$ зима'!o1530-'[2]$ зима'!n1530-'[2]$ зима'!m1530-'[2]$ зима'!l1530+'[2]$ зима'!q1530+'[2]$ зима'!w1530+'[2]$ зима'!ac1530+'[2]$ зима'!ai1530+'[2]$ зима'!ao1530+'[2]$ зима'!k1530</f>
        <v>0</v>
      </c>
      <c r="I1530" s="191" t="n">
        <f aca="false">'[2]$ зима'!ay1530*1.1</f>
        <v>3696</v>
      </c>
    </row>
    <row r="1531" customFormat="false" ht="15" hidden="false" customHeight="false" outlineLevel="0" collapsed="false">
      <c r="A1531" s="188" t="s">
        <v>2270</v>
      </c>
      <c r="B1531" s="149" t="s">
        <v>668</v>
      </c>
      <c r="C1531" s="148" t="s">
        <v>3779</v>
      </c>
      <c r="D1531" s="202"/>
      <c r="E1531" s="211"/>
      <c r="F1531" s="211" t="s">
        <v>3286</v>
      </c>
      <c r="G1531" s="203"/>
      <c r="H1531" s="105" t="n">
        <f aca="false">'[2]$ зима'!j1531-'[2]$ зима'!au1531-'[2]$ зима'!at1531-'[2]$ зима'!as1531-'[2]$ зима'!ar1531-'[2]$ зима'!aq1531-'[2]$ зима'!ap1531-'[2]$ зима'!an1531-'[2]$ зима'!am1531-'[2]$ зима'!al1531-'[2]$ зима'!ak1531-'[2]$ зима'!aj1531-'[2]$ зима'!ah1531-'[2]$ зима'!ag1531-'[2]$ зима'!af1531-'[2]$ зима'!ae1531-'[2]$ зима'!ad1531-'[2]$ зима'!ab1531-'[2]$ зима'!aa1531-'[2]$ зима'!z1531-'[2]$ зима'!y1531-'[2]$ зима'!x1531-'[2]$ зима'!v1531-'[2]$ зима'!u1531-'[2]$ зима'!t1531-'[2]$ зима'!s1531-'[2]$ зима'!r1531-'[2]$ зима'!p1531-'[2]$ зима'!o1531-'[2]$ зима'!n1531-'[2]$ зима'!m1531-'[2]$ зима'!l1531+'[2]$ зима'!q1531+'[2]$ зима'!w1531+'[2]$ зима'!ac1531+'[2]$ зима'!ai1531+'[2]$ зима'!ao1531+'[2]$ зима'!k1531</f>
        <v>2</v>
      </c>
      <c r="I1531" s="191" t="n">
        <f aca="false">'[2]$ зима'!ay1531*1.1</f>
        <v>4928</v>
      </c>
    </row>
    <row r="1532" customFormat="false" ht="15" hidden="true" customHeight="false" outlineLevel="0" collapsed="false">
      <c r="A1532" s="188" t="s">
        <v>2270</v>
      </c>
      <c r="B1532" s="149" t="s">
        <v>3142</v>
      </c>
      <c r="C1532" s="148" t="s">
        <v>3646</v>
      </c>
      <c r="D1532" s="202"/>
      <c r="E1532" s="202"/>
      <c r="F1532" s="202"/>
      <c r="G1532" s="203"/>
      <c r="H1532" s="105" t="n">
        <f aca="false">'[2]$ зима'!j1532-'[2]$ зима'!au1532-'[2]$ зима'!at1532-'[2]$ зима'!as1532-'[2]$ зима'!ar1532-'[2]$ зима'!aq1532-'[2]$ зима'!ap1532-'[2]$ зима'!an1532-'[2]$ зима'!am1532-'[2]$ зима'!al1532-'[2]$ зима'!ak1532-'[2]$ зима'!aj1532-'[2]$ зима'!ah1532-'[2]$ зима'!ag1532-'[2]$ зима'!af1532-'[2]$ зима'!ae1532-'[2]$ зима'!ad1532-'[2]$ зима'!ab1532-'[2]$ зима'!aa1532-'[2]$ зима'!z1532-'[2]$ зима'!y1532-'[2]$ зима'!x1532-'[2]$ зима'!v1532-'[2]$ зима'!u1532-'[2]$ зима'!t1532-'[2]$ зима'!s1532-'[2]$ зима'!r1532-'[2]$ зима'!p1532-'[2]$ зима'!o1532-'[2]$ зима'!n1532-'[2]$ зима'!m1532-'[2]$ зима'!l1532+'[2]$ зима'!q1532+'[2]$ зима'!w1532+'[2]$ зима'!ac1532+'[2]$ зима'!ai1532+'[2]$ зима'!ao1532+'[2]$ зима'!k1532</f>
        <v>0</v>
      </c>
      <c r="I1532" s="191" t="n">
        <f aca="false">'[2]$ зима'!ay1532*1.1</f>
        <v>3850</v>
      </c>
    </row>
    <row r="1533" customFormat="false" ht="15" hidden="false" customHeight="false" outlineLevel="0" collapsed="false">
      <c r="A1533" s="188" t="s">
        <v>2275</v>
      </c>
      <c r="B1533" s="149" t="s">
        <v>801</v>
      </c>
      <c r="C1533" s="148" t="s">
        <v>3637</v>
      </c>
      <c r="D1533" s="202"/>
      <c r="E1533" s="211"/>
      <c r="F1533" s="211"/>
      <c r="G1533" s="203"/>
      <c r="H1533" s="105" t="n">
        <f aca="false">'[2]$ зима'!j1533-'[2]$ зима'!au1533-'[2]$ зима'!at1533-'[2]$ зима'!as1533-'[2]$ зима'!ar1533-'[2]$ зима'!aq1533-'[2]$ зима'!ap1533-'[2]$ зима'!an1533-'[2]$ зима'!am1533-'[2]$ зима'!al1533-'[2]$ зима'!ak1533-'[2]$ зима'!aj1533-'[2]$ зима'!ah1533-'[2]$ зима'!ag1533-'[2]$ зима'!af1533-'[2]$ зима'!ae1533-'[2]$ зима'!ad1533-'[2]$ зима'!ab1533-'[2]$ зима'!aa1533-'[2]$ зима'!z1533-'[2]$ зима'!y1533-'[2]$ зима'!x1533-'[2]$ зима'!v1533-'[2]$ зима'!u1533-'[2]$ зима'!t1533-'[2]$ зима'!s1533-'[2]$ зима'!r1533-'[2]$ зима'!p1533-'[2]$ зима'!o1533-'[2]$ зима'!n1533-'[2]$ зима'!m1533-'[2]$ зима'!l1533+'[2]$ зима'!q1533+'[2]$ зима'!w1533+'[2]$ зима'!ac1533+'[2]$ зима'!ai1533+'[2]$ зима'!ao1533+'[2]$ зима'!k1533</f>
        <v>4</v>
      </c>
      <c r="I1533" s="191" t="n">
        <f aca="false">'[2]$ зима'!ay1533*1.1</f>
        <v>3080</v>
      </c>
      <c r="J1533" s="171" t="n">
        <v>2008</v>
      </c>
    </row>
    <row r="1534" customFormat="false" ht="15" hidden="true" customHeight="false" outlineLevel="0" collapsed="false">
      <c r="A1534" s="188" t="s">
        <v>2278</v>
      </c>
      <c r="B1534" s="149" t="s">
        <v>601</v>
      </c>
      <c r="C1534" s="148" t="s">
        <v>3482</v>
      </c>
      <c r="D1534" s="202"/>
      <c r="E1534" s="202"/>
      <c r="F1534" s="202"/>
      <c r="G1534" s="203"/>
      <c r="H1534" s="105" t="n">
        <f aca="false">'[2]$ зима'!j1534-'[2]$ зима'!au1534-'[2]$ зима'!at1534-'[2]$ зима'!as1534-'[2]$ зима'!ar1534-'[2]$ зима'!aq1534-'[2]$ зима'!ap1534-'[2]$ зима'!an1534-'[2]$ зима'!am1534-'[2]$ зима'!al1534-'[2]$ зима'!ak1534-'[2]$ зима'!aj1534-'[2]$ зима'!ah1534-'[2]$ зима'!ag1534-'[2]$ зима'!af1534-'[2]$ зима'!ae1534-'[2]$ зима'!ad1534-'[2]$ зима'!ab1534-'[2]$ зима'!aa1534-'[2]$ зима'!z1534-'[2]$ зима'!y1534-'[2]$ зима'!x1534-'[2]$ зима'!v1534-'[2]$ зима'!u1534-'[2]$ зима'!t1534-'[2]$ зима'!s1534-'[2]$ зима'!r1534-'[2]$ зима'!p1534-'[2]$ зима'!o1534-'[2]$ зима'!n1534-'[2]$ зима'!m1534-'[2]$ зима'!l1534+'[2]$ зима'!q1534+'[2]$ зима'!w1534+'[2]$ зима'!ac1534+'[2]$ зима'!ai1534+'[2]$ зима'!ao1534+'[2]$ зима'!k1534</f>
        <v>0</v>
      </c>
      <c r="I1534" s="191" t="n">
        <f aca="false">'[2]$ зима'!ay1534*1.1</f>
        <v>7084</v>
      </c>
    </row>
    <row r="1535" customFormat="false" ht="15" hidden="true" customHeight="false" outlineLevel="0" collapsed="false">
      <c r="A1535" s="188" t="s">
        <v>2278</v>
      </c>
      <c r="B1535" s="149" t="s">
        <v>613</v>
      </c>
      <c r="C1535" s="148" t="s">
        <v>3745</v>
      </c>
      <c r="D1535" s="202"/>
      <c r="E1535" s="202"/>
      <c r="F1535" s="202"/>
      <c r="G1535" s="203"/>
      <c r="H1535" s="105" t="n">
        <f aca="false">'[2]$ зима'!j1535-'[2]$ зима'!au1535-'[2]$ зима'!at1535-'[2]$ зима'!as1535-'[2]$ зима'!ar1535-'[2]$ зима'!aq1535-'[2]$ зима'!ap1535-'[2]$ зима'!an1535-'[2]$ зима'!am1535-'[2]$ зима'!al1535-'[2]$ зима'!ak1535-'[2]$ зима'!aj1535-'[2]$ зима'!ah1535-'[2]$ зима'!ag1535-'[2]$ зима'!af1535-'[2]$ зима'!ae1535-'[2]$ зима'!ad1535-'[2]$ зима'!ab1535-'[2]$ зима'!aa1535-'[2]$ зима'!z1535-'[2]$ зима'!y1535-'[2]$ зима'!x1535-'[2]$ зима'!v1535-'[2]$ зима'!u1535-'[2]$ зима'!t1535-'[2]$ зима'!s1535-'[2]$ зима'!r1535-'[2]$ зима'!p1535-'[2]$ зима'!o1535-'[2]$ зима'!n1535-'[2]$ зима'!m1535-'[2]$ зима'!l1535+'[2]$ зима'!q1535+'[2]$ зима'!w1535+'[2]$ зима'!ac1535+'[2]$ зима'!ai1535+'[2]$ зима'!ao1535+'[2]$ зима'!k1535</f>
        <v>0</v>
      </c>
      <c r="I1535" s="191" t="n">
        <f aca="false">'[2]$ зима'!ay1535*1.1</f>
        <v>4004</v>
      </c>
    </row>
    <row r="1536" customFormat="false" ht="15" hidden="false" customHeight="false" outlineLevel="0" collapsed="false">
      <c r="A1536" s="188" t="s">
        <v>2278</v>
      </c>
      <c r="B1536" s="149" t="s">
        <v>589</v>
      </c>
      <c r="C1536" s="148" t="s">
        <v>3856</v>
      </c>
      <c r="D1536" s="148"/>
      <c r="E1536" s="192"/>
      <c r="F1536" s="192"/>
      <c r="G1536" s="193" t="s">
        <v>626</v>
      </c>
      <c r="H1536" s="105" t="n">
        <f aca="false">'[2]$ зима'!j1536-'[2]$ зима'!au1536-'[2]$ зима'!at1536-'[2]$ зима'!as1536-'[2]$ зима'!ar1536-'[2]$ зима'!aq1536-'[2]$ зима'!ap1536-'[2]$ зима'!an1536-'[2]$ зима'!am1536-'[2]$ зима'!al1536-'[2]$ зима'!ak1536-'[2]$ зима'!aj1536-'[2]$ зима'!ah1536-'[2]$ зима'!ag1536-'[2]$ зима'!af1536-'[2]$ зима'!ae1536-'[2]$ зима'!ad1536-'[2]$ зима'!ab1536-'[2]$ зима'!aa1536-'[2]$ зима'!z1536-'[2]$ зима'!y1536-'[2]$ зима'!x1536-'[2]$ зима'!v1536-'[2]$ зима'!u1536-'[2]$ зима'!t1536-'[2]$ зима'!s1536-'[2]$ зима'!r1536-'[2]$ зима'!p1536-'[2]$ зима'!o1536-'[2]$ зима'!n1536-'[2]$ зима'!m1536-'[2]$ зима'!l1536+'[2]$ зима'!q1536+'[2]$ зима'!w1536+'[2]$ зима'!ac1536+'[2]$ зима'!ai1536+'[2]$ зима'!ao1536+'[2]$ зима'!k1536</f>
        <v>8</v>
      </c>
      <c r="I1536" s="191" t="n">
        <f aca="false">'[2]$ зима'!ay1536*1.1</f>
        <v>5935.6</v>
      </c>
      <c r="J1536" s="171" t="n">
        <v>2017</v>
      </c>
    </row>
    <row r="1537" customFormat="false" ht="15" hidden="false" customHeight="false" outlineLevel="0" collapsed="false">
      <c r="A1537" s="188" t="s">
        <v>2278</v>
      </c>
      <c r="B1537" s="149" t="s">
        <v>589</v>
      </c>
      <c r="C1537" s="148" t="s">
        <v>3209</v>
      </c>
      <c r="D1537" s="148"/>
      <c r="E1537" s="192" t="n">
        <v>110</v>
      </c>
      <c r="F1537" s="192" t="s">
        <v>3207</v>
      </c>
      <c r="G1537" s="193" t="s">
        <v>626</v>
      </c>
      <c r="H1537" s="105" t="n">
        <f aca="false">'[2]$ зима'!j1537-'[2]$ зима'!au1537-'[2]$ зима'!at1537-'[2]$ зима'!as1537-'[2]$ зима'!ar1537-'[2]$ зима'!aq1537-'[2]$ зима'!ap1537-'[2]$ зима'!an1537-'[2]$ зима'!am1537-'[2]$ зима'!al1537-'[2]$ зима'!ak1537-'[2]$ зима'!aj1537-'[2]$ зима'!ah1537-'[2]$ зима'!ag1537-'[2]$ зима'!af1537-'[2]$ зима'!ae1537-'[2]$ зима'!ad1537-'[2]$ зима'!ab1537-'[2]$ зима'!aa1537-'[2]$ зима'!z1537-'[2]$ зима'!y1537-'[2]$ зима'!x1537-'[2]$ зима'!v1537-'[2]$ зима'!u1537-'[2]$ зима'!t1537-'[2]$ зима'!s1537-'[2]$ зима'!r1537-'[2]$ зима'!p1537-'[2]$ зима'!o1537-'[2]$ зима'!n1537-'[2]$ зима'!m1537-'[2]$ зима'!l1537+'[2]$ зима'!q1537+'[2]$ зима'!w1537+'[2]$ зима'!ac1537+'[2]$ зима'!ai1537+'[2]$ зима'!ao1537+'[2]$ зима'!k1537</f>
        <v>4</v>
      </c>
      <c r="I1537" s="191" t="n">
        <f aca="false">'[2]$ зима'!ay1537*1.1</f>
        <v>4842.2</v>
      </c>
      <c r="J1537" s="171" t="n">
        <v>2012</v>
      </c>
    </row>
    <row r="1538" customFormat="false" ht="15" hidden="false" customHeight="false" outlineLevel="0" collapsed="false">
      <c r="A1538" s="188" t="s">
        <v>2278</v>
      </c>
      <c r="B1538" s="149" t="s">
        <v>589</v>
      </c>
      <c r="C1538" s="148" t="s">
        <v>3209</v>
      </c>
      <c r="D1538" s="148"/>
      <c r="E1538" s="192" t="n">
        <v>111</v>
      </c>
      <c r="F1538" s="192" t="s">
        <v>3207</v>
      </c>
      <c r="G1538" s="193" t="s">
        <v>626</v>
      </c>
      <c r="H1538" s="105" t="n">
        <f aca="false">'[2]$ зима'!j1538-'[2]$ зима'!au1538-'[2]$ зима'!at1538-'[2]$ зима'!as1538-'[2]$ зима'!ar1538-'[2]$ зима'!aq1538-'[2]$ зима'!ap1538-'[2]$ зима'!an1538-'[2]$ зима'!am1538-'[2]$ зима'!al1538-'[2]$ зима'!ak1538-'[2]$ зима'!aj1538-'[2]$ зима'!ah1538-'[2]$ зима'!ag1538-'[2]$ зима'!af1538-'[2]$ зима'!ae1538-'[2]$ зима'!ad1538-'[2]$ зима'!ab1538-'[2]$ зима'!aa1538-'[2]$ зима'!z1538-'[2]$ зима'!y1538-'[2]$ зима'!x1538-'[2]$ зима'!v1538-'[2]$ зима'!u1538-'[2]$ зима'!t1538-'[2]$ зима'!s1538-'[2]$ зима'!r1538-'[2]$ зима'!p1538-'[2]$ зима'!o1538-'[2]$ зима'!n1538-'[2]$ зима'!m1538-'[2]$ зима'!l1538+'[2]$ зима'!q1538+'[2]$ зима'!w1538+'[2]$ зима'!ac1538+'[2]$ зима'!ai1538+'[2]$ зима'!ao1538+'[2]$ зима'!k1538</f>
        <v>4</v>
      </c>
      <c r="I1538" s="191" t="n">
        <f aca="false">'[2]$ зима'!ay1538*1.1</f>
        <v>5716.92</v>
      </c>
      <c r="J1538" s="171" t="n">
        <v>2018</v>
      </c>
    </row>
    <row r="1539" customFormat="false" ht="15" hidden="true" customHeight="false" outlineLevel="0" collapsed="false">
      <c r="A1539" s="188" t="s">
        <v>2289</v>
      </c>
      <c r="B1539" s="149" t="s">
        <v>3142</v>
      </c>
      <c r="C1539" s="148" t="s">
        <v>1752</v>
      </c>
      <c r="D1539" s="202"/>
      <c r="E1539" s="202"/>
      <c r="F1539" s="202"/>
      <c r="G1539" s="203"/>
      <c r="H1539" s="105" t="n">
        <f aca="false">'[2]$ зима'!j1539-'[2]$ зима'!au1539-'[2]$ зима'!at1539-'[2]$ зима'!as1539-'[2]$ зима'!ar1539-'[2]$ зима'!aq1539-'[2]$ зима'!ap1539-'[2]$ зима'!an1539-'[2]$ зима'!am1539-'[2]$ зима'!al1539-'[2]$ зима'!ak1539-'[2]$ зима'!aj1539-'[2]$ зима'!ah1539-'[2]$ зима'!ag1539-'[2]$ зима'!af1539-'[2]$ зима'!ae1539-'[2]$ зима'!ad1539-'[2]$ зима'!ab1539-'[2]$ зима'!aa1539-'[2]$ зима'!z1539-'[2]$ зима'!y1539-'[2]$ зима'!x1539-'[2]$ зима'!v1539-'[2]$ зима'!u1539-'[2]$ зима'!t1539-'[2]$ зима'!s1539-'[2]$ зима'!r1539-'[2]$ зима'!p1539-'[2]$ зима'!o1539-'[2]$ зима'!n1539-'[2]$ зима'!m1539-'[2]$ зима'!l1539+'[2]$ зима'!q1539+'[2]$ зима'!w1539+'[2]$ зима'!ac1539+'[2]$ зима'!ai1539+'[2]$ зима'!ao1539+'[2]$ зима'!k1539</f>
        <v>0</v>
      </c>
      <c r="I1539" s="191" t="n">
        <f aca="false">'[2]$ зима'!ay1539*1.1</f>
        <v>3850</v>
      </c>
    </row>
    <row r="1540" customFormat="false" ht="15" hidden="false" customHeight="false" outlineLevel="0" collapsed="false">
      <c r="A1540" s="188" t="s">
        <v>2289</v>
      </c>
      <c r="B1540" s="149" t="s">
        <v>589</v>
      </c>
      <c r="C1540" s="148" t="s">
        <v>3259</v>
      </c>
      <c r="D1540" s="148"/>
      <c r="E1540" s="192" t="n">
        <v>111</v>
      </c>
      <c r="F1540" s="192" t="s">
        <v>3207</v>
      </c>
      <c r="G1540" s="193" t="s">
        <v>626</v>
      </c>
      <c r="H1540" s="105" t="n">
        <f aca="false">'[2]$ зима'!j1540-'[2]$ зима'!au1540-'[2]$ зима'!at1540-'[2]$ зима'!as1540-'[2]$ зима'!ar1540-'[2]$ зима'!aq1540-'[2]$ зима'!ap1540-'[2]$ зима'!an1540-'[2]$ зима'!am1540-'[2]$ зима'!al1540-'[2]$ зима'!ak1540-'[2]$ зима'!aj1540-'[2]$ зима'!ah1540-'[2]$ зима'!ag1540-'[2]$ зима'!af1540-'[2]$ зима'!ae1540-'[2]$ зима'!ad1540-'[2]$ зима'!ab1540-'[2]$ зима'!aa1540-'[2]$ зима'!z1540-'[2]$ зима'!y1540-'[2]$ зима'!x1540-'[2]$ зима'!v1540-'[2]$ зима'!u1540-'[2]$ зима'!t1540-'[2]$ зима'!s1540-'[2]$ зима'!r1540-'[2]$ зима'!p1540-'[2]$ зима'!o1540-'[2]$ зима'!n1540-'[2]$ зима'!m1540-'[2]$ зима'!l1540+'[2]$ зима'!q1540+'[2]$ зима'!w1540+'[2]$ зима'!ac1540+'[2]$ зима'!ai1540+'[2]$ зима'!ao1540+'[2]$ зима'!k1540</f>
        <v>4</v>
      </c>
      <c r="I1540" s="191" t="n">
        <f aca="false">'[2]$ зима'!ay1540*1.1</f>
        <v>6154.28</v>
      </c>
      <c r="J1540" s="171" t="n">
        <v>2018</v>
      </c>
    </row>
    <row r="1541" customFormat="false" ht="15" hidden="true" customHeight="false" outlineLevel="0" collapsed="false">
      <c r="A1541" s="188" t="s">
        <v>2289</v>
      </c>
      <c r="B1541" s="149" t="s">
        <v>770</v>
      </c>
      <c r="C1541" s="148" t="s">
        <v>3701</v>
      </c>
      <c r="D1541" s="202"/>
      <c r="E1541" s="202"/>
      <c r="F1541" s="202"/>
      <c r="G1541" s="203"/>
      <c r="H1541" s="105" t="n">
        <f aca="false">'[2]$ зима'!j1541-'[2]$ зима'!au1541-'[2]$ зима'!at1541-'[2]$ зима'!as1541-'[2]$ зима'!ar1541-'[2]$ зима'!aq1541-'[2]$ зима'!ap1541-'[2]$ зима'!an1541-'[2]$ зима'!am1541-'[2]$ зима'!al1541-'[2]$ зима'!ak1541-'[2]$ зима'!aj1541-'[2]$ зима'!ah1541-'[2]$ зима'!ag1541-'[2]$ зима'!af1541-'[2]$ зима'!ae1541-'[2]$ зима'!ad1541-'[2]$ зима'!ab1541-'[2]$ зима'!aa1541-'[2]$ зима'!z1541-'[2]$ зима'!y1541-'[2]$ зима'!x1541-'[2]$ зима'!v1541-'[2]$ зима'!u1541-'[2]$ зима'!t1541-'[2]$ зима'!s1541-'[2]$ зима'!r1541-'[2]$ зима'!p1541-'[2]$ зима'!o1541-'[2]$ зима'!n1541-'[2]$ зима'!m1541-'[2]$ зима'!l1541+'[2]$ зима'!q1541+'[2]$ зима'!w1541+'[2]$ зима'!ac1541+'[2]$ зима'!ai1541+'[2]$ зима'!ao1541+'[2]$ зима'!k1541</f>
        <v>0</v>
      </c>
      <c r="I1541" s="191" t="n">
        <f aca="false">'[2]$ зима'!ay1541*1.1</f>
        <v>8008</v>
      </c>
    </row>
    <row r="1542" customFormat="false" ht="15" hidden="true" customHeight="false" outlineLevel="0" collapsed="false">
      <c r="A1542" s="188" t="s">
        <v>2289</v>
      </c>
      <c r="B1542" s="149" t="s">
        <v>1028</v>
      </c>
      <c r="C1542" s="148" t="s">
        <v>3857</v>
      </c>
      <c r="D1542" s="202"/>
      <c r="E1542" s="202"/>
      <c r="F1542" s="202"/>
      <c r="G1542" s="203"/>
      <c r="H1542" s="105" t="n">
        <f aca="false">'[2]$ зима'!j1542-'[2]$ зима'!au1542-'[2]$ зима'!at1542-'[2]$ зима'!as1542-'[2]$ зима'!ar1542-'[2]$ зима'!aq1542-'[2]$ зима'!ap1542-'[2]$ зима'!an1542-'[2]$ зима'!am1542-'[2]$ зима'!al1542-'[2]$ зима'!ak1542-'[2]$ зима'!aj1542-'[2]$ зима'!ah1542-'[2]$ зима'!ag1542-'[2]$ зима'!af1542-'[2]$ зима'!ae1542-'[2]$ зима'!ad1542-'[2]$ зима'!ab1542-'[2]$ зима'!aa1542-'[2]$ зима'!z1542-'[2]$ зима'!y1542-'[2]$ зима'!x1542-'[2]$ зима'!v1542-'[2]$ зима'!u1542-'[2]$ зима'!t1542-'[2]$ зима'!s1542-'[2]$ зима'!r1542-'[2]$ зима'!p1542-'[2]$ зима'!o1542-'[2]$ зима'!n1542-'[2]$ зима'!m1542-'[2]$ зима'!l1542+'[2]$ зима'!q1542+'[2]$ зима'!w1542+'[2]$ зима'!ac1542+'[2]$ зима'!ai1542+'[2]$ зима'!ao1542+'[2]$ зима'!k1542</f>
        <v>0</v>
      </c>
      <c r="I1542" s="191" t="n">
        <f aca="false">'[2]$ зима'!ay1542*1.1</f>
        <v>5297.6</v>
      </c>
    </row>
    <row r="1543" customFormat="false" ht="15.75" hidden="false" customHeight="false" outlineLevel="0" collapsed="false">
      <c r="A1543" s="183" t="s">
        <v>2298</v>
      </c>
      <c r="B1543" s="207"/>
      <c r="C1543" s="207"/>
      <c r="D1543" s="235"/>
      <c r="E1543" s="236"/>
      <c r="F1543" s="236"/>
      <c r="G1543" s="186"/>
      <c r="H1543" s="105"/>
      <c r="I1543" s="187" t="n">
        <f aca="false">'[2]$ зима'!ay1543*1.1</f>
        <v>0</v>
      </c>
    </row>
    <row r="1544" customFormat="false" ht="15" hidden="false" customHeight="false" outlineLevel="0" collapsed="false">
      <c r="A1544" s="210" t="s">
        <v>2299</v>
      </c>
      <c r="B1544" s="198" t="s">
        <v>601</v>
      </c>
      <c r="C1544" s="148" t="s">
        <v>3482</v>
      </c>
      <c r="D1544" s="202"/>
      <c r="E1544" s="211"/>
      <c r="F1544" s="211"/>
      <c r="G1544" s="203"/>
      <c r="H1544" s="105" t="n">
        <f aca="false">'[2]$ зима'!j1544-'[2]$ зима'!au1544-'[2]$ зима'!at1544-'[2]$ зима'!as1544-'[2]$ зима'!ar1544-'[2]$ зима'!aq1544-'[2]$ зима'!ap1544-'[2]$ зима'!an1544-'[2]$ зима'!am1544-'[2]$ зима'!al1544-'[2]$ зима'!ak1544-'[2]$ зима'!aj1544-'[2]$ зима'!ah1544-'[2]$ зима'!ag1544-'[2]$ зима'!af1544-'[2]$ зима'!ae1544-'[2]$ зима'!ad1544-'[2]$ зима'!ab1544-'[2]$ зима'!aa1544-'[2]$ зима'!z1544-'[2]$ зима'!y1544-'[2]$ зима'!x1544-'[2]$ зима'!v1544-'[2]$ зима'!u1544-'[2]$ зима'!t1544-'[2]$ зима'!s1544-'[2]$ зима'!r1544-'[2]$ зима'!p1544-'[2]$ зима'!o1544-'[2]$ зима'!n1544-'[2]$ зима'!m1544-'[2]$ зима'!l1544+'[2]$ зима'!q1544+'[2]$ зима'!w1544+'[2]$ зима'!ac1544+'[2]$ зима'!ai1544+'[2]$ зима'!ao1544+'[2]$ зима'!k1544</f>
        <v>4</v>
      </c>
      <c r="I1544" s="191" t="n">
        <f aca="false">'[2]$ зима'!ay1544*1.1</f>
        <v>6776</v>
      </c>
      <c r="J1544" s="171" t="n">
        <v>2017</v>
      </c>
    </row>
    <row r="1545" customFormat="false" ht="15" hidden="false" customHeight="false" outlineLevel="0" collapsed="false">
      <c r="A1545" s="210" t="s">
        <v>2299</v>
      </c>
      <c r="B1545" s="198" t="s">
        <v>564</v>
      </c>
      <c r="C1545" s="148" t="s">
        <v>3858</v>
      </c>
      <c r="D1545" s="202"/>
      <c r="E1545" s="211" t="n">
        <v>105</v>
      </c>
      <c r="F1545" s="211" t="s">
        <v>634</v>
      </c>
      <c r="G1545" s="203"/>
      <c r="H1545" s="105" t="n">
        <f aca="false">'[2]$ зима'!j1545-'[2]$ зима'!au1545-'[2]$ зима'!at1545-'[2]$ зима'!as1545-'[2]$ зима'!ar1545-'[2]$ зима'!aq1545-'[2]$ зима'!ap1545-'[2]$ зима'!an1545-'[2]$ зима'!am1545-'[2]$ зима'!al1545-'[2]$ зима'!ak1545-'[2]$ зима'!aj1545-'[2]$ зима'!ah1545-'[2]$ зима'!ag1545-'[2]$ зима'!af1545-'[2]$ зима'!ae1545-'[2]$ зима'!ad1545-'[2]$ зима'!ab1545-'[2]$ зима'!aa1545-'[2]$ зима'!z1545-'[2]$ зима'!y1545-'[2]$ зима'!x1545-'[2]$ зима'!v1545-'[2]$ зима'!u1545-'[2]$ зима'!t1545-'[2]$ зима'!s1545-'[2]$ зима'!r1545-'[2]$ зима'!p1545-'[2]$ зима'!o1545-'[2]$ зима'!n1545-'[2]$ зима'!m1545-'[2]$ зима'!l1545+'[2]$ зима'!q1545+'[2]$ зима'!w1545+'[2]$ зима'!ac1545+'[2]$ зима'!ai1545+'[2]$ зима'!ao1545+'[2]$ зима'!k1545</f>
        <v>4</v>
      </c>
      <c r="I1545" s="191" t="n">
        <f aca="false">'[2]$ зима'!ay1545*1.1</f>
        <v>2926</v>
      </c>
    </row>
    <row r="1546" customFormat="false" ht="15" hidden="true" customHeight="false" outlineLevel="0" collapsed="false">
      <c r="A1546" s="210" t="s">
        <v>3859</v>
      </c>
      <c r="B1546" s="198" t="s">
        <v>593</v>
      </c>
      <c r="C1546" s="148" t="s">
        <v>3860</v>
      </c>
      <c r="D1546" s="202"/>
      <c r="E1546" s="202"/>
      <c r="F1546" s="202"/>
      <c r="G1546" s="203"/>
      <c r="H1546" s="105" t="n">
        <f aca="false">'[2]$ зима'!j1546-'[2]$ зима'!au1546-'[2]$ зима'!at1546-'[2]$ зима'!as1546-'[2]$ зима'!ar1546-'[2]$ зима'!aq1546-'[2]$ зима'!ap1546-'[2]$ зима'!an1546-'[2]$ зима'!am1546-'[2]$ зима'!al1546-'[2]$ зима'!ak1546-'[2]$ зима'!aj1546-'[2]$ зима'!ah1546-'[2]$ зима'!ag1546-'[2]$ зима'!af1546-'[2]$ зима'!ae1546-'[2]$ зима'!ad1546-'[2]$ зима'!ab1546-'[2]$ зима'!aa1546-'[2]$ зима'!z1546-'[2]$ зима'!y1546-'[2]$ зима'!x1546-'[2]$ зима'!v1546-'[2]$ зима'!u1546-'[2]$ зима'!t1546-'[2]$ зима'!s1546-'[2]$ зима'!r1546-'[2]$ зима'!p1546-'[2]$ зима'!o1546-'[2]$ зима'!n1546-'[2]$ зима'!m1546-'[2]$ зима'!l1546+'[2]$ зима'!q1546+'[2]$ зима'!w1546+'[2]$ зима'!ac1546+'[2]$ зима'!ai1546+'[2]$ зима'!ao1546+'[2]$ зима'!k1546</f>
        <v>0</v>
      </c>
      <c r="I1546" s="191" t="n">
        <f aca="false">'[2]$ зима'!ay1546*1.1</f>
        <v>7700</v>
      </c>
    </row>
    <row r="1547" customFormat="false" ht="15" hidden="false" customHeight="false" outlineLevel="0" collapsed="false">
      <c r="A1547" s="210" t="s">
        <v>2303</v>
      </c>
      <c r="B1547" s="198" t="s">
        <v>601</v>
      </c>
      <c r="C1547" s="148" t="s">
        <v>3481</v>
      </c>
      <c r="D1547" s="202"/>
      <c r="E1547" s="211"/>
      <c r="F1547" s="211"/>
      <c r="G1547" s="203"/>
      <c r="H1547" s="105" t="n">
        <f aca="false">'[2]$ зима'!j1547-'[2]$ зима'!au1547-'[2]$ зима'!at1547-'[2]$ зима'!as1547-'[2]$ зима'!ar1547-'[2]$ зима'!aq1547-'[2]$ зима'!ap1547-'[2]$ зима'!an1547-'[2]$ зима'!am1547-'[2]$ зима'!al1547-'[2]$ зима'!ak1547-'[2]$ зима'!aj1547-'[2]$ зима'!ah1547-'[2]$ зима'!ag1547-'[2]$ зима'!af1547-'[2]$ зима'!ae1547-'[2]$ зима'!ad1547-'[2]$ зима'!ab1547-'[2]$ зима'!aa1547-'[2]$ зима'!z1547-'[2]$ зима'!y1547-'[2]$ зима'!x1547-'[2]$ зима'!v1547-'[2]$ зима'!u1547-'[2]$ зима'!t1547-'[2]$ зима'!s1547-'[2]$ зима'!r1547-'[2]$ зима'!p1547-'[2]$ зима'!o1547-'[2]$ зима'!n1547-'[2]$ зима'!m1547-'[2]$ зима'!l1547+'[2]$ зима'!q1547+'[2]$ зима'!w1547+'[2]$ зима'!ac1547+'[2]$ зима'!ai1547+'[2]$ зима'!ao1547+'[2]$ зима'!k1547</f>
        <v>4</v>
      </c>
      <c r="I1547" s="191" t="n">
        <f aca="false">'[2]$ зима'!ay1547*1.1</f>
        <v>3388</v>
      </c>
      <c r="J1547" s="171" t="n">
        <v>2009</v>
      </c>
    </row>
    <row r="1548" customFormat="false" ht="15" hidden="true" customHeight="false" outlineLevel="0" collapsed="false">
      <c r="A1548" s="210" t="s">
        <v>2303</v>
      </c>
      <c r="B1548" s="198" t="s">
        <v>601</v>
      </c>
      <c r="C1548" s="148" t="s">
        <v>3482</v>
      </c>
      <c r="D1548" s="202"/>
      <c r="E1548" s="202"/>
      <c r="F1548" s="202"/>
      <c r="G1548" s="203"/>
      <c r="H1548" s="105" t="n">
        <f aca="false">'[2]$ зима'!j1548-'[2]$ зима'!au1548-'[2]$ зима'!at1548-'[2]$ зима'!as1548-'[2]$ зима'!ar1548-'[2]$ зима'!aq1548-'[2]$ зима'!ap1548-'[2]$ зима'!an1548-'[2]$ зима'!am1548-'[2]$ зима'!al1548-'[2]$ зима'!ak1548-'[2]$ зима'!aj1548-'[2]$ зима'!ah1548-'[2]$ зима'!ag1548-'[2]$ зима'!af1548-'[2]$ зима'!ae1548-'[2]$ зима'!ad1548-'[2]$ зима'!ab1548-'[2]$ зима'!aa1548-'[2]$ зима'!z1548-'[2]$ зима'!y1548-'[2]$ зима'!x1548-'[2]$ зима'!v1548-'[2]$ зима'!u1548-'[2]$ зима'!t1548-'[2]$ зима'!s1548-'[2]$ зима'!r1548-'[2]$ зима'!p1548-'[2]$ зима'!o1548-'[2]$ зима'!n1548-'[2]$ зима'!m1548-'[2]$ зима'!l1548+'[2]$ зима'!q1548+'[2]$ зима'!w1548+'[2]$ зима'!ac1548+'[2]$ зима'!ai1548+'[2]$ зима'!ao1548+'[2]$ зима'!k1548</f>
        <v>0</v>
      </c>
      <c r="I1548" s="191" t="n">
        <f aca="false">'[2]$ зима'!ay1548*1.1</f>
        <v>6283.2</v>
      </c>
    </row>
    <row r="1549" customFormat="false" ht="15" hidden="true" customHeight="false" outlineLevel="0" collapsed="false">
      <c r="A1549" s="210" t="s">
        <v>2303</v>
      </c>
      <c r="B1549" s="198" t="s">
        <v>557</v>
      </c>
      <c r="C1549" s="148" t="s">
        <v>3861</v>
      </c>
      <c r="D1549" s="202"/>
      <c r="E1549" s="202" t="n">
        <v>102</v>
      </c>
      <c r="F1549" s="202" t="s">
        <v>3207</v>
      </c>
      <c r="G1549" s="203"/>
      <c r="H1549" s="105" t="n">
        <f aca="false">'[2]$ зима'!j1549-'[2]$ зима'!au1549-'[2]$ зима'!at1549-'[2]$ зима'!as1549-'[2]$ зима'!ar1549-'[2]$ зима'!aq1549-'[2]$ зима'!ap1549-'[2]$ зима'!an1549-'[2]$ зима'!am1549-'[2]$ зима'!al1549-'[2]$ зима'!ak1549-'[2]$ зима'!aj1549-'[2]$ зима'!ah1549-'[2]$ зима'!ag1549-'[2]$ зима'!af1549-'[2]$ зима'!ae1549-'[2]$ зима'!ad1549-'[2]$ зима'!ab1549-'[2]$ зима'!aa1549-'[2]$ зима'!z1549-'[2]$ зима'!y1549-'[2]$ зима'!x1549-'[2]$ зима'!v1549-'[2]$ зима'!u1549-'[2]$ зима'!t1549-'[2]$ зима'!s1549-'[2]$ зима'!r1549-'[2]$ зима'!p1549-'[2]$ зима'!o1549-'[2]$ зима'!n1549-'[2]$ зима'!m1549-'[2]$ зима'!l1549+'[2]$ зима'!q1549+'[2]$ зима'!w1549+'[2]$ зима'!ac1549+'[2]$ зима'!ai1549+'[2]$ зима'!ao1549+'[2]$ зима'!k1549</f>
        <v>0</v>
      </c>
      <c r="I1549" s="191" t="n">
        <f aca="false">'[2]$ зима'!ay1549*1.1</f>
        <v>3388</v>
      </c>
    </row>
    <row r="1550" customFormat="false" ht="15" hidden="true" customHeight="false" outlineLevel="0" collapsed="false">
      <c r="A1550" s="210" t="s">
        <v>2303</v>
      </c>
      <c r="B1550" s="198" t="s">
        <v>677</v>
      </c>
      <c r="C1550" s="148" t="s">
        <v>3783</v>
      </c>
      <c r="D1550" s="148" t="s">
        <v>3127</v>
      </c>
      <c r="E1550" s="202"/>
      <c r="F1550" s="202"/>
      <c r="G1550" s="203"/>
      <c r="H1550" s="105" t="n">
        <f aca="false">'[2]$ зима'!j1550-'[2]$ зима'!au1550-'[2]$ зима'!at1550-'[2]$ зима'!as1550-'[2]$ зима'!ar1550-'[2]$ зима'!aq1550-'[2]$ зима'!ap1550-'[2]$ зима'!an1550-'[2]$ зима'!am1550-'[2]$ зима'!al1550-'[2]$ зима'!ak1550-'[2]$ зима'!aj1550-'[2]$ зима'!ah1550-'[2]$ зима'!ag1550-'[2]$ зима'!af1550-'[2]$ зима'!ae1550-'[2]$ зима'!ad1550-'[2]$ зима'!ab1550-'[2]$ зима'!aa1550-'[2]$ зима'!z1550-'[2]$ зима'!y1550-'[2]$ зима'!x1550-'[2]$ зима'!v1550-'[2]$ зима'!u1550-'[2]$ зима'!t1550-'[2]$ зима'!s1550-'[2]$ зима'!r1550-'[2]$ зима'!p1550-'[2]$ зима'!o1550-'[2]$ зима'!n1550-'[2]$ зима'!m1550-'[2]$ зима'!l1550+'[2]$ зима'!q1550+'[2]$ зима'!w1550+'[2]$ зима'!ac1550+'[2]$ зима'!ai1550+'[2]$ зима'!ao1550+'[2]$ зима'!k1550</f>
        <v>0</v>
      </c>
      <c r="I1550" s="191" t="n">
        <f aca="false">'[2]$ зима'!ay1550*1.1</f>
        <v>2772</v>
      </c>
    </row>
    <row r="1551" customFormat="false" ht="15" hidden="true" customHeight="false" outlineLevel="0" collapsed="false">
      <c r="A1551" s="210" t="s">
        <v>2307</v>
      </c>
      <c r="B1551" s="198" t="s">
        <v>601</v>
      </c>
      <c r="C1551" s="148" t="s">
        <v>3753</v>
      </c>
      <c r="D1551" s="202"/>
      <c r="E1551" s="202" t="n">
        <v>109</v>
      </c>
      <c r="F1551" s="202" t="s">
        <v>832</v>
      </c>
      <c r="G1551" s="203"/>
      <c r="H1551" s="105" t="n">
        <f aca="false">'[2]$ зима'!j1551-'[2]$ зима'!au1551-'[2]$ зима'!at1551-'[2]$ зима'!as1551-'[2]$ зима'!ar1551-'[2]$ зима'!aq1551-'[2]$ зима'!ap1551-'[2]$ зима'!an1551-'[2]$ зима'!am1551-'[2]$ зима'!al1551-'[2]$ зима'!ak1551-'[2]$ зима'!aj1551-'[2]$ зима'!ah1551-'[2]$ зима'!ag1551-'[2]$ зима'!af1551-'[2]$ зима'!ae1551-'[2]$ зима'!ad1551-'[2]$ зима'!ab1551-'[2]$ зима'!aa1551-'[2]$ зима'!z1551-'[2]$ зима'!y1551-'[2]$ зима'!x1551-'[2]$ зима'!v1551-'[2]$ зима'!u1551-'[2]$ зима'!t1551-'[2]$ зима'!s1551-'[2]$ зима'!r1551-'[2]$ зима'!p1551-'[2]$ зима'!o1551-'[2]$ зима'!n1551-'[2]$ зима'!m1551-'[2]$ зима'!l1551+'[2]$ зима'!q1551+'[2]$ зима'!w1551+'[2]$ зима'!ac1551+'[2]$ зима'!ai1551+'[2]$ зима'!ao1551+'[2]$ зима'!k1551</f>
        <v>0</v>
      </c>
      <c r="I1551" s="191" t="n">
        <f aca="false">'[2]$ зима'!ay1551*1.1</f>
        <v>6622</v>
      </c>
      <c r="J1551" s="171" t="n">
        <v>2017</v>
      </c>
    </row>
    <row r="1552" customFormat="false" ht="15" hidden="false" customHeight="false" outlineLevel="0" collapsed="false">
      <c r="A1552" s="210" t="s">
        <v>2307</v>
      </c>
      <c r="B1552" s="198" t="s">
        <v>606</v>
      </c>
      <c r="C1552" s="148" t="s">
        <v>3459</v>
      </c>
      <c r="D1552" s="202"/>
      <c r="E1552" s="211" t="n">
        <v>109</v>
      </c>
      <c r="F1552" s="211" t="s">
        <v>970</v>
      </c>
      <c r="G1552" s="203"/>
      <c r="H1552" s="105" t="n">
        <f aca="false">'[2]$ зима'!j1552-'[2]$ зима'!au1552-'[2]$ зима'!at1552-'[2]$ зима'!as1552-'[2]$ зима'!ar1552-'[2]$ зима'!aq1552-'[2]$ зима'!ap1552-'[2]$ зима'!an1552-'[2]$ зима'!am1552-'[2]$ зима'!al1552-'[2]$ зима'!ak1552-'[2]$ зима'!aj1552-'[2]$ зима'!ah1552-'[2]$ зима'!ag1552-'[2]$ зима'!af1552-'[2]$ зима'!ae1552-'[2]$ зима'!ad1552-'[2]$ зима'!ab1552-'[2]$ зима'!aa1552-'[2]$ зима'!z1552-'[2]$ зима'!y1552-'[2]$ зима'!x1552-'[2]$ зима'!v1552-'[2]$ зима'!u1552-'[2]$ зима'!t1552-'[2]$ зима'!s1552-'[2]$ зима'!r1552-'[2]$ зима'!p1552-'[2]$ зима'!o1552-'[2]$ зима'!n1552-'[2]$ зима'!m1552-'[2]$ зима'!l1552+'[2]$ зима'!q1552+'[2]$ зима'!w1552+'[2]$ зима'!ac1552+'[2]$ зима'!ai1552+'[2]$ зима'!ao1552+'[2]$ зима'!k1552</f>
        <v>4</v>
      </c>
      <c r="I1552" s="191" t="n">
        <f aca="false">'[2]$ зима'!ay1552*1.1</f>
        <v>4158</v>
      </c>
      <c r="J1552" s="171" t="n">
        <v>2017</v>
      </c>
    </row>
    <row r="1553" customFormat="false" ht="15" hidden="false" customHeight="false" outlineLevel="0" collapsed="false">
      <c r="A1553" s="210" t="s">
        <v>2307</v>
      </c>
      <c r="B1553" s="198" t="s">
        <v>589</v>
      </c>
      <c r="C1553" s="148" t="s">
        <v>3224</v>
      </c>
      <c r="D1553" s="148"/>
      <c r="E1553" s="192"/>
      <c r="F1553" s="192"/>
      <c r="G1553" s="193" t="s">
        <v>626</v>
      </c>
      <c r="H1553" s="105" t="n">
        <f aca="false">'[2]$ зима'!j1553-'[2]$ зима'!au1553-'[2]$ зима'!at1553-'[2]$ зима'!as1553-'[2]$ зима'!ar1553-'[2]$ зима'!aq1553-'[2]$ зима'!ap1553-'[2]$ зима'!an1553-'[2]$ зима'!am1553-'[2]$ зима'!al1553-'[2]$ зима'!ak1553-'[2]$ зима'!aj1553-'[2]$ зима'!ah1553-'[2]$ зима'!ag1553-'[2]$ зима'!af1553-'[2]$ зима'!ae1553-'[2]$ зима'!ad1553-'[2]$ зима'!ab1553-'[2]$ зима'!aa1553-'[2]$ зима'!z1553-'[2]$ зима'!y1553-'[2]$ зима'!x1553-'[2]$ зима'!v1553-'[2]$ зима'!u1553-'[2]$ зима'!t1553-'[2]$ зима'!s1553-'[2]$ зима'!r1553-'[2]$ зима'!p1553-'[2]$ зима'!o1553-'[2]$ зима'!n1553-'[2]$ зима'!m1553-'[2]$ зима'!l1553+'[2]$ зима'!q1553+'[2]$ зима'!w1553+'[2]$ зима'!ac1553+'[2]$ зима'!ai1553+'[2]$ зима'!ao1553+'[2]$ зима'!k1553</f>
        <v>4</v>
      </c>
      <c r="I1553" s="191" t="n">
        <f aca="false">'[2]$ зима'!ay1553*1.1</f>
        <v>5935.6</v>
      </c>
      <c r="J1553" s="171" t="n">
        <v>2017</v>
      </c>
    </row>
    <row r="1554" customFormat="false" ht="15" hidden="true" customHeight="false" outlineLevel="0" collapsed="false">
      <c r="A1554" s="210" t="s">
        <v>2307</v>
      </c>
      <c r="B1554" s="198" t="s">
        <v>770</v>
      </c>
      <c r="C1554" s="148" t="s">
        <v>3701</v>
      </c>
      <c r="D1554" s="202"/>
      <c r="E1554" s="202"/>
      <c r="F1554" s="202"/>
      <c r="G1554" s="203"/>
      <c r="H1554" s="105" t="n">
        <f aca="false">'[2]$ зима'!j1554-'[2]$ зима'!au1554-'[2]$ зима'!at1554-'[2]$ зима'!as1554-'[2]$ зима'!ar1554-'[2]$ зима'!aq1554-'[2]$ зима'!ap1554-'[2]$ зима'!an1554-'[2]$ зима'!am1554-'[2]$ зима'!al1554-'[2]$ зима'!ak1554-'[2]$ зима'!aj1554-'[2]$ зима'!ah1554-'[2]$ зима'!ag1554-'[2]$ зима'!af1554-'[2]$ зима'!ae1554-'[2]$ зима'!ad1554-'[2]$ зима'!ab1554-'[2]$ зима'!aa1554-'[2]$ зима'!z1554-'[2]$ зима'!y1554-'[2]$ зима'!x1554-'[2]$ зима'!v1554-'[2]$ зима'!u1554-'[2]$ зима'!t1554-'[2]$ зима'!s1554-'[2]$ зима'!r1554-'[2]$ зима'!p1554-'[2]$ зима'!o1554-'[2]$ зима'!n1554-'[2]$ зима'!m1554-'[2]$ зима'!l1554+'[2]$ зима'!q1554+'[2]$ зима'!w1554+'[2]$ зима'!ac1554+'[2]$ зима'!ai1554+'[2]$ зима'!ao1554+'[2]$ зима'!k1554</f>
        <v>0</v>
      </c>
      <c r="I1554" s="191" t="n">
        <f aca="false">'[2]$ зима'!ay1554*1.1</f>
        <v>8470</v>
      </c>
    </row>
    <row r="1555" customFormat="false" ht="15" hidden="true" customHeight="false" outlineLevel="0" collapsed="false">
      <c r="A1555" s="210" t="s">
        <v>2307</v>
      </c>
      <c r="B1555" s="198" t="s">
        <v>1028</v>
      </c>
      <c r="C1555" s="148" t="s">
        <v>3862</v>
      </c>
      <c r="D1555" s="202"/>
      <c r="E1555" s="202"/>
      <c r="F1555" s="202"/>
      <c r="G1555" s="203"/>
      <c r="H1555" s="105" t="n">
        <f aca="false">'[2]$ зима'!j1555-'[2]$ зима'!au1555-'[2]$ зима'!at1555-'[2]$ зима'!as1555-'[2]$ зима'!ar1555-'[2]$ зима'!aq1555-'[2]$ зима'!ap1555-'[2]$ зима'!an1555-'[2]$ зима'!am1555-'[2]$ зима'!al1555-'[2]$ зима'!ak1555-'[2]$ зима'!aj1555-'[2]$ зима'!ah1555-'[2]$ зима'!ag1555-'[2]$ зима'!af1555-'[2]$ зима'!ae1555-'[2]$ зима'!ad1555-'[2]$ зима'!ab1555-'[2]$ зима'!aa1555-'[2]$ зима'!z1555-'[2]$ зима'!y1555-'[2]$ зима'!x1555-'[2]$ зима'!v1555-'[2]$ зима'!u1555-'[2]$ зима'!t1555-'[2]$ зима'!s1555-'[2]$ зима'!r1555-'[2]$ зима'!p1555-'[2]$ зима'!o1555-'[2]$ зима'!n1555-'[2]$ зима'!m1555-'[2]$ зима'!l1555+'[2]$ зима'!q1555+'[2]$ зима'!w1555+'[2]$ зима'!ac1555+'[2]$ зима'!ai1555+'[2]$ зима'!ao1555+'[2]$ зима'!k1555</f>
        <v>0</v>
      </c>
      <c r="I1555" s="191" t="n">
        <f aca="false">'[2]$ зима'!ay1555*1.1</f>
        <v>5759.6</v>
      </c>
    </row>
    <row r="1556" customFormat="false" ht="15" hidden="true" customHeight="false" outlineLevel="0" collapsed="false">
      <c r="A1556" s="210" t="s">
        <v>2313</v>
      </c>
      <c r="B1556" s="198" t="s">
        <v>601</v>
      </c>
      <c r="C1556" s="148" t="s">
        <v>3482</v>
      </c>
      <c r="D1556" s="202"/>
      <c r="E1556" s="202"/>
      <c r="F1556" s="202"/>
      <c r="G1556" s="203"/>
      <c r="H1556" s="105" t="n">
        <f aca="false">'[2]$ зима'!j1556-'[2]$ зима'!au1556-'[2]$ зима'!at1556-'[2]$ зима'!as1556-'[2]$ зима'!ar1556-'[2]$ зима'!aq1556-'[2]$ зима'!ap1556-'[2]$ зима'!an1556-'[2]$ зима'!am1556-'[2]$ зима'!al1556-'[2]$ зима'!ak1556-'[2]$ зима'!aj1556-'[2]$ зима'!ah1556-'[2]$ зима'!ag1556-'[2]$ зима'!af1556-'[2]$ зима'!ae1556-'[2]$ зима'!ad1556-'[2]$ зима'!ab1556-'[2]$ зима'!aa1556-'[2]$ зима'!z1556-'[2]$ зима'!y1556-'[2]$ зима'!x1556-'[2]$ зима'!v1556-'[2]$ зима'!u1556-'[2]$ зима'!t1556-'[2]$ зима'!s1556-'[2]$ зима'!r1556-'[2]$ зима'!p1556-'[2]$ зима'!o1556-'[2]$ зима'!n1556-'[2]$ зима'!m1556-'[2]$ зима'!l1556+'[2]$ зима'!q1556+'[2]$ зима'!w1556+'[2]$ зима'!ac1556+'[2]$ зима'!ai1556+'[2]$ зима'!ao1556+'[2]$ зима'!k1556</f>
        <v>0</v>
      </c>
      <c r="I1556" s="191" t="n">
        <f aca="false">'[2]$ зима'!ay1556*1.1</f>
        <v>7238</v>
      </c>
    </row>
    <row r="1557" customFormat="false" ht="15" hidden="false" customHeight="false" outlineLevel="0" collapsed="false">
      <c r="A1557" s="210" t="s">
        <v>2313</v>
      </c>
      <c r="B1557" s="198" t="s">
        <v>606</v>
      </c>
      <c r="C1557" s="148" t="s">
        <v>3459</v>
      </c>
      <c r="D1557" s="202"/>
      <c r="E1557" s="211" t="n">
        <v>109</v>
      </c>
      <c r="F1557" s="211" t="s">
        <v>970</v>
      </c>
      <c r="G1557" s="203"/>
      <c r="H1557" s="105" t="n">
        <f aca="false">'[2]$ зима'!j1557-'[2]$ зима'!au1557-'[2]$ зима'!at1557-'[2]$ зима'!as1557-'[2]$ зима'!ar1557-'[2]$ зима'!aq1557-'[2]$ зима'!ap1557-'[2]$ зима'!an1557-'[2]$ зима'!am1557-'[2]$ зима'!al1557-'[2]$ зима'!ak1557-'[2]$ зима'!aj1557-'[2]$ зима'!ah1557-'[2]$ зима'!ag1557-'[2]$ зима'!af1557-'[2]$ зима'!ae1557-'[2]$ зима'!ad1557-'[2]$ зима'!ab1557-'[2]$ зима'!aa1557-'[2]$ зима'!z1557-'[2]$ зима'!y1557-'[2]$ зима'!x1557-'[2]$ зима'!v1557-'[2]$ зима'!u1557-'[2]$ зима'!t1557-'[2]$ зима'!s1557-'[2]$ зима'!r1557-'[2]$ зима'!p1557-'[2]$ зима'!o1557-'[2]$ зима'!n1557-'[2]$ зима'!m1557-'[2]$ зима'!l1557+'[2]$ зима'!q1557+'[2]$ зима'!w1557+'[2]$ зима'!ac1557+'[2]$ зима'!ai1557+'[2]$ зима'!ao1557+'[2]$ зима'!k1557</f>
        <v>8</v>
      </c>
      <c r="I1557" s="191" t="n">
        <f aca="false">'[2]$ зима'!ay1557*1.1</f>
        <v>4466</v>
      </c>
    </row>
    <row r="1558" customFormat="false" ht="15" hidden="false" customHeight="false" outlineLevel="0" collapsed="false">
      <c r="A1558" s="210" t="s">
        <v>2313</v>
      </c>
      <c r="B1558" s="198" t="s">
        <v>593</v>
      </c>
      <c r="C1558" s="148" t="s">
        <v>3666</v>
      </c>
      <c r="D1558" s="202"/>
      <c r="E1558" s="211"/>
      <c r="F1558" s="211"/>
      <c r="G1558" s="203" t="s">
        <v>849</v>
      </c>
      <c r="H1558" s="105" t="n">
        <f aca="false">'[2]$ зима'!j1558-'[2]$ зима'!au1558-'[2]$ зима'!at1558-'[2]$ зима'!as1558-'[2]$ зима'!ar1558-'[2]$ зима'!aq1558-'[2]$ зима'!ap1558-'[2]$ зима'!an1558-'[2]$ зима'!am1558-'[2]$ зима'!al1558-'[2]$ зима'!ak1558-'[2]$ зима'!aj1558-'[2]$ зима'!ah1558-'[2]$ зима'!ag1558-'[2]$ зима'!af1558-'[2]$ зима'!ae1558-'[2]$ зима'!ad1558-'[2]$ зима'!ab1558-'[2]$ зима'!aa1558-'[2]$ зима'!z1558-'[2]$ зима'!y1558-'[2]$ зима'!x1558-'[2]$ зима'!v1558-'[2]$ зима'!u1558-'[2]$ зима'!t1558-'[2]$ зима'!s1558-'[2]$ зима'!r1558-'[2]$ зима'!p1558-'[2]$ зима'!o1558-'[2]$ зима'!n1558-'[2]$ зима'!m1558-'[2]$ зима'!l1558+'[2]$ зима'!q1558+'[2]$ зима'!w1558+'[2]$ зима'!ac1558+'[2]$ зима'!ai1558+'[2]$ зима'!ao1558+'[2]$ зима'!k1558</f>
        <v>4</v>
      </c>
      <c r="I1558" s="191" t="n">
        <f aca="false">'[2]$ зима'!ay1558*1.1</f>
        <v>8316</v>
      </c>
      <c r="J1558" s="171" t="n">
        <v>2016</v>
      </c>
    </row>
    <row r="1559" customFormat="false" ht="15" hidden="false" customHeight="false" outlineLevel="0" collapsed="false">
      <c r="A1559" s="210" t="s">
        <v>2313</v>
      </c>
      <c r="B1559" s="198" t="s">
        <v>589</v>
      </c>
      <c r="C1559" s="148" t="s">
        <v>3209</v>
      </c>
      <c r="D1559" s="148"/>
      <c r="E1559" s="192" t="n">
        <v>111</v>
      </c>
      <c r="F1559" s="192" t="s">
        <v>3207</v>
      </c>
      <c r="G1559" s="193" t="s">
        <v>626</v>
      </c>
      <c r="H1559" s="105" t="n">
        <f aca="false">'[2]$ зима'!j1559-'[2]$ зима'!au1559-'[2]$ зима'!at1559-'[2]$ зима'!as1559-'[2]$ зима'!ar1559-'[2]$ зима'!aq1559-'[2]$ зима'!ap1559-'[2]$ зима'!an1559-'[2]$ зима'!am1559-'[2]$ зима'!al1559-'[2]$ зима'!ak1559-'[2]$ зима'!aj1559-'[2]$ зима'!ah1559-'[2]$ зима'!ag1559-'[2]$ зима'!af1559-'[2]$ зима'!ae1559-'[2]$ зима'!ad1559-'[2]$ зима'!ab1559-'[2]$ зима'!aa1559-'[2]$ зима'!z1559-'[2]$ зима'!y1559-'[2]$ зима'!x1559-'[2]$ зима'!v1559-'[2]$ зима'!u1559-'[2]$ зима'!t1559-'[2]$ зима'!s1559-'[2]$ зима'!r1559-'[2]$ зима'!p1559-'[2]$ зима'!o1559-'[2]$ зима'!n1559-'[2]$ зима'!m1559-'[2]$ зима'!l1559+'[2]$ зима'!q1559+'[2]$ зима'!w1559+'[2]$ зима'!ac1559+'[2]$ зима'!ai1559+'[2]$ зима'!ao1559+'[2]$ зима'!k1559</f>
        <v>8</v>
      </c>
      <c r="I1559" s="191" t="n">
        <f aca="false">'[2]$ зима'!ay1559*1.1</f>
        <v>5529.48</v>
      </c>
      <c r="J1559" s="171" t="n">
        <v>2018</v>
      </c>
    </row>
    <row r="1560" customFormat="false" ht="15" hidden="false" customHeight="false" outlineLevel="0" collapsed="false">
      <c r="A1560" s="210" t="s">
        <v>2313</v>
      </c>
      <c r="B1560" s="198" t="s">
        <v>564</v>
      </c>
      <c r="C1560" s="148" t="s">
        <v>3540</v>
      </c>
      <c r="D1560" s="202"/>
      <c r="E1560" s="211" t="n">
        <v>110</v>
      </c>
      <c r="F1560" s="211" t="s">
        <v>3220</v>
      </c>
      <c r="G1560" s="203"/>
      <c r="H1560" s="105" t="n">
        <f aca="false">'[2]$ зима'!j1560-'[2]$ зима'!au1560-'[2]$ зима'!at1560-'[2]$ зима'!as1560-'[2]$ зима'!ar1560-'[2]$ зима'!aq1560-'[2]$ зима'!ap1560-'[2]$ зима'!an1560-'[2]$ зима'!am1560-'[2]$ зима'!al1560-'[2]$ зима'!ak1560-'[2]$ зима'!aj1560-'[2]$ зима'!ah1560-'[2]$ зима'!ag1560-'[2]$ зима'!af1560-'[2]$ зима'!ae1560-'[2]$ зима'!ad1560-'[2]$ зима'!ab1560-'[2]$ зима'!aa1560-'[2]$ зима'!z1560-'[2]$ зима'!y1560-'[2]$ зима'!x1560-'[2]$ зима'!v1560-'[2]$ зима'!u1560-'[2]$ зима'!t1560-'[2]$ зима'!s1560-'[2]$ зима'!r1560-'[2]$ зима'!p1560-'[2]$ зима'!o1560-'[2]$ зима'!n1560-'[2]$ зима'!m1560-'[2]$ зима'!l1560+'[2]$ зима'!q1560+'[2]$ зима'!w1560+'[2]$ зима'!ac1560+'[2]$ зима'!ai1560+'[2]$ зима'!ao1560+'[2]$ зима'!k1560</f>
        <v>8</v>
      </c>
      <c r="I1560" s="191" t="n">
        <f aca="false">'[2]$ зима'!ay1560*1.1</f>
        <v>3080</v>
      </c>
      <c r="J1560" s="171" t="n">
        <v>2017</v>
      </c>
    </row>
    <row r="1561" customFormat="false" ht="15" hidden="false" customHeight="false" outlineLevel="0" collapsed="false">
      <c r="A1561" s="210" t="s">
        <v>2317</v>
      </c>
      <c r="B1561" s="198" t="s">
        <v>593</v>
      </c>
      <c r="C1561" s="148" t="s">
        <v>3666</v>
      </c>
      <c r="D1561" s="202"/>
      <c r="E1561" s="211" t="n">
        <v>108</v>
      </c>
      <c r="F1561" s="211" t="s">
        <v>3853</v>
      </c>
      <c r="G1561" s="203"/>
      <c r="H1561" s="105" t="n">
        <f aca="false">'[2]$ зима'!j1561-'[2]$ зима'!au1561-'[2]$ зима'!at1561-'[2]$ зима'!as1561-'[2]$ зима'!ar1561-'[2]$ зима'!aq1561-'[2]$ зима'!ap1561-'[2]$ зима'!an1561-'[2]$ зима'!am1561-'[2]$ зима'!al1561-'[2]$ зима'!ak1561-'[2]$ зима'!aj1561-'[2]$ зима'!ah1561-'[2]$ зима'!ag1561-'[2]$ зима'!af1561-'[2]$ зима'!ae1561-'[2]$ зима'!ad1561-'[2]$ зима'!ab1561-'[2]$ зима'!aa1561-'[2]$ зима'!z1561-'[2]$ зима'!y1561-'[2]$ зима'!x1561-'[2]$ зима'!v1561-'[2]$ зима'!u1561-'[2]$ зима'!t1561-'[2]$ зима'!s1561-'[2]$ зима'!r1561-'[2]$ зима'!p1561-'[2]$ зима'!o1561-'[2]$ зима'!n1561-'[2]$ зима'!m1561-'[2]$ зима'!l1561+'[2]$ зима'!q1561+'[2]$ зима'!w1561+'[2]$ зима'!ac1561+'[2]$ зима'!ai1561+'[2]$ зима'!ao1561+'[2]$ зима'!k1561</f>
        <v>4</v>
      </c>
      <c r="I1561" s="191" t="n">
        <f aca="false">'[2]$ зима'!ay1561*1.1</f>
        <v>7392</v>
      </c>
    </row>
    <row r="1562" customFormat="false" ht="15" hidden="false" customHeight="false" outlineLevel="0" collapsed="false">
      <c r="A1562" s="210" t="s">
        <v>2319</v>
      </c>
      <c r="B1562" s="198" t="s">
        <v>601</v>
      </c>
      <c r="C1562" s="194" t="s">
        <v>3863</v>
      </c>
      <c r="D1562" s="237"/>
      <c r="E1562" s="238" t="n">
        <v>106</v>
      </c>
      <c r="F1562" s="238" t="s">
        <v>3220</v>
      </c>
      <c r="G1562" s="239" t="s">
        <v>626</v>
      </c>
      <c r="H1562" s="105" t="n">
        <f aca="false">'[2]$ зима'!j1562-'[2]$ зима'!au1562-'[2]$ зима'!at1562-'[2]$ зима'!as1562-'[2]$ зима'!ar1562-'[2]$ зима'!aq1562-'[2]$ зима'!ap1562-'[2]$ зима'!an1562-'[2]$ зима'!am1562-'[2]$ зима'!al1562-'[2]$ зима'!ak1562-'[2]$ зима'!aj1562-'[2]$ зима'!ah1562-'[2]$ зима'!ag1562-'[2]$ зима'!af1562-'[2]$ зима'!ae1562-'[2]$ зима'!ad1562-'[2]$ зима'!ab1562-'[2]$ зима'!aa1562-'[2]$ зима'!z1562-'[2]$ зима'!y1562-'[2]$ зима'!x1562-'[2]$ зима'!v1562-'[2]$ зима'!u1562-'[2]$ зима'!t1562-'[2]$ зима'!s1562-'[2]$ зима'!r1562-'[2]$ зима'!p1562-'[2]$ зима'!o1562-'[2]$ зима'!n1562-'[2]$ зима'!m1562-'[2]$ зима'!l1562+'[2]$ зима'!q1562+'[2]$ зима'!w1562+'[2]$ зима'!ac1562+'[2]$ зима'!ai1562+'[2]$ зима'!ao1562+'[2]$ зима'!k1562</f>
        <v>4</v>
      </c>
      <c r="I1562" s="191" t="n">
        <f aca="false">'[2]$ зима'!ay1562*1.1</f>
        <v>4620</v>
      </c>
      <c r="J1562" s="201" t="n">
        <v>2014</v>
      </c>
    </row>
    <row r="1563" customFormat="false" ht="15" hidden="false" customHeight="false" outlineLevel="0" collapsed="false">
      <c r="A1563" s="210" t="s">
        <v>2319</v>
      </c>
      <c r="B1563" s="198" t="s">
        <v>601</v>
      </c>
      <c r="C1563" s="194" t="s">
        <v>3399</v>
      </c>
      <c r="D1563" s="237"/>
      <c r="E1563" s="238" t="n">
        <v>107</v>
      </c>
      <c r="F1563" s="238" t="s">
        <v>562</v>
      </c>
      <c r="G1563" s="239" t="s">
        <v>626</v>
      </c>
      <c r="H1563" s="105" t="n">
        <f aca="false">'[2]$ зима'!j1563-'[2]$ зима'!au1563-'[2]$ зима'!at1563-'[2]$ зима'!as1563-'[2]$ зима'!ar1563-'[2]$ зима'!aq1563-'[2]$ зима'!ap1563-'[2]$ зима'!an1563-'[2]$ зима'!am1563-'[2]$ зима'!al1563-'[2]$ зима'!ak1563-'[2]$ зима'!aj1563-'[2]$ зима'!ah1563-'[2]$ зима'!ag1563-'[2]$ зима'!af1563-'[2]$ зима'!ae1563-'[2]$ зима'!ad1563-'[2]$ зима'!ab1563-'[2]$ зима'!aa1563-'[2]$ зима'!z1563-'[2]$ зима'!y1563-'[2]$ зима'!x1563-'[2]$ зима'!v1563-'[2]$ зима'!u1563-'[2]$ зима'!t1563-'[2]$ зима'!s1563-'[2]$ зима'!r1563-'[2]$ зима'!p1563-'[2]$ зима'!o1563-'[2]$ зима'!n1563-'[2]$ зима'!m1563-'[2]$ зима'!l1563+'[2]$ зима'!q1563+'[2]$ зима'!w1563+'[2]$ зима'!ac1563+'[2]$ зима'!ai1563+'[2]$ зима'!ao1563+'[2]$ зима'!k1563</f>
        <v>8</v>
      </c>
      <c r="I1563" s="191" t="n">
        <f aca="false">'[2]$ зима'!ay1563*1.1</f>
        <v>7638.4</v>
      </c>
      <c r="J1563" s="201" t="s">
        <v>3864</v>
      </c>
    </row>
    <row r="1564" customFormat="false" ht="15" hidden="false" customHeight="false" outlineLevel="0" collapsed="false">
      <c r="A1564" s="210" t="s">
        <v>2319</v>
      </c>
      <c r="B1564" s="198" t="s">
        <v>557</v>
      </c>
      <c r="C1564" s="194" t="s">
        <v>3744</v>
      </c>
      <c r="D1564" s="237"/>
      <c r="E1564" s="238" t="n">
        <v>111</v>
      </c>
      <c r="F1564" s="238" t="s">
        <v>3216</v>
      </c>
      <c r="G1564" s="239" t="s">
        <v>820</v>
      </c>
      <c r="H1564" s="105" t="n">
        <f aca="false">'[2]$ зима'!j1564-'[2]$ зима'!au1564-'[2]$ зима'!at1564-'[2]$ зима'!as1564-'[2]$ зима'!ar1564-'[2]$ зима'!aq1564-'[2]$ зима'!ap1564-'[2]$ зима'!an1564-'[2]$ зима'!am1564-'[2]$ зима'!al1564-'[2]$ зима'!ak1564-'[2]$ зима'!aj1564-'[2]$ зима'!ah1564-'[2]$ зима'!ag1564-'[2]$ зима'!af1564-'[2]$ зима'!ae1564-'[2]$ зима'!ad1564-'[2]$ зима'!ab1564-'[2]$ зима'!aa1564-'[2]$ зима'!z1564-'[2]$ зима'!y1564-'[2]$ зима'!x1564-'[2]$ зима'!v1564-'[2]$ зима'!u1564-'[2]$ зима'!t1564-'[2]$ зима'!s1564-'[2]$ зима'!r1564-'[2]$ зима'!p1564-'[2]$ зима'!o1564-'[2]$ зима'!n1564-'[2]$ зима'!m1564-'[2]$ зима'!l1564+'[2]$ зима'!q1564+'[2]$ зима'!w1564+'[2]$ зима'!ac1564+'[2]$ зима'!ai1564+'[2]$ зима'!ao1564+'[2]$ зима'!k1564</f>
        <v>8</v>
      </c>
      <c r="I1564" s="191" t="n">
        <f aca="false">'[2]$ зима'!ay1564*1.1</f>
        <v>3696</v>
      </c>
      <c r="J1564" s="201" t="n">
        <v>2018</v>
      </c>
    </row>
    <row r="1565" customFormat="false" ht="15" hidden="false" customHeight="false" outlineLevel="0" collapsed="false">
      <c r="A1565" s="210" t="s">
        <v>2319</v>
      </c>
      <c r="B1565" s="198" t="s">
        <v>606</v>
      </c>
      <c r="C1565" s="148" t="s">
        <v>3715</v>
      </c>
      <c r="D1565" s="237"/>
      <c r="E1565" s="238"/>
      <c r="F1565" s="238"/>
      <c r="G1565" s="239"/>
      <c r="H1565" s="105" t="n">
        <f aca="false">'[2]$ зима'!j1565-'[2]$ зима'!au1565-'[2]$ зима'!at1565-'[2]$ зима'!as1565-'[2]$ зима'!ar1565-'[2]$ зима'!aq1565-'[2]$ зима'!ap1565-'[2]$ зима'!an1565-'[2]$ зима'!am1565-'[2]$ зима'!al1565-'[2]$ зима'!ak1565-'[2]$ зима'!aj1565-'[2]$ зима'!ah1565-'[2]$ зима'!ag1565-'[2]$ зима'!af1565-'[2]$ зима'!ae1565-'[2]$ зима'!ad1565-'[2]$ зима'!ab1565-'[2]$ зима'!aa1565-'[2]$ зима'!z1565-'[2]$ зима'!y1565-'[2]$ зима'!x1565-'[2]$ зима'!v1565-'[2]$ зима'!u1565-'[2]$ зима'!t1565-'[2]$ зима'!s1565-'[2]$ зима'!r1565-'[2]$ зима'!p1565-'[2]$ зима'!o1565-'[2]$ зима'!n1565-'[2]$ зима'!m1565-'[2]$ зима'!l1565+'[2]$ зима'!q1565+'[2]$ зима'!w1565+'[2]$ зима'!ac1565+'[2]$ зима'!ai1565+'[2]$ зима'!ao1565+'[2]$ зима'!k1565</f>
        <v>8</v>
      </c>
      <c r="I1565" s="191" t="n">
        <f aca="false">'[2]$ зима'!ay1565*1.1</f>
        <v>4373.6</v>
      </c>
      <c r="J1565" s="201" t="n">
        <v>2017</v>
      </c>
    </row>
    <row r="1566" customFormat="false" ht="15" hidden="true" customHeight="false" outlineLevel="0" collapsed="false">
      <c r="A1566" s="210" t="s">
        <v>2319</v>
      </c>
      <c r="B1566" s="198" t="s">
        <v>606</v>
      </c>
      <c r="C1566" s="148" t="s">
        <v>3386</v>
      </c>
      <c r="D1566" s="237"/>
      <c r="E1566" s="237"/>
      <c r="F1566" s="237"/>
      <c r="G1566" s="239"/>
      <c r="H1566" s="105" t="n">
        <f aca="false">'[2]$ зима'!j1566-'[2]$ зима'!au1566-'[2]$ зима'!at1566-'[2]$ зима'!as1566-'[2]$ зима'!ar1566-'[2]$ зима'!aq1566-'[2]$ зима'!ap1566-'[2]$ зима'!an1566-'[2]$ зима'!am1566-'[2]$ зима'!al1566-'[2]$ зима'!ak1566-'[2]$ зима'!aj1566-'[2]$ зима'!ah1566-'[2]$ зима'!ag1566-'[2]$ зима'!af1566-'[2]$ зима'!ae1566-'[2]$ зима'!ad1566-'[2]$ зима'!ab1566-'[2]$ зима'!aa1566-'[2]$ зима'!z1566-'[2]$ зима'!y1566-'[2]$ зима'!x1566-'[2]$ зима'!v1566-'[2]$ зима'!u1566-'[2]$ зима'!t1566-'[2]$ зима'!s1566-'[2]$ зима'!r1566-'[2]$ зима'!p1566-'[2]$ зима'!o1566-'[2]$ зима'!n1566-'[2]$ зима'!m1566-'[2]$ зима'!l1566+'[2]$ зима'!q1566+'[2]$ зима'!w1566+'[2]$ зима'!ac1566+'[2]$ зима'!ai1566+'[2]$ зима'!ao1566+'[2]$ зима'!k1566</f>
        <v>0</v>
      </c>
      <c r="I1566" s="191" t="n">
        <f aca="false">'[2]$ зима'!ay1566*1.1</f>
        <v>4866.4</v>
      </c>
      <c r="J1566" s="201"/>
    </row>
    <row r="1567" customFormat="false" ht="15" hidden="false" customHeight="false" outlineLevel="0" collapsed="false">
      <c r="A1567" s="210" t="s">
        <v>2319</v>
      </c>
      <c r="B1567" s="198" t="s">
        <v>668</v>
      </c>
      <c r="C1567" s="194" t="s">
        <v>3865</v>
      </c>
      <c r="D1567" s="237"/>
      <c r="E1567" s="238"/>
      <c r="F1567" s="238"/>
      <c r="G1567" s="239"/>
      <c r="H1567" s="105" t="n">
        <f aca="false">'[2]$ зима'!j1567-'[2]$ зима'!au1567-'[2]$ зима'!at1567-'[2]$ зима'!as1567-'[2]$ зима'!ar1567-'[2]$ зима'!aq1567-'[2]$ зима'!ap1567-'[2]$ зима'!an1567-'[2]$ зима'!am1567-'[2]$ зима'!al1567-'[2]$ зима'!ak1567-'[2]$ зима'!aj1567-'[2]$ зима'!ah1567-'[2]$ зима'!ag1567-'[2]$ зима'!af1567-'[2]$ зима'!ae1567-'[2]$ зима'!ad1567-'[2]$ зима'!ab1567-'[2]$ зима'!aa1567-'[2]$ зима'!z1567-'[2]$ зима'!y1567-'[2]$ зима'!x1567-'[2]$ зима'!v1567-'[2]$ зима'!u1567-'[2]$ зима'!t1567-'[2]$ зима'!s1567-'[2]$ зима'!r1567-'[2]$ зима'!p1567-'[2]$ зима'!o1567-'[2]$ зима'!n1567-'[2]$ зима'!m1567-'[2]$ зима'!l1567+'[2]$ зима'!q1567+'[2]$ зима'!w1567+'[2]$ зима'!ac1567+'[2]$ зима'!ai1567+'[2]$ зима'!ao1567+'[2]$ зима'!k1567</f>
        <v>2</v>
      </c>
      <c r="I1567" s="191" t="n">
        <f aca="false">'[2]$ зима'!ay1567*1.1</f>
        <v>4065.6</v>
      </c>
      <c r="J1567" s="201"/>
    </row>
    <row r="1568" customFormat="false" ht="15" hidden="true" customHeight="false" outlineLevel="0" collapsed="false">
      <c r="A1568" s="210" t="s">
        <v>2319</v>
      </c>
      <c r="B1568" s="198" t="s">
        <v>589</v>
      </c>
      <c r="C1568" s="148" t="s">
        <v>3866</v>
      </c>
      <c r="D1568" s="148"/>
      <c r="E1568" s="148"/>
      <c r="F1568" s="148"/>
      <c r="G1568" s="193" t="s">
        <v>626</v>
      </c>
      <c r="H1568" s="105" t="n">
        <f aca="false">'[2]$ зима'!j1568-'[2]$ зима'!au1568-'[2]$ зима'!at1568-'[2]$ зима'!as1568-'[2]$ зима'!ar1568-'[2]$ зима'!aq1568-'[2]$ зима'!ap1568-'[2]$ зима'!an1568-'[2]$ зима'!am1568-'[2]$ зима'!al1568-'[2]$ зима'!ak1568-'[2]$ зима'!aj1568-'[2]$ зима'!ah1568-'[2]$ зима'!ag1568-'[2]$ зима'!af1568-'[2]$ зима'!ae1568-'[2]$ зима'!ad1568-'[2]$ зима'!ab1568-'[2]$ зима'!aa1568-'[2]$ зима'!z1568-'[2]$ зима'!y1568-'[2]$ зима'!x1568-'[2]$ зима'!v1568-'[2]$ зима'!u1568-'[2]$ зима'!t1568-'[2]$ зима'!s1568-'[2]$ зима'!r1568-'[2]$ зима'!p1568-'[2]$ зима'!o1568-'[2]$ зима'!n1568-'[2]$ зима'!m1568-'[2]$ зима'!l1568+'[2]$ зима'!q1568+'[2]$ зима'!w1568+'[2]$ зима'!ac1568+'[2]$ зима'!ai1568+'[2]$ зима'!ao1568+'[2]$ зима'!k1568</f>
        <v>0</v>
      </c>
      <c r="I1568" s="191" t="n">
        <f aca="false">'[2]$ зима'!ay1568*1.1</f>
        <v>5603.4</v>
      </c>
    </row>
    <row r="1569" customFormat="false" ht="15" hidden="false" customHeight="false" outlineLevel="0" collapsed="false">
      <c r="A1569" s="210" t="s">
        <v>2319</v>
      </c>
      <c r="B1569" s="198" t="s">
        <v>589</v>
      </c>
      <c r="C1569" s="148" t="s">
        <v>3209</v>
      </c>
      <c r="D1569" s="148"/>
      <c r="E1569" s="192"/>
      <c r="F1569" s="192"/>
      <c r="G1569" s="193" t="s">
        <v>626</v>
      </c>
      <c r="H1569" s="105" t="n">
        <f aca="false">'[2]$ зима'!j1569-'[2]$ зима'!au1569-'[2]$ зима'!at1569-'[2]$ зима'!as1569-'[2]$ зима'!ar1569-'[2]$ зима'!aq1569-'[2]$ зима'!ap1569-'[2]$ зима'!an1569-'[2]$ зима'!am1569-'[2]$ зима'!al1569-'[2]$ зима'!ak1569-'[2]$ зима'!aj1569-'[2]$ зима'!ah1569-'[2]$ зима'!ag1569-'[2]$ зима'!af1569-'[2]$ зима'!ae1569-'[2]$ зима'!ad1569-'[2]$ зима'!ab1569-'[2]$ зима'!aa1569-'[2]$ зима'!z1569-'[2]$ зима'!y1569-'[2]$ зима'!x1569-'[2]$ зима'!v1569-'[2]$ зима'!u1569-'[2]$ зима'!t1569-'[2]$ зима'!s1569-'[2]$ зима'!r1569-'[2]$ зима'!p1569-'[2]$ зима'!o1569-'[2]$ зима'!n1569-'[2]$ зима'!m1569-'[2]$ зима'!l1569+'[2]$ зима'!q1569+'[2]$ зима'!w1569+'[2]$ зима'!ac1569+'[2]$ зима'!ai1569+'[2]$ зима'!ao1569+'[2]$ зима'!k1569</f>
        <v>4</v>
      </c>
      <c r="I1569" s="191" t="n">
        <f aca="false">'[2]$ зима'!ay1569*1.1</f>
        <v>6091.8</v>
      </c>
      <c r="J1569" s="171" t="n">
        <v>2017</v>
      </c>
    </row>
    <row r="1570" customFormat="false" ht="15" hidden="false" customHeight="false" outlineLevel="0" collapsed="false">
      <c r="A1570" s="188" t="s">
        <v>2328</v>
      </c>
      <c r="B1570" s="198" t="s">
        <v>601</v>
      </c>
      <c r="C1570" s="148" t="s">
        <v>3863</v>
      </c>
      <c r="D1570" s="202"/>
      <c r="E1570" s="211" t="n">
        <v>106</v>
      </c>
      <c r="F1570" s="211" t="s">
        <v>3220</v>
      </c>
      <c r="G1570" s="203"/>
      <c r="H1570" s="105" t="n">
        <f aca="false">'[2]$ зима'!j1570-'[2]$ зима'!au1570-'[2]$ зима'!at1570-'[2]$ зима'!as1570-'[2]$ зима'!ar1570-'[2]$ зима'!aq1570-'[2]$ зима'!ap1570-'[2]$ зима'!an1570-'[2]$ зима'!am1570-'[2]$ зима'!al1570-'[2]$ зима'!ak1570-'[2]$ зима'!aj1570-'[2]$ зима'!ah1570-'[2]$ зима'!ag1570-'[2]$ зима'!af1570-'[2]$ зима'!ae1570-'[2]$ зима'!ad1570-'[2]$ зима'!ab1570-'[2]$ зима'!aa1570-'[2]$ зима'!z1570-'[2]$ зима'!y1570-'[2]$ зима'!x1570-'[2]$ зима'!v1570-'[2]$ зима'!u1570-'[2]$ зима'!t1570-'[2]$ зима'!s1570-'[2]$ зима'!r1570-'[2]$ зима'!p1570-'[2]$ зима'!o1570-'[2]$ зима'!n1570-'[2]$ зима'!m1570-'[2]$ зима'!l1570+'[2]$ зима'!q1570+'[2]$ зима'!w1570+'[2]$ зима'!ac1570+'[2]$ зима'!ai1570+'[2]$ зима'!ao1570+'[2]$ зима'!k1570</f>
        <v>2</v>
      </c>
      <c r="I1570" s="191" t="n">
        <f aca="false">'[2]$ зима'!ay1570*1.1</f>
        <v>4312</v>
      </c>
    </row>
    <row r="1571" customFormat="false" ht="15" hidden="false" customHeight="false" outlineLevel="0" collapsed="false">
      <c r="A1571" s="188" t="s">
        <v>2328</v>
      </c>
      <c r="B1571" s="198" t="s">
        <v>601</v>
      </c>
      <c r="C1571" s="148" t="s">
        <v>3482</v>
      </c>
      <c r="D1571" s="202"/>
      <c r="E1571" s="211"/>
      <c r="F1571" s="211"/>
      <c r="G1571" s="203"/>
      <c r="H1571" s="105" t="n">
        <f aca="false">'[2]$ зима'!j1571-'[2]$ зима'!au1571-'[2]$ зима'!at1571-'[2]$ зима'!as1571-'[2]$ зима'!ar1571-'[2]$ зима'!aq1571-'[2]$ зима'!ap1571-'[2]$ зима'!an1571-'[2]$ зима'!am1571-'[2]$ зима'!al1571-'[2]$ зима'!ak1571-'[2]$ зима'!aj1571-'[2]$ зима'!ah1571-'[2]$ зима'!ag1571-'[2]$ зима'!af1571-'[2]$ зима'!ae1571-'[2]$ зима'!ad1571-'[2]$ зима'!ab1571-'[2]$ зима'!aa1571-'[2]$ зима'!z1571-'[2]$ зима'!y1571-'[2]$ зима'!x1571-'[2]$ зима'!v1571-'[2]$ зима'!u1571-'[2]$ зима'!t1571-'[2]$ зима'!s1571-'[2]$ зима'!r1571-'[2]$ зима'!p1571-'[2]$ зима'!o1571-'[2]$ зима'!n1571-'[2]$ зима'!m1571-'[2]$ зима'!l1571+'[2]$ зима'!q1571+'[2]$ зима'!w1571+'[2]$ зима'!ac1571+'[2]$ зима'!ai1571+'[2]$ зима'!ao1571+'[2]$ зима'!k1571</f>
        <v>4</v>
      </c>
      <c r="I1571" s="191" t="n">
        <f aca="false">'[2]$ зима'!ay1571*1.1</f>
        <v>6160</v>
      </c>
    </row>
    <row r="1572" customFormat="false" ht="15" hidden="false" customHeight="false" outlineLevel="0" collapsed="false">
      <c r="A1572" s="188" t="s">
        <v>2328</v>
      </c>
      <c r="B1572" s="198" t="s">
        <v>557</v>
      </c>
      <c r="C1572" s="148" t="s">
        <v>3544</v>
      </c>
      <c r="D1572" s="202"/>
      <c r="E1572" s="211"/>
      <c r="F1572" s="211" t="s">
        <v>3286</v>
      </c>
      <c r="G1572" s="203"/>
      <c r="H1572" s="105" t="n">
        <f aca="false">'[2]$ зима'!j1572-'[2]$ зима'!au1572-'[2]$ зима'!at1572-'[2]$ зима'!as1572-'[2]$ зима'!ar1572-'[2]$ зима'!aq1572-'[2]$ зима'!ap1572-'[2]$ зима'!an1572-'[2]$ зима'!am1572-'[2]$ зима'!al1572-'[2]$ зима'!ak1572-'[2]$ зима'!aj1572-'[2]$ зима'!ah1572-'[2]$ зима'!ag1572-'[2]$ зима'!af1572-'[2]$ зима'!ae1572-'[2]$ зима'!ad1572-'[2]$ зима'!ab1572-'[2]$ зима'!aa1572-'[2]$ зима'!z1572-'[2]$ зима'!y1572-'[2]$ зима'!x1572-'[2]$ зима'!v1572-'[2]$ зима'!u1572-'[2]$ зима'!t1572-'[2]$ зима'!s1572-'[2]$ зима'!r1572-'[2]$ зима'!p1572-'[2]$ зима'!o1572-'[2]$ зима'!n1572-'[2]$ зима'!m1572-'[2]$ зима'!l1572+'[2]$ зима'!q1572+'[2]$ зима'!w1572+'[2]$ зима'!ac1572+'[2]$ зима'!ai1572+'[2]$ зима'!ao1572+'[2]$ зима'!k1572</f>
        <v>2</v>
      </c>
      <c r="I1572" s="191" t="n">
        <f aca="false">'[2]$ зима'!ay1572*1.1</f>
        <v>3388</v>
      </c>
    </row>
    <row r="1573" customFormat="false" ht="15" hidden="false" customHeight="false" outlineLevel="0" collapsed="false">
      <c r="A1573" s="188" t="s">
        <v>2328</v>
      </c>
      <c r="B1573" s="198" t="s">
        <v>668</v>
      </c>
      <c r="C1573" s="148" t="s">
        <v>3664</v>
      </c>
      <c r="D1573" s="202"/>
      <c r="E1573" s="211"/>
      <c r="F1573" s="211"/>
      <c r="G1573" s="203"/>
      <c r="H1573" s="105" t="n">
        <f aca="false">'[2]$ зима'!j1573-'[2]$ зима'!au1573-'[2]$ зима'!at1573-'[2]$ зима'!as1573-'[2]$ зима'!ar1573-'[2]$ зима'!aq1573-'[2]$ зима'!ap1573-'[2]$ зима'!an1573-'[2]$ зима'!am1573-'[2]$ зима'!al1573-'[2]$ зима'!ak1573-'[2]$ зима'!aj1573-'[2]$ зима'!ah1573-'[2]$ зима'!ag1573-'[2]$ зима'!af1573-'[2]$ зима'!ae1573-'[2]$ зима'!ad1573-'[2]$ зима'!ab1573-'[2]$ зима'!aa1573-'[2]$ зима'!z1573-'[2]$ зима'!y1573-'[2]$ зима'!x1573-'[2]$ зима'!v1573-'[2]$ зима'!u1573-'[2]$ зима'!t1573-'[2]$ зима'!s1573-'[2]$ зима'!r1573-'[2]$ зима'!p1573-'[2]$ зима'!o1573-'[2]$ зима'!n1573-'[2]$ зима'!m1573-'[2]$ зима'!l1573+'[2]$ зима'!q1573+'[2]$ зима'!w1573+'[2]$ зима'!ac1573+'[2]$ зима'!ai1573+'[2]$ зима'!ao1573+'[2]$ зима'!k1573</f>
        <v>2</v>
      </c>
      <c r="I1573" s="191" t="n">
        <f aca="false">'[2]$ зима'!ay1573*1.1</f>
        <v>3234</v>
      </c>
    </row>
    <row r="1574" customFormat="false" ht="15" hidden="false" customHeight="false" outlineLevel="0" collapsed="false">
      <c r="A1574" s="188" t="s">
        <v>2328</v>
      </c>
      <c r="B1574" s="198" t="s">
        <v>593</v>
      </c>
      <c r="C1574" s="148" t="s">
        <v>3632</v>
      </c>
      <c r="D1574" s="202"/>
      <c r="E1574" s="211" t="n">
        <v>106</v>
      </c>
      <c r="F1574" s="211" t="s">
        <v>814</v>
      </c>
      <c r="G1574" s="203" t="s">
        <v>849</v>
      </c>
      <c r="H1574" s="105" t="n">
        <f aca="false">'[2]$ зима'!j1574-'[2]$ зима'!au1574-'[2]$ зима'!at1574-'[2]$ зима'!as1574-'[2]$ зима'!ar1574-'[2]$ зима'!aq1574-'[2]$ зима'!ap1574-'[2]$ зима'!an1574-'[2]$ зима'!am1574-'[2]$ зима'!al1574-'[2]$ зима'!ak1574-'[2]$ зима'!aj1574-'[2]$ зима'!ah1574-'[2]$ зима'!ag1574-'[2]$ зима'!af1574-'[2]$ зима'!ae1574-'[2]$ зима'!ad1574-'[2]$ зима'!ab1574-'[2]$ зима'!aa1574-'[2]$ зима'!z1574-'[2]$ зима'!y1574-'[2]$ зима'!x1574-'[2]$ зима'!v1574-'[2]$ зима'!u1574-'[2]$ зима'!t1574-'[2]$ зима'!s1574-'[2]$ зима'!r1574-'[2]$ зима'!p1574-'[2]$ зима'!o1574-'[2]$ зима'!n1574-'[2]$ зима'!m1574-'[2]$ зима'!l1574+'[2]$ зима'!q1574+'[2]$ зима'!w1574+'[2]$ зима'!ac1574+'[2]$ зима'!ai1574+'[2]$ зима'!ao1574+'[2]$ зима'!k1574</f>
        <v>4</v>
      </c>
      <c r="I1574" s="191" t="n">
        <f aca="false">'[2]$ зима'!ay1574*1.1</f>
        <v>6776</v>
      </c>
    </row>
    <row r="1575" customFormat="false" ht="15" hidden="false" customHeight="false" outlineLevel="0" collapsed="false">
      <c r="A1575" s="188" t="s">
        <v>2328</v>
      </c>
      <c r="B1575" s="198" t="s">
        <v>677</v>
      </c>
      <c r="C1575" s="194" t="s">
        <v>3136</v>
      </c>
      <c r="D1575" s="202"/>
      <c r="E1575" s="211"/>
      <c r="F1575" s="211"/>
      <c r="G1575" s="203"/>
      <c r="H1575" s="105" t="n">
        <f aca="false">'[2]$ зима'!j1575-'[2]$ зима'!au1575-'[2]$ зима'!at1575-'[2]$ зима'!as1575-'[2]$ зима'!ar1575-'[2]$ зима'!aq1575-'[2]$ зима'!ap1575-'[2]$ зима'!an1575-'[2]$ зима'!am1575-'[2]$ зима'!al1575-'[2]$ зима'!ak1575-'[2]$ зима'!aj1575-'[2]$ зима'!ah1575-'[2]$ зима'!ag1575-'[2]$ зима'!af1575-'[2]$ зима'!ae1575-'[2]$ зима'!ad1575-'[2]$ зима'!ab1575-'[2]$ зима'!aa1575-'[2]$ зима'!z1575-'[2]$ зима'!y1575-'[2]$ зима'!x1575-'[2]$ зима'!v1575-'[2]$ зима'!u1575-'[2]$ зима'!t1575-'[2]$ зима'!s1575-'[2]$ зима'!r1575-'[2]$ зима'!p1575-'[2]$ зима'!o1575-'[2]$ зима'!n1575-'[2]$ зима'!m1575-'[2]$ зима'!l1575+'[2]$ зима'!q1575+'[2]$ зима'!w1575+'[2]$ зима'!ac1575+'[2]$ зима'!ai1575+'[2]$ зима'!ao1575+'[2]$ зима'!k1575</f>
        <v>6</v>
      </c>
      <c r="I1575" s="191" t="n">
        <f aca="false">'[2]$ зима'!ay1575*1.1</f>
        <v>2464</v>
      </c>
    </row>
    <row r="1576" customFormat="false" ht="15" hidden="false" customHeight="false" outlineLevel="0" collapsed="false">
      <c r="A1576" s="188" t="s">
        <v>2328</v>
      </c>
      <c r="B1576" s="149" t="s">
        <v>589</v>
      </c>
      <c r="C1576" s="148" t="s">
        <v>3209</v>
      </c>
      <c r="D1576" s="148"/>
      <c r="E1576" s="192" t="n">
        <v>106</v>
      </c>
      <c r="F1576" s="192" t="s">
        <v>3437</v>
      </c>
      <c r="G1576" s="193" t="s">
        <v>626</v>
      </c>
      <c r="H1576" s="105" t="n">
        <f aca="false">'[2]$ зима'!j1576-'[2]$ зима'!au1576-'[2]$ зима'!at1576-'[2]$ зима'!as1576-'[2]$ зима'!ar1576-'[2]$ зима'!aq1576-'[2]$ зима'!ap1576-'[2]$ зима'!an1576-'[2]$ зима'!am1576-'[2]$ зима'!al1576-'[2]$ зима'!ak1576-'[2]$ зима'!aj1576-'[2]$ зима'!ah1576-'[2]$ зима'!ag1576-'[2]$ зима'!af1576-'[2]$ зима'!ae1576-'[2]$ зима'!ad1576-'[2]$ зима'!ab1576-'[2]$ зима'!aa1576-'[2]$ зима'!z1576-'[2]$ зима'!y1576-'[2]$ зима'!x1576-'[2]$ зима'!v1576-'[2]$ зима'!u1576-'[2]$ зима'!t1576-'[2]$ зима'!s1576-'[2]$ зима'!r1576-'[2]$ зима'!p1576-'[2]$ зима'!o1576-'[2]$ зима'!n1576-'[2]$ зима'!m1576-'[2]$ зима'!l1576+'[2]$ зима'!q1576+'[2]$ зима'!w1576+'[2]$ зима'!ac1576+'[2]$ зима'!ai1576+'[2]$ зима'!ao1576+'[2]$ зима'!k1576</f>
        <v>6</v>
      </c>
      <c r="I1576" s="191" t="n">
        <f aca="false">'[2]$ зима'!ay1576*1.1</f>
        <v>6123.04</v>
      </c>
      <c r="J1576" s="171" t="n">
        <v>2018</v>
      </c>
    </row>
    <row r="1577" customFormat="false" ht="15" hidden="false" customHeight="false" outlineLevel="0" collapsed="false">
      <c r="A1577" s="188" t="s">
        <v>2328</v>
      </c>
      <c r="B1577" s="149" t="s">
        <v>1028</v>
      </c>
      <c r="C1577" s="148" t="s">
        <v>3867</v>
      </c>
      <c r="D1577" s="202"/>
      <c r="E1577" s="211" t="n">
        <v>106</v>
      </c>
      <c r="F1577" s="211" t="s">
        <v>970</v>
      </c>
      <c r="G1577" s="203" t="s">
        <v>626</v>
      </c>
      <c r="H1577" s="105" t="n">
        <f aca="false">'[2]$ зима'!j1577-'[2]$ зима'!au1577-'[2]$ зима'!at1577-'[2]$ зима'!as1577-'[2]$ зима'!ar1577-'[2]$ зима'!aq1577-'[2]$ зима'!ap1577-'[2]$ зима'!an1577-'[2]$ зима'!am1577-'[2]$ зима'!al1577-'[2]$ зима'!ak1577-'[2]$ зима'!aj1577-'[2]$ зима'!ah1577-'[2]$ зима'!ag1577-'[2]$ зима'!af1577-'[2]$ зима'!ae1577-'[2]$ зима'!ad1577-'[2]$ зима'!ab1577-'[2]$ зима'!aa1577-'[2]$ зима'!z1577-'[2]$ зима'!y1577-'[2]$ зима'!x1577-'[2]$ зима'!v1577-'[2]$ зима'!u1577-'[2]$ зима'!t1577-'[2]$ зима'!s1577-'[2]$ зима'!r1577-'[2]$ зима'!p1577-'[2]$ зима'!o1577-'[2]$ зима'!n1577-'[2]$ зима'!m1577-'[2]$ зима'!l1577+'[2]$ зима'!q1577+'[2]$ зима'!w1577+'[2]$ зима'!ac1577+'[2]$ зима'!ai1577+'[2]$ зима'!ao1577+'[2]$ зима'!k1577</f>
        <v>4</v>
      </c>
      <c r="I1577" s="191" t="n">
        <f aca="false">'[2]$ зима'!ay1577*1.1</f>
        <v>6314</v>
      </c>
      <c r="J1577" s="171" t="n">
        <v>2017</v>
      </c>
    </row>
    <row r="1578" customFormat="false" ht="15" hidden="true" customHeight="false" outlineLevel="0" collapsed="false">
      <c r="A1578" s="188" t="s">
        <v>2339</v>
      </c>
      <c r="B1578" s="198" t="s">
        <v>601</v>
      </c>
      <c r="C1578" s="148" t="s">
        <v>3868</v>
      </c>
      <c r="D1578" s="202"/>
      <c r="E1578" s="202" t="n">
        <v>110</v>
      </c>
      <c r="F1578" s="202" t="s">
        <v>562</v>
      </c>
      <c r="G1578" s="203"/>
      <c r="H1578" s="105" t="n">
        <f aca="false">'[2]$ зима'!j1578-'[2]$ зима'!au1578-'[2]$ зима'!at1578-'[2]$ зима'!as1578-'[2]$ зима'!ar1578-'[2]$ зима'!aq1578-'[2]$ зима'!ap1578-'[2]$ зима'!an1578-'[2]$ зима'!am1578-'[2]$ зима'!al1578-'[2]$ зима'!ak1578-'[2]$ зима'!aj1578-'[2]$ зима'!ah1578-'[2]$ зима'!ag1578-'[2]$ зима'!af1578-'[2]$ зима'!ae1578-'[2]$ зима'!ad1578-'[2]$ зима'!ab1578-'[2]$ зима'!aa1578-'[2]$ зима'!z1578-'[2]$ зима'!y1578-'[2]$ зима'!x1578-'[2]$ зима'!v1578-'[2]$ зима'!u1578-'[2]$ зима'!t1578-'[2]$ зима'!s1578-'[2]$ зима'!r1578-'[2]$ зима'!p1578-'[2]$ зима'!o1578-'[2]$ зима'!n1578-'[2]$ зима'!m1578-'[2]$ зима'!l1578+'[2]$ зима'!q1578+'[2]$ зима'!w1578+'[2]$ зима'!ac1578+'[2]$ зима'!ai1578+'[2]$ зима'!ao1578+'[2]$ зима'!k1578</f>
        <v>0</v>
      </c>
      <c r="I1578" s="191" t="n">
        <f aca="false">'[2]$ зима'!ay1578*1.1</f>
        <v>6622</v>
      </c>
    </row>
    <row r="1579" customFormat="false" ht="15" hidden="false" customHeight="false" outlineLevel="0" collapsed="false">
      <c r="A1579" s="188" t="s">
        <v>2339</v>
      </c>
      <c r="B1579" s="198" t="s">
        <v>557</v>
      </c>
      <c r="C1579" s="148" t="s">
        <v>3544</v>
      </c>
      <c r="D1579" s="202"/>
      <c r="E1579" s="211" t="n">
        <v>110</v>
      </c>
      <c r="F1579" s="211" t="s">
        <v>562</v>
      </c>
      <c r="G1579" s="203" t="s">
        <v>820</v>
      </c>
      <c r="H1579" s="105" t="n">
        <f aca="false">'[2]$ зима'!j1579-'[2]$ зима'!au1579-'[2]$ зима'!at1579-'[2]$ зима'!as1579-'[2]$ зима'!ar1579-'[2]$ зима'!aq1579-'[2]$ зима'!ap1579-'[2]$ зима'!an1579-'[2]$ зима'!am1579-'[2]$ зима'!al1579-'[2]$ зима'!ak1579-'[2]$ зима'!aj1579-'[2]$ зима'!ah1579-'[2]$ зима'!ag1579-'[2]$ зима'!af1579-'[2]$ зима'!ae1579-'[2]$ зима'!ad1579-'[2]$ зима'!ab1579-'[2]$ зима'!aa1579-'[2]$ зима'!z1579-'[2]$ зима'!y1579-'[2]$ зима'!x1579-'[2]$ зима'!v1579-'[2]$ зима'!u1579-'[2]$ зима'!t1579-'[2]$ зима'!s1579-'[2]$ зима'!r1579-'[2]$ зима'!p1579-'[2]$ зима'!o1579-'[2]$ зима'!n1579-'[2]$ зима'!m1579-'[2]$ зима'!l1579+'[2]$ зима'!q1579+'[2]$ зима'!w1579+'[2]$ зима'!ac1579+'[2]$ зима'!ai1579+'[2]$ зима'!ao1579+'[2]$ зима'!k1579</f>
        <v>4</v>
      </c>
      <c r="I1579" s="191" t="n">
        <f aca="false">'[2]$ зима'!ay1579*1.1</f>
        <v>3572.8</v>
      </c>
    </row>
    <row r="1580" customFormat="false" ht="15" hidden="false" customHeight="false" outlineLevel="0" collapsed="false">
      <c r="A1580" s="188" t="s">
        <v>2339</v>
      </c>
      <c r="B1580" s="198" t="s">
        <v>744</v>
      </c>
      <c r="C1580" s="148" t="s">
        <v>3869</v>
      </c>
      <c r="D1580" s="202"/>
      <c r="E1580" s="211" t="n">
        <v>110</v>
      </c>
      <c r="F1580" s="211" t="s">
        <v>970</v>
      </c>
      <c r="G1580" s="203" t="s">
        <v>640</v>
      </c>
      <c r="H1580" s="105" t="n">
        <f aca="false">'[2]$ зима'!j1580-'[2]$ зима'!au1580-'[2]$ зима'!at1580-'[2]$ зима'!as1580-'[2]$ зима'!ar1580-'[2]$ зима'!aq1580-'[2]$ зима'!ap1580-'[2]$ зима'!an1580-'[2]$ зима'!am1580-'[2]$ зима'!al1580-'[2]$ зима'!ak1580-'[2]$ зима'!aj1580-'[2]$ зима'!ah1580-'[2]$ зима'!ag1580-'[2]$ зима'!af1580-'[2]$ зима'!ae1580-'[2]$ зима'!ad1580-'[2]$ зима'!ab1580-'[2]$ зима'!aa1580-'[2]$ зима'!z1580-'[2]$ зима'!y1580-'[2]$ зима'!x1580-'[2]$ зима'!v1580-'[2]$ зима'!u1580-'[2]$ зима'!t1580-'[2]$ зима'!s1580-'[2]$ зима'!r1580-'[2]$ зима'!p1580-'[2]$ зима'!o1580-'[2]$ зима'!n1580-'[2]$ зима'!m1580-'[2]$ зима'!l1580+'[2]$ зима'!q1580+'[2]$ зима'!w1580+'[2]$ зима'!ac1580+'[2]$ зима'!ai1580+'[2]$ зима'!ao1580+'[2]$ зима'!k1580</f>
        <v>8</v>
      </c>
      <c r="I1580" s="191" t="n">
        <f aca="false">'[2]$ зима'!ay1580*1.1</f>
        <v>4312</v>
      </c>
      <c r="J1580" s="171" t="n">
        <v>2016</v>
      </c>
    </row>
    <row r="1581" customFormat="false" ht="15" hidden="false" customHeight="false" outlineLevel="0" collapsed="false">
      <c r="A1581" s="188" t="s">
        <v>2339</v>
      </c>
      <c r="B1581" s="198" t="s">
        <v>668</v>
      </c>
      <c r="C1581" s="148" t="s">
        <v>3664</v>
      </c>
      <c r="D1581" s="202"/>
      <c r="E1581" s="211"/>
      <c r="F1581" s="211"/>
      <c r="G1581" s="203"/>
      <c r="H1581" s="105" t="n">
        <f aca="false">'[2]$ зима'!j1581-'[2]$ зима'!au1581-'[2]$ зима'!at1581-'[2]$ зима'!as1581-'[2]$ зима'!ar1581-'[2]$ зима'!aq1581-'[2]$ зима'!ap1581-'[2]$ зима'!an1581-'[2]$ зима'!am1581-'[2]$ зима'!al1581-'[2]$ зима'!ak1581-'[2]$ зима'!aj1581-'[2]$ зима'!ah1581-'[2]$ зима'!ag1581-'[2]$ зима'!af1581-'[2]$ зима'!ae1581-'[2]$ зима'!ad1581-'[2]$ зима'!ab1581-'[2]$ зима'!aa1581-'[2]$ зима'!z1581-'[2]$ зима'!y1581-'[2]$ зима'!x1581-'[2]$ зима'!v1581-'[2]$ зима'!u1581-'[2]$ зима'!t1581-'[2]$ зима'!s1581-'[2]$ зима'!r1581-'[2]$ зима'!p1581-'[2]$ зима'!o1581-'[2]$ зима'!n1581-'[2]$ зима'!m1581-'[2]$ зима'!l1581+'[2]$ зима'!q1581+'[2]$ зима'!w1581+'[2]$ зима'!ac1581+'[2]$ зима'!ai1581+'[2]$ зима'!ao1581+'[2]$ зима'!k1581</f>
        <v>4</v>
      </c>
      <c r="I1581" s="191" t="n">
        <f aca="false">'[2]$ зима'!ay1581*1.1</f>
        <v>4158</v>
      </c>
    </row>
    <row r="1582" customFormat="false" ht="15" hidden="true" customHeight="false" outlineLevel="0" collapsed="false">
      <c r="A1582" s="188" t="s">
        <v>2339</v>
      </c>
      <c r="B1582" s="198" t="s">
        <v>593</v>
      </c>
      <c r="C1582" s="148" t="s">
        <v>3746</v>
      </c>
      <c r="D1582" s="202"/>
      <c r="E1582" s="202"/>
      <c r="F1582" s="202"/>
      <c r="G1582" s="203"/>
      <c r="H1582" s="105" t="n">
        <f aca="false">'[2]$ зима'!j1582-'[2]$ зима'!au1582-'[2]$ зима'!at1582-'[2]$ зима'!as1582-'[2]$ зима'!ar1582-'[2]$ зима'!aq1582-'[2]$ зима'!ap1582-'[2]$ зима'!an1582-'[2]$ зима'!am1582-'[2]$ зима'!al1582-'[2]$ зима'!ak1582-'[2]$ зима'!aj1582-'[2]$ зима'!ah1582-'[2]$ зима'!ag1582-'[2]$ зима'!af1582-'[2]$ зима'!ae1582-'[2]$ зима'!ad1582-'[2]$ зима'!ab1582-'[2]$ зима'!aa1582-'[2]$ зима'!z1582-'[2]$ зима'!y1582-'[2]$ зима'!x1582-'[2]$ зима'!v1582-'[2]$ зима'!u1582-'[2]$ зима'!t1582-'[2]$ зима'!s1582-'[2]$ зима'!r1582-'[2]$ зима'!p1582-'[2]$ зима'!o1582-'[2]$ зима'!n1582-'[2]$ зима'!m1582-'[2]$ зима'!l1582+'[2]$ зима'!q1582+'[2]$ зима'!w1582+'[2]$ зима'!ac1582+'[2]$ зима'!ai1582+'[2]$ зима'!ao1582+'[2]$ зима'!k1582</f>
        <v>0</v>
      </c>
      <c r="I1582" s="191" t="n">
        <f aca="false">'[2]$ зима'!ay1582*1.1</f>
        <v>7392</v>
      </c>
    </row>
    <row r="1583" customFormat="false" ht="15" hidden="true" customHeight="false" outlineLevel="0" collapsed="false">
      <c r="A1583" s="188" t="s">
        <v>2339</v>
      </c>
      <c r="B1583" s="198" t="s">
        <v>564</v>
      </c>
      <c r="C1583" s="148" t="s">
        <v>3870</v>
      </c>
      <c r="D1583" s="202"/>
      <c r="E1583" s="202"/>
      <c r="F1583" s="202"/>
      <c r="G1583" s="203"/>
      <c r="H1583" s="105" t="n">
        <f aca="false">'[2]$ зима'!j1583-'[2]$ зима'!au1583-'[2]$ зима'!at1583-'[2]$ зима'!as1583-'[2]$ зима'!ar1583-'[2]$ зима'!aq1583-'[2]$ зима'!ap1583-'[2]$ зима'!an1583-'[2]$ зима'!am1583-'[2]$ зима'!al1583-'[2]$ зима'!ak1583-'[2]$ зима'!aj1583-'[2]$ зима'!ah1583-'[2]$ зима'!ag1583-'[2]$ зима'!af1583-'[2]$ зима'!ae1583-'[2]$ зима'!ad1583-'[2]$ зима'!ab1583-'[2]$ зима'!aa1583-'[2]$ зима'!z1583-'[2]$ зима'!y1583-'[2]$ зима'!x1583-'[2]$ зима'!v1583-'[2]$ зима'!u1583-'[2]$ зима'!t1583-'[2]$ зима'!s1583-'[2]$ зима'!r1583-'[2]$ зима'!p1583-'[2]$ зима'!o1583-'[2]$ зима'!n1583-'[2]$ зима'!m1583-'[2]$ зима'!l1583+'[2]$ зима'!q1583+'[2]$ зима'!w1583+'[2]$ зима'!ac1583+'[2]$ зима'!ai1583+'[2]$ зима'!ao1583+'[2]$ зима'!k1583</f>
        <v>0</v>
      </c>
      <c r="I1583" s="191" t="n">
        <f aca="false">'[2]$ зима'!ay1583*1.1</f>
        <v>2772</v>
      </c>
      <c r="J1583" s="171" t="n">
        <v>2017</v>
      </c>
    </row>
    <row r="1584" customFormat="false" ht="15" hidden="true" customHeight="false" outlineLevel="0" collapsed="false">
      <c r="A1584" s="188" t="s">
        <v>2356</v>
      </c>
      <c r="B1584" s="198" t="s">
        <v>601</v>
      </c>
      <c r="C1584" s="148" t="s">
        <v>3482</v>
      </c>
      <c r="D1584" s="202"/>
      <c r="E1584" s="202"/>
      <c r="F1584" s="202"/>
      <c r="G1584" s="203"/>
      <c r="H1584" s="105" t="n">
        <f aca="false">'[2]$ зима'!j1584-'[2]$ зима'!au1584-'[2]$ зима'!at1584-'[2]$ зима'!as1584-'[2]$ зима'!ar1584-'[2]$ зима'!aq1584-'[2]$ зима'!ap1584-'[2]$ зима'!an1584-'[2]$ зима'!am1584-'[2]$ зима'!al1584-'[2]$ зима'!ak1584-'[2]$ зима'!aj1584-'[2]$ зима'!ah1584-'[2]$ зима'!ag1584-'[2]$ зима'!af1584-'[2]$ зима'!ae1584-'[2]$ зима'!ad1584-'[2]$ зима'!ab1584-'[2]$ зима'!aa1584-'[2]$ зима'!z1584-'[2]$ зима'!y1584-'[2]$ зима'!x1584-'[2]$ зима'!v1584-'[2]$ зима'!u1584-'[2]$ зима'!t1584-'[2]$ зима'!s1584-'[2]$ зима'!r1584-'[2]$ зима'!p1584-'[2]$ зима'!o1584-'[2]$ зима'!n1584-'[2]$ зима'!m1584-'[2]$ зима'!l1584+'[2]$ зима'!q1584+'[2]$ зима'!w1584+'[2]$ зима'!ac1584+'[2]$ зима'!ai1584+'[2]$ зима'!ao1584+'[2]$ зима'!k1584</f>
        <v>0</v>
      </c>
      <c r="I1584" s="191" t="n">
        <f aca="false">'[2]$ зима'!ay1584*1.1</f>
        <v>6622</v>
      </c>
    </row>
    <row r="1585" customFormat="false" ht="15" hidden="true" customHeight="false" outlineLevel="0" collapsed="false">
      <c r="A1585" s="188" t="s">
        <v>2356</v>
      </c>
      <c r="B1585" s="198" t="s">
        <v>557</v>
      </c>
      <c r="C1585" s="148" t="s">
        <v>3871</v>
      </c>
      <c r="D1585" s="202"/>
      <c r="E1585" s="202"/>
      <c r="F1585" s="202"/>
      <c r="G1585" s="203"/>
      <c r="H1585" s="105" t="n">
        <f aca="false">'[2]$ зима'!j1585-'[2]$ зима'!au1585-'[2]$ зима'!at1585-'[2]$ зима'!as1585-'[2]$ зима'!ar1585-'[2]$ зима'!aq1585-'[2]$ зима'!ap1585-'[2]$ зима'!an1585-'[2]$ зима'!am1585-'[2]$ зима'!al1585-'[2]$ зима'!ak1585-'[2]$ зима'!aj1585-'[2]$ зима'!ah1585-'[2]$ зима'!ag1585-'[2]$ зима'!af1585-'[2]$ зима'!ae1585-'[2]$ зима'!ad1585-'[2]$ зима'!ab1585-'[2]$ зима'!aa1585-'[2]$ зима'!z1585-'[2]$ зима'!y1585-'[2]$ зима'!x1585-'[2]$ зима'!v1585-'[2]$ зима'!u1585-'[2]$ зима'!t1585-'[2]$ зима'!s1585-'[2]$ зима'!r1585-'[2]$ зима'!p1585-'[2]$ зима'!o1585-'[2]$ зима'!n1585-'[2]$ зима'!m1585-'[2]$ зима'!l1585+'[2]$ зима'!q1585+'[2]$ зима'!w1585+'[2]$ зима'!ac1585+'[2]$ зима'!ai1585+'[2]$ зима'!ao1585+'[2]$ зима'!k1585</f>
        <v>0</v>
      </c>
      <c r="I1585" s="191" t="n">
        <f aca="false">'[2]$ зима'!ay1585*1.1</f>
        <v>4466</v>
      </c>
    </row>
    <row r="1586" customFormat="false" ht="15" hidden="true" customHeight="false" outlineLevel="0" collapsed="false">
      <c r="A1586" s="188" t="s">
        <v>2356</v>
      </c>
      <c r="B1586" s="198" t="s">
        <v>606</v>
      </c>
      <c r="C1586" s="148" t="s">
        <v>3715</v>
      </c>
      <c r="D1586" s="202"/>
      <c r="E1586" s="211" t="n">
        <v>117</v>
      </c>
      <c r="F1586" s="211" t="s">
        <v>562</v>
      </c>
      <c r="G1586" s="203"/>
      <c r="H1586" s="105" t="n">
        <f aca="false">'[2]$ зима'!j1586-'[2]$ зима'!au1586-'[2]$ зима'!at1586-'[2]$ зима'!as1586-'[2]$ зима'!ar1586-'[2]$ зима'!aq1586-'[2]$ зима'!ap1586-'[2]$ зима'!an1586-'[2]$ зима'!am1586-'[2]$ зима'!al1586-'[2]$ зима'!ak1586-'[2]$ зима'!aj1586-'[2]$ зима'!ah1586-'[2]$ зима'!ag1586-'[2]$ зима'!af1586-'[2]$ зима'!ae1586-'[2]$ зима'!ad1586-'[2]$ зима'!ab1586-'[2]$ зима'!aa1586-'[2]$ зима'!z1586-'[2]$ зима'!y1586-'[2]$ зима'!x1586-'[2]$ зима'!v1586-'[2]$ зима'!u1586-'[2]$ зима'!t1586-'[2]$ зима'!s1586-'[2]$ зима'!r1586-'[2]$ зима'!p1586-'[2]$ зима'!o1586-'[2]$ зима'!n1586-'[2]$ зима'!m1586-'[2]$ зима'!l1586+'[2]$ зима'!q1586+'[2]$ зима'!w1586+'[2]$ зима'!ac1586+'[2]$ зима'!ai1586+'[2]$ зима'!ao1586+'[2]$ зима'!k1586</f>
        <v>0</v>
      </c>
      <c r="I1586" s="191" t="n">
        <f aca="false">'[2]$ зима'!ay1586*1.1</f>
        <v>4527.6</v>
      </c>
      <c r="J1586" s="171" t="n">
        <v>2017</v>
      </c>
    </row>
    <row r="1587" customFormat="false" ht="15" hidden="false" customHeight="false" outlineLevel="0" collapsed="false">
      <c r="A1587" s="188" t="s">
        <v>2356</v>
      </c>
      <c r="B1587" s="198" t="s">
        <v>606</v>
      </c>
      <c r="C1587" s="148" t="s">
        <v>3386</v>
      </c>
      <c r="D1587" s="202"/>
      <c r="E1587" s="211" t="n">
        <v>111</v>
      </c>
      <c r="F1587" s="211" t="s">
        <v>562</v>
      </c>
      <c r="G1587" s="203" t="s">
        <v>857</v>
      </c>
      <c r="H1587" s="105" t="n">
        <f aca="false">'[2]$ зима'!j1587-'[2]$ зима'!au1587-'[2]$ зима'!at1587-'[2]$ зима'!as1587-'[2]$ зима'!ar1587-'[2]$ зима'!aq1587-'[2]$ зима'!ap1587-'[2]$ зима'!an1587-'[2]$ зима'!am1587-'[2]$ зима'!al1587-'[2]$ зима'!ak1587-'[2]$ зима'!aj1587-'[2]$ зима'!ah1587-'[2]$ зима'!ag1587-'[2]$ зима'!af1587-'[2]$ зима'!ae1587-'[2]$ зима'!ad1587-'[2]$ зима'!ab1587-'[2]$ зима'!aa1587-'[2]$ зима'!z1587-'[2]$ зима'!y1587-'[2]$ зима'!x1587-'[2]$ зима'!v1587-'[2]$ зима'!u1587-'[2]$ зима'!t1587-'[2]$ зима'!s1587-'[2]$ зима'!r1587-'[2]$ зима'!p1587-'[2]$ зима'!o1587-'[2]$ зима'!n1587-'[2]$ зима'!m1587-'[2]$ зима'!l1587+'[2]$ зима'!q1587+'[2]$ зима'!w1587+'[2]$ зима'!ac1587+'[2]$ зима'!ai1587+'[2]$ зима'!ao1587+'[2]$ зима'!k1587</f>
        <v>4</v>
      </c>
      <c r="I1587" s="191" t="n">
        <f aca="false">'[2]$ зима'!ay1587*1.1</f>
        <v>4404.4</v>
      </c>
      <c r="J1587" s="171" t="n">
        <v>2018</v>
      </c>
    </row>
    <row r="1588" customFormat="false" ht="15" hidden="true" customHeight="false" outlineLevel="0" collapsed="false">
      <c r="A1588" s="188" t="s">
        <v>2356</v>
      </c>
      <c r="B1588" s="198" t="s">
        <v>593</v>
      </c>
      <c r="C1588" s="148" t="s">
        <v>3872</v>
      </c>
      <c r="D1588" s="202"/>
      <c r="E1588" s="202" t="n">
        <v>113</v>
      </c>
      <c r="F1588" s="202" t="s">
        <v>562</v>
      </c>
      <c r="G1588" s="203" t="s">
        <v>2382</v>
      </c>
      <c r="H1588" s="105" t="n">
        <f aca="false">'[2]$ зима'!j1588-'[2]$ зима'!au1588-'[2]$ зима'!at1588-'[2]$ зима'!as1588-'[2]$ зима'!ar1588-'[2]$ зима'!aq1588-'[2]$ зима'!ap1588-'[2]$ зима'!an1588-'[2]$ зима'!am1588-'[2]$ зима'!al1588-'[2]$ зима'!ak1588-'[2]$ зима'!aj1588-'[2]$ зима'!ah1588-'[2]$ зима'!ag1588-'[2]$ зима'!af1588-'[2]$ зима'!ae1588-'[2]$ зима'!ad1588-'[2]$ зима'!ab1588-'[2]$ зима'!aa1588-'[2]$ зима'!z1588-'[2]$ зима'!y1588-'[2]$ зима'!x1588-'[2]$ зима'!v1588-'[2]$ зима'!u1588-'[2]$ зима'!t1588-'[2]$ зима'!s1588-'[2]$ зима'!r1588-'[2]$ зима'!p1588-'[2]$ зима'!o1588-'[2]$ зима'!n1588-'[2]$ зима'!m1588-'[2]$ зима'!l1588+'[2]$ зима'!q1588+'[2]$ зима'!w1588+'[2]$ зима'!ac1588+'[2]$ зима'!ai1588+'[2]$ зима'!ao1588+'[2]$ зима'!k1588</f>
        <v>0</v>
      </c>
      <c r="I1588" s="191" t="n">
        <f aca="false">'[2]$ зима'!ay1588*1.1</f>
        <v>5698</v>
      </c>
      <c r="J1588" s="171" t="n">
        <v>2016</v>
      </c>
    </row>
    <row r="1589" customFormat="false" ht="15" hidden="true" customHeight="false" outlineLevel="0" collapsed="false">
      <c r="A1589" s="188" t="s">
        <v>2356</v>
      </c>
      <c r="B1589" s="198" t="s">
        <v>677</v>
      </c>
      <c r="C1589" s="148" t="s">
        <v>3783</v>
      </c>
      <c r="D1589" s="148" t="s">
        <v>3127</v>
      </c>
      <c r="E1589" s="202"/>
      <c r="F1589" s="202"/>
      <c r="G1589" s="203"/>
      <c r="H1589" s="105" t="n">
        <f aca="false">'[2]$ зима'!j1589-'[2]$ зима'!au1589-'[2]$ зима'!at1589-'[2]$ зима'!as1589-'[2]$ зима'!ar1589-'[2]$ зима'!aq1589-'[2]$ зима'!ap1589-'[2]$ зима'!an1589-'[2]$ зима'!am1589-'[2]$ зима'!al1589-'[2]$ зима'!ak1589-'[2]$ зима'!aj1589-'[2]$ зима'!ah1589-'[2]$ зима'!ag1589-'[2]$ зима'!af1589-'[2]$ зима'!ae1589-'[2]$ зима'!ad1589-'[2]$ зима'!ab1589-'[2]$ зима'!aa1589-'[2]$ зима'!z1589-'[2]$ зима'!y1589-'[2]$ зима'!x1589-'[2]$ зима'!v1589-'[2]$ зима'!u1589-'[2]$ зима'!t1589-'[2]$ зима'!s1589-'[2]$ зима'!r1589-'[2]$ зима'!p1589-'[2]$ зима'!o1589-'[2]$ зима'!n1589-'[2]$ зима'!m1589-'[2]$ зима'!l1589+'[2]$ зима'!q1589+'[2]$ зима'!w1589+'[2]$ зима'!ac1589+'[2]$ зима'!ai1589+'[2]$ зима'!ao1589+'[2]$ зима'!k1589</f>
        <v>0</v>
      </c>
      <c r="I1589" s="191" t="n">
        <f aca="false">'[2]$ зима'!ay1589*1.1</f>
        <v>3080</v>
      </c>
    </row>
    <row r="1590" customFormat="false" ht="15" hidden="true" customHeight="false" outlineLevel="0" collapsed="false">
      <c r="A1590" s="188" t="s">
        <v>2356</v>
      </c>
      <c r="B1590" s="198" t="s">
        <v>564</v>
      </c>
      <c r="C1590" s="148" t="s">
        <v>3873</v>
      </c>
      <c r="D1590" s="202"/>
      <c r="E1590" s="202"/>
      <c r="F1590" s="202"/>
      <c r="G1590" s="203"/>
      <c r="H1590" s="105" t="n">
        <f aca="false">'[2]$ зима'!j1590-'[2]$ зима'!au1590-'[2]$ зима'!at1590-'[2]$ зима'!as1590-'[2]$ зима'!ar1590-'[2]$ зима'!aq1590-'[2]$ зима'!ap1590-'[2]$ зима'!an1590-'[2]$ зима'!am1590-'[2]$ зима'!al1590-'[2]$ зима'!ak1590-'[2]$ зима'!aj1590-'[2]$ зима'!ah1590-'[2]$ зима'!ag1590-'[2]$ зима'!af1590-'[2]$ зима'!ae1590-'[2]$ зима'!ad1590-'[2]$ зима'!ab1590-'[2]$ зима'!aa1590-'[2]$ зима'!z1590-'[2]$ зима'!y1590-'[2]$ зима'!x1590-'[2]$ зима'!v1590-'[2]$ зима'!u1590-'[2]$ зима'!t1590-'[2]$ зима'!s1590-'[2]$ зима'!r1590-'[2]$ зима'!p1590-'[2]$ зима'!o1590-'[2]$ зима'!n1590-'[2]$ зима'!m1590-'[2]$ зима'!l1590+'[2]$ зима'!q1590+'[2]$ зима'!w1590+'[2]$ зима'!ac1590+'[2]$ зима'!ai1590+'[2]$ зима'!ao1590+'[2]$ зима'!k1590</f>
        <v>0</v>
      </c>
      <c r="I1590" s="191" t="n">
        <f aca="false">'[2]$ зима'!ay1590*1.1</f>
        <v>2772</v>
      </c>
    </row>
    <row r="1591" customFormat="false" ht="15" hidden="false" customHeight="false" outlineLevel="0" collapsed="false">
      <c r="A1591" s="188" t="s">
        <v>2356</v>
      </c>
      <c r="B1591" s="149" t="s">
        <v>589</v>
      </c>
      <c r="C1591" s="148" t="s">
        <v>3224</v>
      </c>
      <c r="D1591" s="148"/>
      <c r="E1591" s="192" t="n">
        <v>117</v>
      </c>
      <c r="F1591" s="192" t="s">
        <v>562</v>
      </c>
      <c r="G1591" s="193" t="s">
        <v>626</v>
      </c>
      <c r="H1591" s="105" t="n">
        <f aca="false">'[2]$ зима'!j1591-'[2]$ зима'!au1591-'[2]$ зима'!at1591-'[2]$ зима'!as1591-'[2]$ зима'!ar1591-'[2]$ зима'!aq1591-'[2]$ зима'!ap1591-'[2]$ зима'!an1591-'[2]$ зима'!am1591-'[2]$ зима'!al1591-'[2]$ зима'!ak1591-'[2]$ зима'!aj1591-'[2]$ зима'!ah1591-'[2]$ зима'!ag1591-'[2]$ зима'!af1591-'[2]$ зима'!ae1591-'[2]$ зима'!ad1591-'[2]$ зима'!ab1591-'[2]$ зима'!aa1591-'[2]$ зима'!z1591-'[2]$ зима'!y1591-'[2]$ зима'!x1591-'[2]$ зима'!v1591-'[2]$ зима'!u1591-'[2]$ зима'!t1591-'[2]$ зима'!s1591-'[2]$ зима'!r1591-'[2]$ зима'!p1591-'[2]$ зима'!o1591-'[2]$ зима'!n1591-'[2]$ зима'!m1591-'[2]$ зима'!l1591+'[2]$ зима'!q1591+'[2]$ зима'!w1591+'[2]$ зима'!ac1591+'[2]$ зима'!ai1591+'[2]$ зима'!ao1591+'[2]$ зима'!k1591</f>
        <v>2</v>
      </c>
      <c r="I1591" s="191" t="n">
        <f aca="false">'[2]$ зима'!ay1591*1.1</f>
        <v>5779.4</v>
      </c>
      <c r="J1591" s="171" t="n">
        <v>2017</v>
      </c>
    </row>
    <row r="1592" customFormat="false" ht="15" hidden="false" customHeight="false" outlineLevel="0" collapsed="false">
      <c r="A1592" s="188" t="s">
        <v>2356</v>
      </c>
      <c r="B1592" s="149" t="s">
        <v>589</v>
      </c>
      <c r="C1592" s="148" t="s">
        <v>3209</v>
      </c>
      <c r="D1592" s="148"/>
      <c r="E1592" s="192" t="n">
        <v>113</v>
      </c>
      <c r="F1592" s="192" t="s">
        <v>3207</v>
      </c>
      <c r="G1592" s="193" t="s">
        <v>626</v>
      </c>
      <c r="H1592" s="105" t="n">
        <f aca="false">'[2]$ зима'!j1592-'[2]$ зима'!au1592-'[2]$ зима'!at1592-'[2]$ зима'!as1592-'[2]$ зима'!ar1592-'[2]$ зима'!aq1592-'[2]$ зима'!ap1592-'[2]$ зима'!an1592-'[2]$ зима'!am1592-'[2]$ зима'!al1592-'[2]$ зима'!ak1592-'[2]$ зима'!aj1592-'[2]$ зима'!ah1592-'[2]$ зима'!ag1592-'[2]$ зима'!af1592-'[2]$ зима'!ae1592-'[2]$ зима'!ad1592-'[2]$ зима'!ab1592-'[2]$ зима'!aa1592-'[2]$ зима'!z1592-'[2]$ зима'!y1592-'[2]$ зима'!x1592-'[2]$ зима'!v1592-'[2]$ зима'!u1592-'[2]$ зима'!t1592-'[2]$ зима'!s1592-'[2]$ зима'!r1592-'[2]$ зима'!p1592-'[2]$ зима'!o1592-'[2]$ зима'!n1592-'[2]$ зима'!m1592-'[2]$ зима'!l1592+'[2]$ зима'!q1592+'[2]$ зима'!w1592+'[2]$ зима'!ac1592+'[2]$ зима'!ai1592+'[2]$ зима'!ao1592+'[2]$ зима'!k1592</f>
        <v>4</v>
      </c>
      <c r="I1592" s="191" t="n">
        <f aca="false">'[2]$ зима'!ay1592*1.1</f>
        <v>5841.88</v>
      </c>
      <c r="J1592" s="171" t="n">
        <v>2017</v>
      </c>
    </row>
    <row r="1593" customFormat="false" ht="15" hidden="false" customHeight="false" outlineLevel="0" collapsed="false">
      <c r="A1593" s="188" t="s">
        <v>2356</v>
      </c>
      <c r="B1593" s="149" t="s">
        <v>589</v>
      </c>
      <c r="C1593" s="148" t="s">
        <v>3209</v>
      </c>
      <c r="D1593" s="148"/>
      <c r="E1593" s="192" t="n">
        <v>113</v>
      </c>
      <c r="F1593" s="192" t="s">
        <v>3207</v>
      </c>
      <c r="G1593" s="193" t="s">
        <v>626</v>
      </c>
      <c r="H1593" s="105" t="n">
        <f aca="false">'[2]$ зима'!j1593-'[2]$ зима'!au1593-'[2]$ зима'!at1593-'[2]$ зима'!as1593-'[2]$ зима'!ar1593-'[2]$ зима'!aq1593-'[2]$ зима'!ap1593-'[2]$ зима'!an1593-'[2]$ зима'!am1593-'[2]$ зима'!al1593-'[2]$ зима'!ak1593-'[2]$ зима'!aj1593-'[2]$ зима'!ah1593-'[2]$ зима'!ag1593-'[2]$ зима'!af1593-'[2]$ зима'!ae1593-'[2]$ зима'!ad1593-'[2]$ зима'!ab1593-'[2]$ зима'!aa1593-'[2]$ зима'!z1593-'[2]$ зима'!y1593-'[2]$ зима'!x1593-'[2]$ зима'!v1593-'[2]$ зима'!u1593-'[2]$ зима'!t1593-'[2]$ зима'!s1593-'[2]$ зима'!r1593-'[2]$ зима'!p1593-'[2]$ зима'!o1593-'[2]$ зима'!n1593-'[2]$ зима'!m1593-'[2]$ зима'!l1593+'[2]$ зима'!q1593+'[2]$ зима'!w1593+'[2]$ зима'!ac1593+'[2]$ зима'!ai1593+'[2]$ зима'!ao1593+'[2]$ зима'!k1593</f>
        <v>8</v>
      </c>
      <c r="I1593" s="191" t="n">
        <f aca="false">'[2]$ зима'!ay1593*1.1</f>
        <v>6123.04</v>
      </c>
      <c r="J1593" s="171" t="n">
        <v>2018</v>
      </c>
    </row>
    <row r="1594" customFormat="false" ht="15" hidden="true" customHeight="false" outlineLevel="0" collapsed="false">
      <c r="A1594" s="188" t="s">
        <v>2367</v>
      </c>
      <c r="B1594" s="198" t="s">
        <v>601</v>
      </c>
      <c r="C1594" s="148" t="s">
        <v>3482</v>
      </c>
      <c r="D1594" s="202"/>
      <c r="E1594" s="202"/>
      <c r="F1594" s="202"/>
      <c r="G1594" s="203"/>
      <c r="H1594" s="105" t="n">
        <f aca="false">'[2]$ зима'!j1594-'[2]$ зима'!au1594-'[2]$ зима'!at1594-'[2]$ зима'!as1594-'[2]$ зима'!ar1594-'[2]$ зима'!aq1594-'[2]$ зима'!ap1594-'[2]$ зима'!an1594-'[2]$ зима'!am1594-'[2]$ зима'!al1594-'[2]$ зима'!ak1594-'[2]$ зима'!aj1594-'[2]$ зима'!ah1594-'[2]$ зима'!ag1594-'[2]$ зима'!af1594-'[2]$ зима'!ae1594-'[2]$ зима'!ad1594-'[2]$ зима'!ab1594-'[2]$ зима'!aa1594-'[2]$ зима'!z1594-'[2]$ зима'!y1594-'[2]$ зима'!x1594-'[2]$ зима'!v1594-'[2]$ зима'!u1594-'[2]$ зима'!t1594-'[2]$ зима'!s1594-'[2]$ зима'!r1594-'[2]$ зима'!p1594-'[2]$ зима'!o1594-'[2]$ зима'!n1594-'[2]$ зима'!m1594-'[2]$ зима'!l1594+'[2]$ зима'!q1594+'[2]$ зима'!w1594+'[2]$ зима'!ac1594+'[2]$ зима'!ai1594+'[2]$ зима'!ao1594+'[2]$ зима'!k1594</f>
        <v>0</v>
      </c>
      <c r="I1594" s="191" t="n">
        <f aca="false">'[2]$ зима'!ay1594*1.1</f>
        <v>6468</v>
      </c>
    </row>
    <row r="1595" customFormat="false" ht="15" hidden="false" customHeight="false" outlineLevel="0" collapsed="false">
      <c r="A1595" s="188" t="s">
        <v>2367</v>
      </c>
      <c r="B1595" s="198" t="s">
        <v>606</v>
      </c>
      <c r="C1595" s="148" t="s">
        <v>3715</v>
      </c>
      <c r="D1595" s="202"/>
      <c r="E1595" s="211" t="n">
        <v>115</v>
      </c>
      <c r="F1595" s="211" t="s">
        <v>562</v>
      </c>
      <c r="G1595" s="203" t="s">
        <v>857</v>
      </c>
      <c r="H1595" s="105" t="n">
        <f aca="false">'[2]$ зима'!j1595-'[2]$ зима'!au1595-'[2]$ зима'!at1595-'[2]$ зима'!as1595-'[2]$ зима'!ar1595-'[2]$ зима'!aq1595-'[2]$ зима'!ap1595-'[2]$ зима'!an1595-'[2]$ зима'!am1595-'[2]$ зима'!al1595-'[2]$ зима'!ak1595-'[2]$ зима'!aj1595-'[2]$ зима'!ah1595-'[2]$ зима'!ag1595-'[2]$ зима'!af1595-'[2]$ зима'!ae1595-'[2]$ зима'!ad1595-'[2]$ зима'!ab1595-'[2]$ зима'!aa1595-'[2]$ зима'!z1595-'[2]$ зима'!y1595-'[2]$ зима'!x1595-'[2]$ зима'!v1595-'[2]$ зима'!u1595-'[2]$ зима'!t1595-'[2]$ зима'!s1595-'[2]$ зима'!r1595-'[2]$ зима'!p1595-'[2]$ зима'!o1595-'[2]$ зима'!n1595-'[2]$ зима'!m1595-'[2]$ зима'!l1595+'[2]$ зима'!q1595+'[2]$ зима'!w1595+'[2]$ зима'!ac1595+'[2]$ зима'!ai1595+'[2]$ зима'!ao1595+'[2]$ зима'!k1595</f>
        <v>4</v>
      </c>
      <c r="I1595" s="191" t="n">
        <f aca="false">'[2]$ зима'!ay1595*1.1</f>
        <v>4620</v>
      </c>
      <c r="J1595" s="171" t="n">
        <v>2018</v>
      </c>
    </row>
    <row r="1596" customFormat="false" ht="15" hidden="true" customHeight="false" outlineLevel="0" collapsed="false">
      <c r="A1596" s="188" t="s">
        <v>2367</v>
      </c>
      <c r="B1596" s="198" t="s">
        <v>606</v>
      </c>
      <c r="C1596" s="148" t="s">
        <v>3552</v>
      </c>
      <c r="D1596" s="202"/>
      <c r="E1596" s="202" t="n">
        <v>114</v>
      </c>
      <c r="F1596" s="202" t="s">
        <v>562</v>
      </c>
      <c r="G1596" s="203" t="s">
        <v>857</v>
      </c>
      <c r="H1596" s="105" t="n">
        <f aca="false">'[2]$ зима'!j1596-'[2]$ зима'!au1596-'[2]$ зима'!at1596-'[2]$ зима'!as1596-'[2]$ зима'!ar1596-'[2]$ зима'!aq1596-'[2]$ зима'!ap1596-'[2]$ зима'!an1596-'[2]$ зима'!am1596-'[2]$ зима'!al1596-'[2]$ зима'!ak1596-'[2]$ зима'!aj1596-'[2]$ зима'!ah1596-'[2]$ зима'!ag1596-'[2]$ зима'!af1596-'[2]$ зима'!ae1596-'[2]$ зима'!ad1596-'[2]$ зима'!ab1596-'[2]$ зима'!aa1596-'[2]$ зима'!z1596-'[2]$ зима'!y1596-'[2]$ зима'!x1596-'[2]$ зима'!v1596-'[2]$ зима'!u1596-'[2]$ зима'!t1596-'[2]$ зима'!s1596-'[2]$ зима'!r1596-'[2]$ зима'!p1596-'[2]$ зима'!o1596-'[2]$ зима'!n1596-'[2]$ зима'!m1596-'[2]$ зима'!l1596+'[2]$ зима'!q1596+'[2]$ зима'!w1596+'[2]$ зима'!ac1596+'[2]$ зима'!ai1596+'[2]$ зима'!ao1596+'[2]$ зима'!k1596</f>
        <v>0</v>
      </c>
      <c r="I1596" s="191" t="n">
        <f aca="false">'[2]$ зима'!ay1596*1.1</f>
        <v>4158</v>
      </c>
      <c r="J1596" s="171" t="n">
        <v>2017</v>
      </c>
    </row>
    <row r="1597" customFormat="false" ht="15" hidden="false" customHeight="false" outlineLevel="0" collapsed="false">
      <c r="A1597" s="188" t="s">
        <v>2367</v>
      </c>
      <c r="B1597" s="198" t="s">
        <v>677</v>
      </c>
      <c r="C1597" s="148" t="s">
        <v>3535</v>
      </c>
      <c r="D1597" s="148" t="s">
        <v>3127</v>
      </c>
      <c r="E1597" s="211"/>
      <c r="F1597" s="211"/>
      <c r="G1597" s="203"/>
      <c r="H1597" s="105" t="n">
        <f aca="false">'[2]$ зима'!j1597-'[2]$ зима'!au1597-'[2]$ зима'!at1597-'[2]$ зима'!as1597-'[2]$ зима'!ar1597-'[2]$ зима'!aq1597-'[2]$ зима'!ap1597-'[2]$ зима'!an1597-'[2]$ зима'!am1597-'[2]$ зима'!al1597-'[2]$ зима'!ak1597-'[2]$ зима'!aj1597-'[2]$ зима'!ah1597-'[2]$ зима'!ag1597-'[2]$ зима'!af1597-'[2]$ зима'!ae1597-'[2]$ зима'!ad1597-'[2]$ зима'!ab1597-'[2]$ зима'!aa1597-'[2]$ зима'!z1597-'[2]$ зима'!y1597-'[2]$ зима'!x1597-'[2]$ зима'!v1597-'[2]$ зима'!u1597-'[2]$ зима'!t1597-'[2]$ зима'!s1597-'[2]$ зима'!r1597-'[2]$ зима'!p1597-'[2]$ зима'!o1597-'[2]$ зима'!n1597-'[2]$ зима'!m1597-'[2]$ зима'!l1597+'[2]$ зима'!q1597+'[2]$ зима'!w1597+'[2]$ зима'!ac1597+'[2]$ зима'!ai1597+'[2]$ зима'!ao1597+'[2]$ зима'!k1597</f>
        <v>4</v>
      </c>
      <c r="I1597" s="191" t="n">
        <f aca="false">'[2]$ зима'!ay1597*1.1</f>
        <v>4004</v>
      </c>
    </row>
    <row r="1598" customFormat="false" ht="15" hidden="false" customHeight="false" outlineLevel="0" collapsed="false">
      <c r="A1598" s="188" t="s">
        <v>2367</v>
      </c>
      <c r="B1598" s="198" t="s">
        <v>589</v>
      </c>
      <c r="C1598" s="148" t="s">
        <v>3209</v>
      </c>
      <c r="D1598" s="148"/>
      <c r="E1598" s="192" t="n">
        <v>114</v>
      </c>
      <c r="F1598" s="192" t="s">
        <v>3207</v>
      </c>
      <c r="G1598" s="193" t="s">
        <v>626</v>
      </c>
      <c r="H1598" s="105" t="n">
        <f aca="false">'[2]$ зима'!j1598-'[2]$ зима'!au1598-'[2]$ зима'!at1598-'[2]$ зима'!as1598-'[2]$ зима'!ar1598-'[2]$ зима'!aq1598-'[2]$ зима'!ap1598-'[2]$ зима'!an1598-'[2]$ зима'!am1598-'[2]$ зима'!al1598-'[2]$ зима'!ak1598-'[2]$ зима'!aj1598-'[2]$ зима'!ah1598-'[2]$ зима'!ag1598-'[2]$ зима'!af1598-'[2]$ зима'!ae1598-'[2]$ зима'!ad1598-'[2]$ зима'!ab1598-'[2]$ зима'!aa1598-'[2]$ зима'!z1598-'[2]$ зима'!y1598-'[2]$ зима'!x1598-'[2]$ зима'!v1598-'[2]$ зима'!u1598-'[2]$ зима'!t1598-'[2]$ зима'!s1598-'[2]$ зима'!r1598-'[2]$ зима'!p1598-'[2]$ зима'!o1598-'[2]$ зима'!n1598-'[2]$ зима'!m1598-'[2]$ зима'!l1598+'[2]$ зима'!q1598+'[2]$ зима'!w1598+'[2]$ зима'!ac1598+'[2]$ зима'!ai1598+'[2]$ зима'!ao1598+'[2]$ зима'!k1598</f>
        <v>4</v>
      </c>
      <c r="I1598" s="191" t="n">
        <f aca="false">'[2]$ зима'!ay1598*1.1</f>
        <v>6029.32</v>
      </c>
      <c r="J1598" s="171" t="n">
        <v>2018</v>
      </c>
    </row>
    <row r="1599" customFormat="false" ht="15" hidden="false" customHeight="false" outlineLevel="0" collapsed="false">
      <c r="A1599" s="188" t="s">
        <v>2367</v>
      </c>
      <c r="B1599" s="198" t="s">
        <v>1028</v>
      </c>
      <c r="C1599" s="148" t="s">
        <v>3874</v>
      </c>
      <c r="D1599" s="148" t="s">
        <v>3147</v>
      </c>
      <c r="E1599" s="211" t="n">
        <v>115</v>
      </c>
      <c r="F1599" s="211" t="s">
        <v>562</v>
      </c>
      <c r="G1599" s="203" t="s">
        <v>626</v>
      </c>
      <c r="H1599" s="105" t="n">
        <f aca="false">'[2]$ зима'!j1599-'[2]$ зима'!au1599-'[2]$ зима'!at1599-'[2]$ зима'!as1599-'[2]$ зима'!ar1599-'[2]$ зима'!aq1599-'[2]$ зима'!ap1599-'[2]$ зима'!an1599-'[2]$ зима'!am1599-'[2]$ зима'!al1599-'[2]$ зима'!ak1599-'[2]$ зима'!aj1599-'[2]$ зима'!ah1599-'[2]$ зима'!ag1599-'[2]$ зима'!af1599-'[2]$ зима'!ae1599-'[2]$ зима'!ad1599-'[2]$ зима'!ab1599-'[2]$ зима'!aa1599-'[2]$ зима'!z1599-'[2]$ зима'!y1599-'[2]$ зима'!x1599-'[2]$ зима'!v1599-'[2]$ зима'!u1599-'[2]$ зима'!t1599-'[2]$ зима'!s1599-'[2]$ зима'!r1599-'[2]$ зима'!p1599-'[2]$ зима'!o1599-'[2]$ зима'!n1599-'[2]$ зима'!m1599-'[2]$ зима'!l1599+'[2]$ зима'!q1599+'[2]$ зима'!w1599+'[2]$ зима'!ac1599+'[2]$ зима'!ai1599+'[2]$ зима'!ao1599+'[2]$ зима'!k1599</f>
        <v>4</v>
      </c>
      <c r="I1599" s="191" t="n">
        <f aca="false">'[2]$ зима'!ay1599*1.1</f>
        <v>5544</v>
      </c>
      <c r="J1599" s="171" t="n">
        <v>2017</v>
      </c>
    </row>
    <row r="1600" customFormat="false" ht="15" hidden="true" customHeight="false" outlineLevel="0" collapsed="false">
      <c r="A1600" s="188" t="s">
        <v>2375</v>
      </c>
      <c r="B1600" s="198" t="s">
        <v>601</v>
      </c>
      <c r="C1600" s="148" t="s">
        <v>3481</v>
      </c>
      <c r="D1600" s="202"/>
      <c r="E1600" s="202"/>
      <c r="F1600" s="202"/>
      <c r="G1600" s="203"/>
      <c r="H1600" s="105" t="n">
        <f aca="false">'[2]$ зима'!j1600-'[2]$ зима'!au1600-'[2]$ зима'!at1600-'[2]$ зима'!as1600-'[2]$ зима'!ar1600-'[2]$ зима'!aq1600-'[2]$ зима'!ap1600-'[2]$ зима'!an1600-'[2]$ зима'!am1600-'[2]$ зима'!al1600-'[2]$ зима'!ak1600-'[2]$ зима'!aj1600-'[2]$ зима'!ah1600-'[2]$ зима'!ag1600-'[2]$ зима'!af1600-'[2]$ зима'!ae1600-'[2]$ зима'!ad1600-'[2]$ зима'!ab1600-'[2]$ зима'!aa1600-'[2]$ зима'!z1600-'[2]$ зима'!y1600-'[2]$ зима'!x1600-'[2]$ зима'!v1600-'[2]$ зима'!u1600-'[2]$ зима'!t1600-'[2]$ зима'!s1600-'[2]$ зима'!r1600-'[2]$ зима'!p1600-'[2]$ зима'!o1600-'[2]$ зима'!n1600-'[2]$ зима'!m1600-'[2]$ зима'!l1600+'[2]$ зима'!q1600+'[2]$ зима'!w1600+'[2]$ зима'!ac1600+'[2]$ зима'!ai1600+'[2]$ зима'!ao1600+'[2]$ зима'!k1600</f>
        <v>0</v>
      </c>
      <c r="I1600" s="191" t="n">
        <f aca="false">'[2]$ зима'!ay1600*1.1</f>
        <v>6067.6</v>
      </c>
    </row>
    <row r="1601" customFormat="false" ht="15" hidden="false" customHeight="false" outlineLevel="0" collapsed="false">
      <c r="A1601" s="188" t="s">
        <v>2375</v>
      </c>
      <c r="B1601" s="198" t="s">
        <v>601</v>
      </c>
      <c r="C1601" s="148" t="s">
        <v>3482</v>
      </c>
      <c r="D1601" s="202"/>
      <c r="E1601" s="211"/>
      <c r="F1601" s="211"/>
      <c r="G1601" s="203"/>
      <c r="H1601" s="105" t="n">
        <f aca="false">'[2]$ зима'!j1601-'[2]$ зима'!au1601-'[2]$ зима'!at1601-'[2]$ зима'!as1601-'[2]$ зима'!ar1601-'[2]$ зима'!aq1601-'[2]$ зима'!ap1601-'[2]$ зима'!an1601-'[2]$ зима'!am1601-'[2]$ зима'!al1601-'[2]$ зима'!ak1601-'[2]$ зима'!aj1601-'[2]$ зима'!ah1601-'[2]$ зима'!ag1601-'[2]$ зима'!af1601-'[2]$ зима'!ae1601-'[2]$ зима'!ad1601-'[2]$ зима'!ab1601-'[2]$ зима'!aa1601-'[2]$ зима'!z1601-'[2]$ зима'!y1601-'[2]$ зима'!x1601-'[2]$ зима'!v1601-'[2]$ зима'!u1601-'[2]$ зима'!t1601-'[2]$ зима'!s1601-'[2]$ зима'!r1601-'[2]$ зима'!p1601-'[2]$ зима'!o1601-'[2]$ зима'!n1601-'[2]$ зима'!m1601-'[2]$ зима'!l1601+'[2]$ зима'!q1601+'[2]$ зима'!w1601+'[2]$ зима'!ac1601+'[2]$ зима'!ai1601+'[2]$ зима'!ao1601+'[2]$ зима'!k1601</f>
        <v>6</v>
      </c>
      <c r="I1601" s="191" t="n">
        <f aca="false">'[2]$ зима'!ay1601*1.1</f>
        <v>8008</v>
      </c>
    </row>
    <row r="1602" customFormat="false" ht="15" hidden="false" customHeight="false" outlineLevel="0" collapsed="false">
      <c r="A1602" s="188" t="s">
        <v>2375</v>
      </c>
      <c r="B1602" s="198" t="s">
        <v>557</v>
      </c>
      <c r="C1602" s="148" t="s">
        <v>3744</v>
      </c>
      <c r="D1602" s="202"/>
      <c r="E1602" s="211" t="n">
        <v>116</v>
      </c>
      <c r="F1602" s="211" t="s">
        <v>3216</v>
      </c>
      <c r="G1602" s="203" t="s">
        <v>820</v>
      </c>
      <c r="H1602" s="105" t="n">
        <f aca="false">'[2]$ зима'!j1602-'[2]$ зима'!au1602-'[2]$ зима'!at1602-'[2]$ зима'!as1602-'[2]$ зима'!ar1602-'[2]$ зима'!aq1602-'[2]$ зима'!ap1602-'[2]$ зима'!an1602-'[2]$ зима'!am1602-'[2]$ зима'!al1602-'[2]$ зима'!ak1602-'[2]$ зима'!aj1602-'[2]$ зима'!ah1602-'[2]$ зима'!ag1602-'[2]$ зима'!af1602-'[2]$ зима'!ae1602-'[2]$ зима'!ad1602-'[2]$ зима'!ab1602-'[2]$ зима'!aa1602-'[2]$ зима'!z1602-'[2]$ зима'!y1602-'[2]$ зима'!x1602-'[2]$ зима'!v1602-'[2]$ зима'!u1602-'[2]$ зима'!t1602-'[2]$ зима'!s1602-'[2]$ зима'!r1602-'[2]$ зима'!p1602-'[2]$ зима'!o1602-'[2]$ зима'!n1602-'[2]$ зима'!m1602-'[2]$ зима'!l1602+'[2]$ зима'!q1602+'[2]$ зима'!w1602+'[2]$ зима'!ac1602+'[2]$ зима'!ai1602+'[2]$ зима'!ao1602+'[2]$ зима'!k1602</f>
        <v>8</v>
      </c>
      <c r="I1602" s="191" t="n">
        <f aca="false">'[2]$ зима'!ay1602*1.1</f>
        <v>4004</v>
      </c>
      <c r="J1602" s="171" t="n">
        <v>2018</v>
      </c>
    </row>
    <row r="1603" customFormat="false" ht="15" hidden="false" customHeight="false" outlineLevel="0" collapsed="false">
      <c r="A1603" s="217" t="s">
        <v>2375</v>
      </c>
      <c r="B1603" s="157" t="s">
        <v>601</v>
      </c>
      <c r="C1603" s="158" t="s">
        <v>3482</v>
      </c>
      <c r="D1603" s="240"/>
      <c r="E1603" s="241"/>
      <c r="F1603" s="241"/>
      <c r="G1603" s="242"/>
      <c r="H1603" s="105" t="n">
        <f aca="false">'[2]$ зима'!j1603-'[2]$ зима'!au1603-'[2]$ зима'!at1603-'[2]$ зима'!as1603-'[2]$ зима'!ar1603-'[2]$ зима'!aq1603-'[2]$ зима'!ap1603-'[2]$ зима'!an1603-'[2]$ зима'!am1603-'[2]$ зима'!al1603-'[2]$ зима'!ak1603-'[2]$ зима'!aj1603-'[2]$ зима'!ah1603-'[2]$ зима'!ag1603-'[2]$ зима'!af1603-'[2]$ зима'!ae1603-'[2]$ зима'!ad1603-'[2]$ зима'!ab1603-'[2]$ зима'!aa1603-'[2]$ зима'!z1603-'[2]$ зима'!y1603-'[2]$ зима'!x1603-'[2]$ зима'!v1603-'[2]$ зима'!u1603-'[2]$ зима'!t1603-'[2]$ зима'!s1603-'[2]$ зима'!r1603-'[2]$ зима'!p1603-'[2]$ зима'!o1603-'[2]$ зима'!n1603-'[2]$ зима'!m1603-'[2]$ зима'!l1603+'[2]$ зима'!q1603+'[2]$ зима'!w1603+'[2]$ зима'!ac1603+'[2]$ зима'!ai1603+'[2]$ зима'!ao1603+'[2]$ зима'!k1603</f>
        <v>3</v>
      </c>
      <c r="I1603" s="219" t="n">
        <f aca="false">'[2]$ зима'!ay1603*1.1</f>
        <v>5500</v>
      </c>
      <c r="J1603" s="171" t="s">
        <v>3875</v>
      </c>
    </row>
    <row r="1604" customFormat="false" ht="15" hidden="true" customHeight="false" outlineLevel="0" collapsed="false">
      <c r="A1604" s="188" t="s">
        <v>2375</v>
      </c>
      <c r="B1604" s="198" t="s">
        <v>1149</v>
      </c>
      <c r="C1604" s="148" t="s">
        <v>3271</v>
      </c>
      <c r="D1604" s="202"/>
      <c r="E1604" s="202"/>
      <c r="F1604" s="202"/>
      <c r="G1604" s="203"/>
      <c r="H1604" s="105" t="n">
        <f aca="false">'[2]$ зима'!j1604-'[2]$ зима'!au1604-'[2]$ зима'!at1604-'[2]$ зима'!as1604-'[2]$ зима'!ar1604-'[2]$ зима'!aq1604-'[2]$ зима'!ap1604-'[2]$ зима'!an1604-'[2]$ зима'!am1604-'[2]$ зима'!al1604-'[2]$ зима'!ak1604-'[2]$ зима'!aj1604-'[2]$ зима'!ah1604-'[2]$ зима'!ag1604-'[2]$ зима'!af1604-'[2]$ зима'!ae1604-'[2]$ зима'!ad1604-'[2]$ зима'!ab1604-'[2]$ зима'!aa1604-'[2]$ зима'!z1604-'[2]$ зима'!y1604-'[2]$ зима'!x1604-'[2]$ зима'!v1604-'[2]$ зима'!u1604-'[2]$ зима'!t1604-'[2]$ зима'!s1604-'[2]$ зима'!r1604-'[2]$ зима'!p1604-'[2]$ зима'!o1604-'[2]$ зима'!n1604-'[2]$ зима'!m1604-'[2]$ зима'!l1604+'[2]$ зима'!q1604+'[2]$ зима'!w1604+'[2]$ зима'!ac1604+'[2]$ зима'!ai1604+'[2]$ зима'!ao1604+'[2]$ зима'!k1604</f>
        <v>0</v>
      </c>
      <c r="I1604" s="191" t="n">
        <f aca="false">'[2]$ зима'!ay1604*1.1</f>
        <v>4928</v>
      </c>
    </row>
    <row r="1605" customFormat="false" ht="15" hidden="false" customHeight="false" outlineLevel="0" collapsed="false">
      <c r="A1605" s="188" t="s">
        <v>2375</v>
      </c>
      <c r="B1605" s="198" t="s">
        <v>589</v>
      </c>
      <c r="C1605" s="148" t="s">
        <v>3269</v>
      </c>
      <c r="D1605" s="148"/>
      <c r="E1605" s="148" t="n">
        <v>116</v>
      </c>
      <c r="F1605" s="148" t="s">
        <v>3207</v>
      </c>
      <c r="G1605" s="193" t="s">
        <v>626</v>
      </c>
      <c r="H1605" s="105" t="n">
        <f aca="false">'[2]$ зима'!j1605-'[2]$ зима'!au1605-'[2]$ зима'!at1605-'[2]$ зима'!as1605-'[2]$ зима'!ar1605-'[2]$ зима'!aq1605-'[2]$ зима'!ap1605-'[2]$ зима'!an1605-'[2]$ зима'!am1605-'[2]$ зима'!al1605-'[2]$ зима'!ak1605-'[2]$ зима'!aj1605-'[2]$ зима'!ah1605-'[2]$ зима'!ag1605-'[2]$ зима'!af1605-'[2]$ зима'!ae1605-'[2]$ зима'!ad1605-'[2]$ зима'!ab1605-'[2]$ зима'!aa1605-'[2]$ зима'!z1605-'[2]$ зима'!y1605-'[2]$ зима'!x1605-'[2]$ зима'!v1605-'[2]$ зима'!u1605-'[2]$ зима'!t1605-'[2]$ зима'!s1605-'[2]$ зима'!r1605-'[2]$ зима'!p1605-'[2]$ зима'!o1605-'[2]$ зима'!n1605-'[2]$ зима'!m1605-'[2]$ зима'!l1605+'[2]$ зима'!q1605+'[2]$ зима'!w1605+'[2]$ зима'!ac1605+'[2]$ зима'!ai1605+'[2]$ зима'!ao1605+'[2]$ зима'!k1605</f>
        <v>4</v>
      </c>
      <c r="I1605" s="191" t="n">
        <f aca="false">'[2]$ зима'!ay1605*1.1</f>
        <v>7035.38</v>
      </c>
      <c r="J1605" s="171" t="n">
        <v>2018</v>
      </c>
    </row>
    <row r="1606" customFormat="false" ht="15" hidden="false" customHeight="false" outlineLevel="0" collapsed="false">
      <c r="A1606" s="188" t="s">
        <v>2375</v>
      </c>
      <c r="B1606" s="198" t="s">
        <v>1028</v>
      </c>
      <c r="C1606" s="148" t="s">
        <v>3329</v>
      </c>
      <c r="D1606" s="202"/>
      <c r="E1606" s="211" t="n">
        <v>112</v>
      </c>
      <c r="F1606" s="211" t="s">
        <v>562</v>
      </c>
      <c r="G1606" s="203" t="s">
        <v>626</v>
      </c>
      <c r="H1606" s="105" t="n">
        <f aca="false">'[2]$ зима'!j1606-'[2]$ зима'!au1606-'[2]$ зима'!at1606-'[2]$ зима'!as1606-'[2]$ зима'!ar1606-'[2]$ зима'!aq1606-'[2]$ зима'!ap1606-'[2]$ зима'!an1606-'[2]$ зима'!am1606-'[2]$ зима'!al1606-'[2]$ зима'!ak1606-'[2]$ зима'!aj1606-'[2]$ зима'!ah1606-'[2]$ зима'!ag1606-'[2]$ зима'!af1606-'[2]$ зима'!ae1606-'[2]$ зима'!ad1606-'[2]$ зима'!ab1606-'[2]$ зима'!aa1606-'[2]$ зима'!z1606-'[2]$ зима'!y1606-'[2]$ зима'!x1606-'[2]$ зима'!v1606-'[2]$ зима'!u1606-'[2]$ зима'!t1606-'[2]$ зима'!s1606-'[2]$ зима'!r1606-'[2]$ зима'!p1606-'[2]$ зима'!o1606-'[2]$ зима'!n1606-'[2]$ зима'!m1606-'[2]$ зима'!l1606+'[2]$ зима'!q1606+'[2]$ зима'!w1606+'[2]$ зима'!ac1606+'[2]$ зима'!ai1606+'[2]$ зима'!ao1606+'[2]$ зима'!k1606</f>
        <v>4</v>
      </c>
      <c r="I1606" s="191" t="n">
        <f aca="false">'[2]$ зима'!ay1606*1.1</f>
        <v>5852</v>
      </c>
      <c r="J1606" s="171" t="n">
        <v>2017</v>
      </c>
    </row>
    <row r="1607" customFormat="false" ht="15" hidden="false" customHeight="false" outlineLevel="0" collapsed="false">
      <c r="A1607" s="188" t="s">
        <v>2375</v>
      </c>
      <c r="B1607" s="198" t="s">
        <v>1028</v>
      </c>
      <c r="C1607" s="148" t="s">
        <v>3712</v>
      </c>
      <c r="D1607" s="202"/>
      <c r="E1607" s="211" t="n">
        <v>112</v>
      </c>
      <c r="F1607" s="211" t="s">
        <v>3207</v>
      </c>
      <c r="G1607" s="203" t="s">
        <v>3576</v>
      </c>
      <c r="H1607" s="105" t="n">
        <f aca="false">'[2]$ зима'!j1607-'[2]$ зима'!au1607-'[2]$ зима'!at1607-'[2]$ зима'!as1607-'[2]$ зима'!ar1607-'[2]$ зима'!aq1607-'[2]$ зима'!ap1607-'[2]$ зима'!an1607-'[2]$ зима'!am1607-'[2]$ зима'!al1607-'[2]$ зима'!ak1607-'[2]$ зима'!aj1607-'[2]$ зима'!ah1607-'[2]$ зима'!ag1607-'[2]$ зима'!af1607-'[2]$ зима'!ae1607-'[2]$ зима'!ad1607-'[2]$ зима'!ab1607-'[2]$ зима'!aa1607-'[2]$ зима'!z1607-'[2]$ зима'!y1607-'[2]$ зима'!x1607-'[2]$ зима'!v1607-'[2]$ зима'!u1607-'[2]$ зима'!t1607-'[2]$ зима'!s1607-'[2]$ зима'!r1607-'[2]$ зима'!p1607-'[2]$ зима'!o1607-'[2]$ зима'!n1607-'[2]$ зима'!m1607-'[2]$ зима'!l1607+'[2]$ зима'!q1607+'[2]$ зима'!w1607+'[2]$ зима'!ac1607+'[2]$ зима'!ai1607+'[2]$ зима'!ao1607+'[2]$ зима'!k1607</f>
        <v>4</v>
      </c>
      <c r="I1607" s="191" t="n">
        <f aca="false">'[2]$ зима'!ay1607*1.1</f>
        <v>6314</v>
      </c>
      <c r="J1607" s="171" t="n">
        <v>2017</v>
      </c>
    </row>
    <row r="1608" customFormat="false" ht="15" hidden="false" customHeight="false" outlineLevel="0" collapsed="false">
      <c r="A1608" s="196" t="s">
        <v>2390</v>
      </c>
      <c r="B1608" s="149" t="s">
        <v>589</v>
      </c>
      <c r="C1608" s="148" t="s">
        <v>3269</v>
      </c>
      <c r="D1608" s="148"/>
      <c r="E1608" s="148" t="n">
        <v>110</v>
      </c>
      <c r="F1608" s="148" t="s">
        <v>3207</v>
      </c>
      <c r="G1608" s="193" t="s">
        <v>626</v>
      </c>
      <c r="H1608" s="105" t="n">
        <f aca="false">'[2]$ зима'!j1608-'[2]$ зима'!au1608-'[2]$ зима'!at1608-'[2]$ зима'!as1608-'[2]$ зима'!ar1608-'[2]$ зима'!aq1608-'[2]$ зима'!ap1608-'[2]$ зима'!an1608-'[2]$ зима'!am1608-'[2]$ зима'!al1608-'[2]$ зима'!ak1608-'[2]$ зима'!aj1608-'[2]$ зима'!ah1608-'[2]$ зима'!ag1608-'[2]$ зима'!af1608-'[2]$ зима'!ae1608-'[2]$ зима'!ad1608-'[2]$ зима'!ab1608-'[2]$ зима'!aa1608-'[2]$ зима'!z1608-'[2]$ зима'!y1608-'[2]$ зима'!x1608-'[2]$ зима'!v1608-'[2]$ зима'!u1608-'[2]$ зима'!t1608-'[2]$ зима'!s1608-'[2]$ зима'!r1608-'[2]$ зима'!p1608-'[2]$ зима'!o1608-'[2]$ зима'!n1608-'[2]$ зима'!m1608-'[2]$ зима'!l1608+'[2]$ зима'!q1608+'[2]$ зима'!w1608+'[2]$ зима'!ac1608+'[2]$ зима'!ai1608+'[2]$ зима'!ao1608+'[2]$ зима'!k1608</f>
        <v>6</v>
      </c>
      <c r="I1608" s="191" t="n">
        <f aca="false">'[2]$ зима'!ay1608*1.1</f>
        <v>7533.46</v>
      </c>
      <c r="J1608" s="171" t="n">
        <v>2018</v>
      </c>
    </row>
    <row r="1609" customFormat="false" ht="15" hidden="false" customHeight="false" outlineLevel="0" collapsed="false">
      <c r="A1609" s="196" t="s">
        <v>2390</v>
      </c>
      <c r="B1609" s="149" t="s">
        <v>1028</v>
      </c>
      <c r="C1609" s="148" t="s">
        <v>3867</v>
      </c>
      <c r="D1609" s="202"/>
      <c r="E1609" s="211" t="n">
        <v>110</v>
      </c>
      <c r="F1609" s="211" t="s">
        <v>814</v>
      </c>
      <c r="G1609" s="203" t="s">
        <v>626</v>
      </c>
      <c r="H1609" s="105" t="n">
        <f aca="false">'[2]$ зима'!j1609-'[2]$ зима'!au1609-'[2]$ зима'!at1609-'[2]$ зима'!as1609-'[2]$ зима'!ar1609-'[2]$ зима'!aq1609-'[2]$ зима'!ap1609-'[2]$ зима'!an1609-'[2]$ зима'!am1609-'[2]$ зима'!al1609-'[2]$ зима'!ak1609-'[2]$ зима'!aj1609-'[2]$ зима'!ah1609-'[2]$ зима'!ag1609-'[2]$ зима'!af1609-'[2]$ зима'!ae1609-'[2]$ зима'!ad1609-'[2]$ зима'!ab1609-'[2]$ зима'!aa1609-'[2]$ зима'!z1609-'[2]$ зима'!y1609-'[2]$ зима'!x1609-'[2]$ зима'!v1609-'[2]$ зима'!u1609-'[2]$ зима'!t1609-'[2]$ зима'!s1609-'[2]$ зима'!r1609-'[2]$ зима'!p1609-'[2]$ зима'!o1609-'[2]$ зима'!n1609-'[2]$ зима'!m1609-'[2]$ зима'!l1609+'[2]$ зима'!q1609+'[2]$ зима'!w1609+'[2]$ зима'!ac1609+'[2]$ зима'!ai1609+'[2]$ зима'!ao1609+'[2]$ зима'!k1609</f>
        <v>4</v>
      </c>
      <c r="I1609" s="191" t="n">
        <f aca="false">'[2]$ зима'!ay1609*1.1</f>
        <v>7392</v>
      </c>
      <c r="J1609" s="171" t="n">
        <v>2017</v>
      </c>
    </row>
    <row r="1610" customFormat="false" ht="15.75" hidden="false" customHeight="false" outlineLevel="0" collapsed="false">
      <c r="A1610" s="183" t="s">
        <v>2396</v>
      </c>
      <c r="B1610" s="207"/>
      <c r="C1610" s="207"/>
      <c r="D1610" s="235"/>
      <c r="E1610" s="236"/>
      <c r="F1610" s="236"/>
      <c r="G1610" s="186"/>
      <c r="H1610" s="105"/>
      <c r="I1610" s="187" t="n">
        <f aca="false">'[2]$ зима'!ay1610*1.1</f>
        <v>0</v>
      </c>
    </row>
    <row r="1611" customFormat="false" ht="15" hidden="true" customHeight="false" outlineLevel="0" collapsed="false">
      <c r="A1611" s="196" t="s">
        <v>2397</v>
      </c>
      <c r="B1611" s="149" t="s">
        <v>593</v>
      </c>
      <c r="C1611" s="148" t="s">
        <v>3876</v>
      </c>
      <c r="D1611" s="213"/>
      <c r="E1611" s="243" t="n">
        <v>110</v>
      </c>
      <c r="F1611" s="213" t="s">
        <v>970</v>
      </c>
      <c r="G1611" s="203" t="s">
        <v>1037</v>
      </c>
      <c r="H1611" s="105" t="n">
        <f aca="false">'[2]$ зима'!j1611-'[2]$ зима'!au1611-'[2]$ зима'!at1611-'[2]$ зима'!as1611-'[2]$ зима'!ar1611-'[2]$ зима'!aq1611-'[2]$ зима'!ap1611-'[2]$ зима'!an1611-'[2]$ зима'!am1611-'[2]$ зима'!al1611-'[2]$ зима'!ak1611-'[2]$ зима'!aj1611-'[2]$ зима'!ah1611-'[2]$ зима'!ag1611-'[2]$ зима'!af1611-'[2]$ зима'!ae1611-'[2]$ зима'!ad1611-'[2]$ зима'!ab1611-'[2]$ зима'!aa1611-'[2]$ зима'!z1611-'[2]$ зима'!y1611-'[2]$ зима'!x1611-'[2]$ зима'!v1611-'[2]$ зима'!u1611-'[2]$ зима'!t1611-'[2]$ зима'!s1611-'[2]$ зима'!r1611-'[2]$ зима'!p1611-'[2]$ зима'!o1611-'[2]$ зима'!n1611-'[2]$ зима'!m1611-'[2]$ зима'!l1611+'[2]$ зима'!q1611+'[2]$ зима'!w1611+'[2]$ зима'!ac1611+'[2]$ зима'!ai1611+'[2]$ зима'!ao1611+'[2]$ зима'!k1611</f>
        <v>0</v>
      </c>
      <c r="I1611" s="191" t="n">
        <f aca="false">'[2]$ зима'!ay1611*1.1</f>
        <v>8162</v>
      </c>
      <c r="J1611" s="171" t="n">
        <v>2015</v>
      </c>
    </row>
    <row r="1612" customFormat="false" ht="15" hidden="false" customHeight="false" outlineLevel="0" collapsed="false">
      <c r="A1612" s="196" t="s">
        <v>3877</v>
      </c>
      <c r="B1612" s="149" t="s">
        <v>707</v>
      </c>
      <c r="C1612" s="148" t="s">
        <v>3878</v>
      </c>
      <c r="D1612" s="202"/>
      <c r="E1612" s="211"/>
      <c r="F1612" s="211"/>
      <c r="G1612" s="203" t="s">
        <v>626</v>
      </c>
      <c r="H1612" s="105" t="n">
        <f aca="false">'[2]$ зима'!j1612-'[2]$ зима'!au1612-'[2]$ зима'!at1612-'[2]$ зима'!as1612-'[2]$ зима'!ar1612-'[2]$ зима'!aq1612-'[2]$ зима'!ap1612-'[2]$ зима'!an1612-'[2]$ зима'!am1612-'[2]$ зима'!al1612-'[2]$ зима'!ak1612-'[2]$ зима'!aj1612-'[2]$ зима'!ah1612-'[2]$ зима'!ag1612-'[2]$ зима'!af1612-'[2]$ зима'!ae1612-'[2]$ зима'!ad1612-'[2]$ зима'!ab1612-'[2]$ зима'!aa1612-'[2]$ зима'!z1612-'[2]$ зима'!y1612-'[2]$ зима'!x1612-'[2]$ зима'!v1612-'[2]$ зима'!u1612-'[2]$ зима'!t1612-'[2]$ зима'!s1612-'[2]$ зима'!r1612-'[2]$ зима'!p1612-'[2]$ зима'!o1612-'[2]$ зима'!n1612-'[2]$ зима'!m1612-'[2]$ зима'!l1612+'[2]$ зима'!q1612+'[2]$ зима'!w1612+'[2]$ зима'!ac1612+'[2]$ зима'!ai1612+'[2]$ зима'!ao1612+'[2]$ зима'!k1612</f>
        <v>4</v>
      </c>
      <c r="I1612" s="191" t="n">
        <f aca="false">'[2]$ зима'!ay1612*1.1</f>
        <v>8162</v>
      </c>
      <c r="J1612" s="171" t="n">
        <v>2016</v>
      </c>
    </row>
    <row r="1613" customFormat="false" ht="15" hidden="true" customHeight="false" outlineLevel="0" collapsed="false">
      <c r="A1613" s="196" t="s">
        <v>2407</v>
      </c>
      <c r="B1613" s="149" t="s">
        <v>801</v>
      </c>
      <c r="C1613" s="148" t="s">
        <v>3879</v>
      </c>
      <c r="D1613" s="202"/>
      <c r="E1613" s="202"/>
      <c r="F1613" s="202"/>
      <c r="G1613" s="203" t="s">
        <v>1062</v>
      </c>
      <c r="H1613" s="105" t="n">
        <f aca="false">'[2]$ зима'!j1613-'[2]$ зима'!au1613-'[2]$ зима'!at1613-'[2]$ зима'!as1613-'[2]$ зима'!ar1613-'[2]$ зима'!aq1613-'[2]$ зима'!ap1613-'[2]$ зима'!an1613-'[2]$ зима'!am1613-'[2]$ зима'!al1613-'[2]$ зима'!ak1613-'[2]$ зима'!aj1613-'[2]$ зима'!ah1613-'[2]$ зима'!ag1613-'[2]$ зима'!af1613-'[2]$ зима'!ae1613-'[2]$ зима'!ad1613-'[2]$ зима'!ab1613-'[2]$ зима'!aa1613-'[2]$ зима'!z1613-'[2]$ зима'!y1613-'[2]$ зима'!x1613-'[2]$ зима'!v1613-'[2]$ зима'!u1613-'[2]$ зима'!t1613-'[2]$ зима'!s1613-'[2]$ зима'!r1613-'[2]$ зима'!p1613-'[2]$ зима'!o1613-'[2]$ зима'!n1613-'[2]$ зима'!m1613-'[2]$ зима'!l1613+'[2]$ зима'!q1613+'[2]$ зима'!w1613+'[2]$ зима'!ac1613+'[2]$ зима'!ai1613+'[2]$ зима'!ao1613+'[2]$ зима'!k1613</f>
        <v>0</v>
      </c>
      <c r="I1613" s="191" t="n">
        <f aca="false">'[2]$ зима'!ay1613*1.1</f>
        <v>8932</v>
      </c>
      <c r="J1613" s="171" t="n">
        <v>2015</v>
      </c>
    </row>
    <row r="1614" customFormat="false" ht="15" hidden="false" customHeight="false" outlineLevel="0" collapsed="false">
      <c r="A1614" s="196" t="s">
        <v>2407</v>
      </c>
      <c r="B1614" s="149" t="s">
        <v>589</v>
      </c>
      <c r="C1614" s="148" t="s">
        <v>3209</v>
      </c>
      <c r="D1614" s="148"/>
      <c r="E1614" s="192"/>
      <c r="F1614" s="192"/>
      <c r="G1614" s="193" t="s">
        <v>626</v>
      </c>
      <c r="H1614" s="105" t="n">
        <f aca="false">'[2]$ зима'!j1614-'[2]$ зима'!au1614-'[2]$ зима'!at1614-'[2]$ зима'!as1614-'[2]$ зима'!ar1614-'[2]$ зима'!aq1614-'[2]$ зима'!ap1614-'[2]$ зима'!an1614-'[2]$ зима'!am1614-'[2]$ зима'!al1614-'[2]$ зима'!ak1614-'[2]$ зима'!aj1614-'[2]$ зима'!ah1614-'[2]$ зима'!ag1614-'[2]$ зима'!af1614-'[2]$ зима'!ae1614-'[2]$ зима'!ad1614-'[2]$ зима'!ab1614-'[2]$ зима'!aa1614-'[2]$ зима'!z1614-'[2]$ зима'!y1614-'[2]$ зима'!x1614-'[2]$ зима'!v1614-'[2]$ зима'!u1614-'[2]$ зима'!t1614-'[2]$ зима'!s1614-'[2]$ зима'!r1614-'[2]$ зима'!p1614-'[2]$ зима'!o1614-'[2]$ зима'!n1614-'[2]$ зима'!m1614-'[2]$ зима'!l1614+'[2]$ зима'!q1614+'[2]$ зима'!w1614+'[2]$ зима'!ac1614+'[2]$ зима'!ai1614+'[2]$ зима'!ao1614+'[2]$ зима'!k1614</f>
        <v>4</v>
      </c>
      <c r="I1614" s="191" t="n">
        <f aca="false">'[2]$ зима'!ay1614*1.1</f>
        <v>8591</v>
      </c>
      <c r="J1614" s="171" t="n">
        <v>2017</v>
      </c>
    </row>
    <row r="1615" customFormat="false" ht="15" hidden="true" customHeight="false" outlineLevel="0" collapsed="false">
      <c r="A1615" s="196" t="s">
        <v>2407</v>
      </c>
      <c r="B1615" s="149" t="s">
        <v>1028</v>
      </c>
      <c r="C1615" s="148" t="s">
        <v>3880</v>
      </c>
      <c r="D1615" s="202"/>
      <c r="E1615" s="202"/>
      <c r="F1615" s="202"/>
      <c r="G1615" s="203"/>
      <c r="H1615" s="105" t="n">
        <f aca="false">'[2]$ зима'!j1615-'[2]$ зима'!au1615-'[2]$ зима'!at1615-'[2]$ зима'!as1615-'[2]$ зима'!ar1615-'[2]$ зима'!aq1615-'[2]$ зима'!ap1615-'[2]$ зима'!an1615-'[2]$ зима'!am1615-'[2]$ зима'!al1615-'[2]$ зима'!ak1615-'[2]$ зима'!aj1615-'[2]$ зима'!ah1615-'[2]$ зима'!ag1615-'[2]$ зима'!af1615-'[2]$ зима'!ae1615-'[2]$ зима'!ad1615-'[2]$ зима'!ab1615-'[2]$ зима'!aa1615-'[2]$ зима'!z1615-'[2]$ зима'!y1615-'[2]$ зима'!x1615-'[2]$ зима'!v1615-'[2]$ зима'!u1615-'[2]$ зима'!t1615-'[2]$ зима'!s1615-'[2]$ зима'!r1615-'[2]$ зима'!p1615-'[2]$ зима'!o1615-'[2]$ зима'!n1615-'[2]$ зима'!m1615-'[2]$ зима'!l1615+'[2]$ зима'!q1615+'[2]$ зима'!w1615+'[2]$ зима'!ac1615+'[2]$ зима'!ai1615+'[2]$ зима'!ao1615+'[2]$ зима'!k1615</f>
        <v>0</v>
      </c>
      <c r="I1615" s="191" t="n">
        <f aca="false">'[2]$ зима'!ay1615*1.1</f>
        <v>7546</v>
      </c>
    </row>
    <row r="1616" customFormat="false" ht="15.75" hidden="false" customHeight="false" outlineLevel="0" collapsed="false">
      <c r="A1616" s="183" t="s">
        <v>2414</v>
      </c>
      <c r="B1616" s="207"/>
      <c r="C1616" s="207"/>
      <c r="D1616" s="235"/>
      <c r="E1616" s="236"/>
      <c r="F1616" s="236"/>
      <c r="G1616" s="186"/>
      <c r="H1616" s="105"/>
      <c r="I1616" s="187" t="n">
        <f aca="false">'[2]$ зима'!ay1616*1.1</f>
        <v>0</v>
      </c>
    </row>
    <row r="1617" customFormat="false" ht="15" hidden="true" customHeight="false" outlineLevel="0" collapsed="false">
      <c r="A1617" s="196" t="s">
        <v>3881</v>
      </c>
      <c r="B1617" s="149" t="s">
        <v>1028</v>
      </c>
      <c r="C1617" s="148" t="s">
        <v>3882</v>
      </c>
      <c r="D1617" s="202"/>
      <c r="E1617" s="202"/>
      <c r="F1617" s="202"/>
      <c r="G1617" s="203"/>
      <c r="H1617" s="105" t="n">
        <f aca="false">'[2]$ зима'!j1617-'[2]$ зима'!au1617-'[2]$ зима'!at1617-'[2]$ зима'!as1617-'[2]$ зима'!ar1617-'[2]$ зима'!aq1617-'[2]$ зима'!ap1617-'[2]$ зима'!an1617-'[2]$ зима'!am1617-'[2]$ зима'!al1617-'[2]$ зима'!ak1617-'[2]$ зима'!aj1617-'[2]$ зима'!ah1617-'[2]$ зима'!ag1617-'[2]$ зима'!af1617-'[2]$ зима'!ae1617-'[2]$ зима'!ad1617-'[2]$ зима'!ab1617-'[2]$ зима'!aa1617-'[2]$ зима'!z1617-'[2]$ зима'!y1617-'[2]$ зима'!x1617-'[2]$ зима'!v1617-'[2]$ зима'!u1617-'[2]$ зима'!t1617-'[2]$ зима'!s1617-'[2]$ зима'!r1617-'[2]$ зима'!p1617-'[2]$ зима'!o1617-'[2]$ зима'!n1617-'[2]$ зима'!m1617-'[2]$ зима'!l1617+'[2]$ зима'!q1617+'[2]$ зима'!w1617+'[2]$ зима'!ac1617+'[2]$ зима'!ai1617+'[2]$ зима'!ao1617+'[2]$ зима'!k1617</f>
        <v>0</v>
      </c>
      <c r="I1617" s="191" t="n">
        <f aca="false">'[2]$ зима'!ay1617*1.1</f>
        <v>0</v>
      </c>
    </row>
    <row r="1618" customFormat="false" ht="15.75" hidden="false" customHeight="false" outlineLevel="0" collapsed="false">
      <c r="A1618" s="183" t="s">
        <v>269</v>
      </c>
      <c r="B1618" s="207"/>
      <c r="C1618" s="244"/>
      <c r="D1618" s="245"/>
      <c r="E1618" s="236"/>
      <c r="F1618" s="236"/>
      <c r="G1618" s="186"/>
      <c r="H1618" s="105"/>
      <c r="I1618" s="187" t="n">
        <f aca="false">'[2]$ зима'!ay1618*1.1</f>
        <v>0</v>
      </c>
    </row>
    <row r="1619" customFormat="false" ht="15" hidden="true" customHeight="false" outlineLevel="0" collapsed="false">
      <c r="A1619" s="196" t="s">
        <v>3883</v>
      </c>
      <c r="B1619" s="149" t="s">
        <v>606</v>
      </c>
      <c r="C1619" s="148" t="s">
        <v>3884</v>
      </c>
      <c r="D1619" s="202"/>
      <c r="E1619" s="202"/>
      <c r="F1619" s="202"/>
      <c r="G1619" s="203"/>
      <c r="H1619" s="105" t="n">
        <f aca="false">'[2]$ зима'!j1619-'[2]$ зима'!au1619-'[2]$ зима'!at1619-'[2]$ зима'!as1619-'[2]$ зима'!ar1619-'[2]$ зима'!aq1619-'[2]$ зима'!ap1619-'[2]$ зима'!an1619-'[2]$ зима'!am1619-'[2]$ зима'!al1619-'[2]$ зима'!ak1619-'[2]$ зима'!aj1619-'[2]$ зима'!ah1619-'[2]$ зима'!ag1619-'[2]$ зима'!af1619-'[2]$ зима'!ae1619-'[2]$ зима'!ad1619-'[2]$ зима'!ab1619-'[2]$ зима'!aa1619-'[2]$ зима'!z1619-'[2]$ зима'!y1619-'[2]$ зима'!x1619-'[2]$ зима'!v1619-'[2]$ зима'!u1619-'[2]$ зима'!t1619-'[2]$ зима'!s1619-'[2]$ зима'!r1619-'[2]$ зима'!p1619-'[2]$ зима'!o1619-'[2]$ зима'!n1619-'[2]$ зима'!m1619-'[2]$ зима'!l1619+'[2]$ зима'!q1619+'[2]$ зима'!w1619+'[2]$ зима'!ac1619+'[2]$ зима'!ai1619+'[2]$ зима'!ao1619+'[2]$ зима'!k1619</f>
        <v>0</v>
      </c>
      <c r="I1619" s="191" t="n">
        <f aca="false">'[2]$ зима'!ay1619*1.1</f>
        <v>1249.6</v>
      </c>
    </row>
    <row r="1620" customFormat="false" ht="15.75" hidden="false" customHeight="false" outlineLevel="0" collapsed="false">
      <c r="A1620" s="183" t="s">
        <v>273</v>
      </c>
      <c r="B1620" s="207"/>
      <c r="C1620" s="207"/>
      <c r="D1620" s="235"/>
      <c r="E1620" s="236"/>
      <c r="F1620" s="236"/>
      <c r="G1620" s="186"/>
      <c r="H1620" s="105"/>
      <c r="I1620" s="187" t="n">
        <f aca="false">'[2]$ зима'!ay1620*1.1</f>
        <v>0</v>
      </c>
    </row>
    <row r="1621" customFormat="false" ht="15" hidden="false" customHeight="false" outlineLevel="0" collapsed="false">
      <c r="A1621" s="210" t="s">
        <v>3885</v>
      </c>
      <c r="B1621" s="198" t="s">
        <v>583</v>
      </c>
      <c r="C1621" s="148" t="s">
        <v>3886</v>
      </c>
      <c r="D1621" s="202"/>
      <c r="E1621" s="211"/>
      <c r="F1621" s="211"/>
      <c r="G1621" s="203"/>
      <c r="H1621" s="105" t="n">
        <f aca="false">'[2]$ зима'!j1621-'[2]$ зима'!au1621-'[2]$ зима'!at1621-'[2]$ зима'!as1621-'[2]$ зима'!ar1621-'[2]$ зима'!aq1621-'[2]$ зима'!ap1621-'[2]$ зима'!an1621-'[2]$ зима'!am1621-'[2]$ зима'!al1621-'[2]$ зима'!ak1621-'[2]$ зима'!aj1621-'[2]$ зима'!ah1621-'[2]$ зима'!ag1621-'[2]$ зима'!af1621-'[2]$ зима'!ae1621-'[2]$ зима'!ad1621-'[2]$ зима'!ab1621-'[2]$ зима'!aa1621-'[2]$ зима'!z1621-'[2]$ зима'!y1621-'[2]$ зима'!x1621-'[2]$ зима'!v1621-'[2]$ зима'!u1621-'[2]$ зима'!t1621-'[2]$ зима'!s1621-'[2]$ зима'!r1621-'[2]$ зима'!p1621-'[2]$ зима'!o1621-'[2]$ зима'!n1621-'[2]$ зима'!m1621-'[2]$ зима'!l1621+'[2]$ зима'!q1621+'[2]$ зима'!w1621+'[2]$ зима'!ac1621+'[2]$ зима'!ai1621+'[2]$ зима'!ao1621+'[2]$ зима'!k1621</f>
        <v>4</v>
      </c>
      <c r="I1621" s="191" t="n">
        <f aca="false">'[2]$ зима'!ay1621*1.1</f>
        <v>1249.6</v>
      </c>
      <c r="J1621" s="171" t="s">
        <v>3887</v>
      </c>
    </row>
    <row r="1622" customFormat="false" ht="15" hidden="true" customHeight="false" outlineLevel="0" collapsed="false">
      <c r="A1622" s="196" t="s">
        <v>274</v>
      </c>
      <c r="B1622" s="149" t="s">
        <v>568</v>
      </c>
      <c r="C1622" s="148" t="s">
        <v>3888</v>
      </c>
      <c r="D1622" s="202"/>
      <c r="E1622" s="202"/>
      <c r="F1622" s="202"/>
      <c r="G1622" s="203"/>
      <c r="H1622" s="105" t="n">
        <f aca="false">'[2]$ зима'!j1622-'[2]$ зима'!au1622-'[2]$ зима'!at1622-'[2]$ зима'!as1622-'[2]$ зима'!ar1622-'[2]$ зима'!aq1622-'[2]$ зима'!ap1622-'[2]$ зима'!an1622-'[2]$ зима'!am1622-'[2]$ зима'!al1622-'[2]$ зима'!ak1622-'[2]$ зима'!aj1622-'[2]$ зима'!ah1622-'[2]$ зима'!ag1622-'[2]$ зима'!af1622-'[2]$ зима'!ae1622-'[2]$ зима'!ad1622-'[2]$ зима'!ab1622-'[2]$ зима'!aa1622-'[2]$ зима'!z1622-'[2]$ зима'!y1622-'[2]$ зима'!x1622-'[2]$ зима'!v1622-'[2]$ зима'!u1622-'[2]$ зима'!t1622-'[2]$ зима'!s1622-'[2]$ зима'!r1622-'[2]$ зима'!p1622-'[2]$ зима'!o1622-'[2]$ зима'!n1622-'[2]$ зима'!m1622-'[2]$ зима'!l1622+'[2]$ зима'!q1622+'[2]$ зима'!w1622+'[2]$ зима'!ac1622+'[2]$ зима'!ai1622+'[2]$ зима'!ao1622+'[2]$ зима'!k1622</f>
        <v>0</v>
      </c>
      <c r="I1622" s="191" t="n">
        <f aca="false">'[2]$ зима'!ay1622*1.1</f>
        <v>1437.04</v>
      </c>
    </row>
    <row r="1623" customFormat="false" ht="15" hidden="true" customHeight="false" outlineLevel="0" collapsed="false">
      <c r="A1623" s="196" t="s">
        <v>3889</v>
      </c>
      <c r="B1623" s="149" t="s">
        <v>741</v>
      </c>
      <c r="C1623" s="148" t="s">
        <v>3890</v>
      </c>
      <c r="D1623" s="202"/>
      <c r="E1623" s="202"/>
      <c r="F1623" s="202"/>
      <c r="G1623" s="203"/>
      <c r="H1623" s="105" t="n">
        <f aca="false">'[2]$ зима'!j1623-'[2]$ зима'!au1623-'[2]$ зима'!at1623-'[2]$ зима'!as1623-'[2]$ зима'!ar1623-'[2]$ зима'!aq1623-'[2]$ зима'!ap1623-'[2]$ зима'!an1623-'[2]$ зима'!am1623-'[2]$ зима'!al1623-'[2]$ зима'!ak1623-'[2]$ зима'!aj1623-'[2]$ зима'!ah1623-'[2]$ зима'!ag1623-'[2]$ зима'!af1623-'[2]$ зима'!ae1623-'[2]$ зима'!ad1623-'[2]$ зима'!ab1623-'[2]$ зима'!aa1623-'[2]$ зима'!z1623-'[2]$ зима'!y1623-'[2]$ зима'!x1623-'[2]$ зима'!v1623-'[2]$ зима'!u1623-'[2]$ зима'!t1623-'[2]$ зима'!s1623-'[2]$ зима'!r1623-'[2]$ зима'!p1623-'[2]$ зима'!o1623-'[2]$ зима'!n1623-'[2]$ зима'!m1623-'[2]$ зима'!l1623+'[2]$ зима'!q1623+'[2]$ зима'!w1623+'[2]$ зима'!ac1623+'[2]$ зима'!ai1623+'[2]$ зима'!ao1623+'[2]$ зима'!k1623</f>
        <v>0</v>
      </c>
      <c r="I1623" s="191" t="n">
        <f aca="false">'[2]$ зима'!ay1623*1.1</f>
        <v>1562</v>
      </c>
    </row>
    <row r="1624" customFormat="false" ht="15" hidden="false" customHeight="false" outlineLevel="0" collapsed="false">
      <c r="A1624" s="196" t="s">
        <v>3891</v>
      </c>
      <c r="B1624" s="149" t="s">
        <v>606</v>
      </c>
      <c r="C1624" s="148" t="s">
        <v>3892</v>
      </c>
      <c r="D1624" s="202" t="s">
        <v>582</v>
      </c>
      <c r="E1624" s="211"/>
      <c r="F1624" s="211"/>
      <c r="G1624" s="203"/>
      <c r="H1624" s="105" t="n">
        <f aca="false">'[2]$ зима'!j1624-'[2]$ зима'!au1624-'[2]$ зима'!at1624-'[2]$ зима'!as1624-'[2]$ зима'!ar1624-'[2]$ зима'!aq1624-'[2]$ зима'!ap1624-'[2]$ зима'!an1624-'[2]$ зима'!am1624-'[2]$ зима'!al1624-'[2]$ зима'!ak1624-'[2]$ зима'!aj1624-'[2]$ зима'!ah1624-'[2]$ зима'!ag1624-'[2]$ зима'!af1624-'[2]$ зима'!ae1624-'[2]$ зима'!ad1624-'[2]$ зима'!ab1624-'[2]$ зима'!aa1624-'[2]$ зима'!z1624-'[2]$ зима'!y1624-'[2]$ зима'!x1624-'[2]$ зима'!v1624-'[2]$ зима'!u1624-'[2]$ зима'!t1624-'[2]$ зима'!s1624-'[2]$ зима'!r1624-'[2]$ зима'!p1624-'[2]$ зима'!o1624-'[2]$ зима'!n1624-'[2]$ зима'!m1624-'[2]$ зима'!l1624+'[2]$ зима'!q1624+'[2]$ зима'!w1624+'[2]$ зима'!ac1624+'[2]$ зима'!ai1624+'[2]$ зима'!ao1624+'[2]$ зима'!k1624</f>
        <v>2</v>
      </c>
      <c r="I1624" s="191" t="n">
        <f aca="false">'[2]$ зима'!ay1624*1.1</f>
        <v>1718.2</v>
      </c>
    </row>
    <row r="1625" customFormat="false" ht="15" hidden="true" customHeight="false" outlineLevel="0" collapsed="false">
      <c r="A1625" s="196" t="s">
        <v>274</v>
      </c>
      <c r="B1625" s="149" t="s">
        <v>666</v>
      </c>
      <c r="C1625" s="148" t="s">
        <v>3893</v>
      </c>
      <c r="D1625" s="202"/>
      <c r="E1625" s="202"/>
      <c r="F1625" s="202"/>
      <c r="G1625" s="203"/>
      <c r="H1625" s="105" t="n">
        <f aca="false">'[2]$ зима'!j1625-'[2]$ зима'!au1625-'[2]$ зима'!at1625-'[2]$ зима'!as1625-'[2]$ зима'!ar1625-'[2]$ зима'!aq1625-'[2]$ зима'!ap1625-'[2]$ зима'!an1625-'[2]$ зима'!am1625-'[2]$ зима'!al1625-'[2]$ зима'!ak1625-'[2]$ зима'!aj1625-'[2]$ зима'!ah1625-'[2]$ зима'!ag1625-'[2]$ зима'!af1625-'[2]$ зима'!ae1625-'[2]$ зима'!ad1625-'[2]$ зима'!ab1625-'[2]$ зима'!aa1625-'[2]$ зима'!z1625-'[2]$ зима'!y1625-'[2]$ зима'!x1625-'[2]$ зима'!v1625-'[2]$ зима'!u1625-'[2]$ зима'!t1625-'[2]$ зима'!s1625-'[2]$ зима'!r1625-'[2]$ зима'!p1625-'[2]$ зима'!o1625-'[2]$ зима'!n1625-'[2]$ зима'!m1625-'[2]$ зима'!l1625+'[2]$ зима'!q1625+'[2]$ зима'!w1625+'[2]$ зима'!ac1625+'[2]$ зима'!ai1625+'[2]$ зима'!ao1625+'[2]$ зима'!k1625</f>
        <v>0</v>
      </c>
      <c r="I1625" s="191" t="n">
        <f aca="false">'[2]$ зима'!ay1625*1.1</f>
        <v>2467.96</v>
      </c>
    </row>
    <row r="1626" customFormat="false" ht="15" hidden="true" customHeight="false" outlineLevel="0" collapsed="false">
      <c r="A1626" s="196" t="s">
        <v>274</v>
      </c>
      <c r="B1626" s="149" t="s">
        <v>574</v>
      </c>
      <c r="C1626" s="148" t="s">
        <v>3894</v>
      </c>
      <c r="D1626" s="148"/>
      <c r="E1626" s="148"/>
      <c r="F1626" s="148"/>
      <c r="G1626" s="193" t="s">
        <v>576</v>
      </c>
      <c r="H1626" s="105" t="n">
        <f aca="false">'[2]$ зима'!j1626-'[2]$ зима'!au1626-'[2]$ зима'!at1626-'[2]$ зима'!as1626-'[2]$ зима'!ar1626-'[2]$ зима'!aq1626-'[2]$ зима'!ap1626-'[2]$ зима'!an1626-'[2]$ зима'!am1626-'[2]$ зима'!al1626-'[2]$ зима'!ak1626-'[2]$ зима'!aj1626-'[2]$ зима'!ah1626-'[2]$ зима'!ag1626-'[2]$ зима'!af1626-'[2]$ зима'!ae1626-'[2]$ зима'!ad1626-'[2]$ зима'!ab1626-'[2]$ зима'!aa1626-'[2]$ зима'!z1626-'[2]$ зима'!y1626-'[2]$ зима'!x1626-'[2]$ зима'!v1626-'[2]$ зима'!u1626-'[2]$ зима'!t1626-'[2]$ зима'!s1626-'[2]$ зима'!r1626-'[2]$ зима'!p1626-'[2]$ зима'!o1626-'[2]$ зима'!n1626-'[2]$ зима'!m1626-'[2]$ зима'!l1626+'[2]$ зима'!q1626+'[2]$ зима'!w1626+'[2]$ зима'!ac1626+'[2]$ зима'!ai1626+'[2]$ зима'!ao1626+'[2]$ зима'!k1626</f>
        <v>0</v>
      </c>
      <c r="I1626" s="191" t="n">
        <f aca="false">'[2]$ зима'!ay1626*1.1</f>
        <v>1811.92</v>
      </c>
    </row>
    <row r="1627" customFormat="false" ht="15" hidden="true" customHeight="false" outlineLevel="0" collapsed="false">
      <c r="A1627" s="196" t="s">
        <v>274</v>
      </c>
      <c r="B1627" s="149" t="s">
        <v>574</v>
      </c>
      <c r="C1627" s="148" t="s">
        <v>3895</v>
      </c>
      <c r="D1627" s="148"/>
      <c r="E1627" s="148"/>
      <c r="F1627" s="148"/>
      <c r="G1627" s="193" t="s">
        <v>576</v>
      </c>
      <c r="H1627" s="105" t="n">
        <f aca="false">'[2]$ зима'!j1627-'[2]$ зима'!au1627-'[2]$ зима'!at1627-'[2]$ зима'!as1627-'[2]$ зима'!ar1627-'[2]$ зима'!aq1627-'[2]$ зима'!ap1627-'[2]$ зима'!an1627-'[2]$ зима'!am1627-'[2]$ зима'!al1627-'[2]$ зима'!ak1627-'[2]$ зима'!aj1627-'[2]$ зима'!ah1627-'[2]$ зима'!ag1627-'[2]$ зима'!af1627-'[2]$ зима'!ae1627-'[2]$ зима'!ad1627-'[2]$ зима'!ab1627-'[2]$ зима'!aa1627-'[2]$ зима'!z1627-'[2]$ зима'!y1627-'[2]$ зима'!x1627-'[2]$ зима'!v1627-'[2]$ зима'!u1627-'[2]$ зима'!t1627-'[2]$ зима'!s1627-'[2]$ зима'!r1627-'[2]$ зима'!p1627-'[2]$ зима'!o1627-'[2]$ зима'!n1627-'[2]$ зима'!m1627-'[2]$ зима'!l1627+'[2]$ зима'!q1627+'[2]$ зима'!w1627+'[2]$ зима'!ac1627+'[2]$ зима'!ai1627+'[2]$ зима'!ao1627+'[2]$ зима'!k1627</f>
        <v>0</v>
      </c>
      <c r="I1627" s="191" t="n">
        <f aca="false">'[2]$ зима'!ay1627*1.1</f>
        <v>1811.92</v>
      </c>
    </row>
    <row r="1628" customFormat="false" ht="15" hidden="true" customHeight="false" outlineLevel="0" collapsed="false">
      <c r="A1628" s="196" t="s">
        <v>274</v>
      </c>
      <c r="B1628" s="149" t="s">
        <v>577</v>
      </c>
      <c r="C1628" s="148" t="s">
        <v>3896</v>
      </c>
      <c r="D1628" s="148"/>
      <c r="E1628" s="148"/>
      <c r="F1628" s="148"/>
      <c r="G1628" s="193" t="s">
        <v>563</v>
      </c>
      <c r="H1628" s="105" t="n">
        <f aca="false">'[2]$ зима'!j1628-'[2]$ зима'!au1628-'[2]$ зима'!at1628-'[2]$ зима'!as1628-'[2]$ зима'!ar1628-'[2]$ зима'!aq1628-'[2]$ зима'!ap1628-'[2]$ зима'!an1628-'[2]$ зима'!am1628-'[2]$ зима'!al1628-'[2]$ зима'!ak1628-'[2]$ зима'!aj1628-'[2]$ зима'!ah1628-'[2]$ зима'!ag1628-'[2]$ зима'!af1628-'[2]$ зима'!ae1628-'[2]$ зима'!ad1628-'[2]$ зима'!ab1628-'[2]$ зима'!aa1628-'[2]$ зима'!z1628-'[2]$ зима'!y1628-'[2]$ зима'!x1628-'[2]$ зима'!v1628-'[2]$ зима'!u1628-'[2]$ зима'!t1628-'[2]$ зима'!s1628-'[2]$ зима'!r1628-'[2]$ зима'!p1628-'[2]$ зима'!o1628-'[2]$ зима'!n1628-'[2]$ зима'!m1628-'[2]$ зима'!l1628+'[2]$ зима'!q1628+'[2]$ зима'!w1628+'[2]$ зима'!ac1628+'[2]$ зима'!ai1628+'[2]$ зима'!ao1628+'[2]$ зима'!k1628</f>
        <v>0</v>
      </c>
      <c r="I1628" s="191" t="n">
        <f aca="false">'[2]$ зима'!ay1628*1.1</f>
        <v>1530.76</v>
      </c>
      <c r="J1628" s="171" t="n">
        <v>2017</v>
      </c>
    </row>
    <row r="1629" customFormat="false" ht="15" hidden="false" customHeight="false" outlineLevel="0" collapsed="false">
      <c r="A1629" s="196" t="s">
        <v>274</v>
      </c>
      <c r="B1629" s="149" t="s">
        <v>583</v>
      </c>
      <c r="C1629" s="148" t="s">
        <v>3897</v>
      </c>
      <c r="D1629" s="202"/>
      <c r="E1629" s="211"/>
      <c r="F1629" s="211"/>
      <c r="G1629" s="203"/>
      <c r="H1629" s="105" t="n">
        <f aca="false">'[2]$ зима'!j1629-'[2]$ зима'!au1629-'[2]$ зима'!at1629-'[2]$ зима'!as1629-'[2]$ зима'!ar1629-'[2]$ зима'!aq1629-'[2]$ зима'!ap1629-'[2]$ зима'!an1629-'[2]$ зима'!am1629-'[2]$ зима'!al1629-'[2]$ зима'!ak1629-'[2]$ зима'!aj1629-'[2]$ зима'!ah1629-'[2]$ зима'!ag1629-'[2]$ зима'!af1629-'[2]$ зима'!ae1629-'[2]$ зима'!ad1629-'[2]$ зима'!ab1629-'[2]$ зима'!aa1629-'[2]$ зима'!z1629-'[2]$ зима'!y1629-'[2]$ зима'!x1629-'[2]$ зима'!v1629-'[2]$ зима'!u1629-'[2]$ зима'!t1629-'[2]$ зима'!s1629-'[2]$ зима'!r1629-'[2]$ зима'!p1629-'[2]$ зима'!o1629-'[2]$ зима'!n1629-'[2]$ зима'!m1629-'[2]$ зима'!l1629+'[2]$ зима'!q1629+'[2]$ зима'!w1629+'[2]$ зима'!ac1629+'[2]$ зима'!ai1629+'[2]$ зима'!ao1629+'[2]$ зима'!k1629</f>
        <v>15</v>
      </c>
      <c r="I1629" s="191" t="n">
        <f aca="false">'[2]$ зима'!ay1629*1.1</f>
        <v>1624.48</v>
      </c>
      <c r="J1629" s="171" t="n">
        <v>2017</v>
      </c>
    </row>
    <row r="1630" customFormat="false" ht="15" hidden="true" customHeight="false" outlineLevel="0" collapsed="false">
      <c r="A1630" s="196" t="s">
        <v>274</v>
      </c>
      <c r="B1630" s="149" t="s">
        <v>586</v>
      </c>
      <c r="C1630" s="148" t="s">
        <v>3898</v>
      </c>
      <c r="D1630" s="202"/>
      <c r="E1630" s="202"/>
      <c r="F1630" s="202"/>
      <c r="G1630" s="203"/>
      <c r="H1630" s="105" t="n">
        <f aca="false">'[2]$ зима'!j1630-'[2]$ зима'!au1630-'[2]$ зима'!at1630-'[2]$ зима'!as1630-'[2]$ зима'!ar1630-'[2]$ зима'!aq1630-'[2]$ зима'!ap1630-'[2]$ зима'!an1630-'[2]$ зима'!am1630-'[2]$ зима'!al1630-'[2]$ зима'!ak1630-'[2]$ зима'!aj1630-'[2]$ зима'!ah1630-'[2]$ зима'!ag1630-'[2]$ зима'!af1630-'[2]$ зима'!ae1630-'[2]$ зима'!ad1630-'[2]$ зима'!ab1630-'[2]$ зима'!aa1630-'[2]$ зима'!z1630-'[2]$ зима'!y1630-'[2]$ зима'!x1630-'[2]$ зима'!v1630-'[2]$ зима'!u1630-'[2]$ зима'!t1630-'[2]$ зима'!s1630-'[2]$ зима'!r1630-'[2]$ зима'!p1630-'[2]$ зима'!o1630-'[2]$ зима'!n1630-'[2]$ зима'!m1630-'[2]$ зима'!l1630+'[2]$ зима'!q1630+'[2]$ зима'!w1630+'[2]$ зима'!ac1630+'[2]$ зима'!ai1630+'[2]$ зима'!ao1630+'[2]$ зима'!k1630</f>
        <v>0</v>
      </c>
      <c r="I1630" s="191" t="n">
        <f aca="false">'[2]$ зима'!ay1630*1.1</f>
        <v>1249.6</v>
      </c>
      <c r="J1630" s="171" t="n">
        <v>2017</v>
      </c>
    </row>
    <row r="1631" customFormat="false" ht="15" hidden="true" customHeight="false" outlineLevel="0" collapsed="false">
      <c r="A1631" s="196" t="s">
        <v>274</v>
      </c>
      <c r="B1631" s="149" t="s">
        <v>3142</v>
      </c>
      <c r="C1631" s="148" t="s">
        <v>3899</v>
      </c>
      <c r="D1631" s="202"/>
      <c r="E1631" s="202" t="s">
        <v>2432</v>
      </c>
      <c r="F1631" s="202"/>
      <c r="G1631" s="203"/>
      <c r="H1631" s="105" t="n">
        <f aca="false">'[2]$ зима'!j1631-'[2]$ зима'!au1631-'[2]$ зима'!at1631-'[2]$ зима'!as1631-'[2]$ зима'!ar1631-'[2]$ зима'!aq1631-'[2]$ зима'!ap1631-'[2]$ зима'!an1631-'[2]$ зима'!am1631-'[2]$ зима'!al1631-'[2]$ зима'!ak1631-'[2]$ зима'!aj1631-'[2]$ зима'!ah1631-'[2]$ зима'!ag1631-'[2]$ зима'!af1631-'[2]$ зима'!ae1631-'[2]$ зима'!ad1631-'[2]$ зима'!ab1631-'[2]$ зима'!aa1631-'[2]$ зима'!z1631-'[2]$ зима'!y1631-'[2]$ зима'!x1631-'[2]$ зима'!v1631-'[2]$ зима'!u1631-'[2]$ зима'!t1631-'[2]$ зима'!s1631-'[2]$ зима'!r1631-'[2]$ зима'!p1631-'[2]$ зима'!o1631-'[2]$ зима'!n1631-'[2]$ зима'!m1631-'[2]$ зима'!l1631+'[2]$ зима'!q1631+'[2]$ зима'!w1631+'[2]$ зима'!ac1631+'[2]$ зима'!ai1631+'[2]$ зима'!ao1631+'[2]$ зима'!k1631</f>
        <v>0</v>
      </c>
      <c r="I1631" s="191" t="n">
        <f aca="false">'[2]$ зима'!ay1631*1.1</f>
        <v>1312.08</v>
      </c>
    </row>
    <row r="1632" customFormat="false" ht="15" hidden="true" customHeight="false" outlineLevel="0" collapsed="false">
      <c r="A1632" s="196" t="s">
        <v>274</v>
      </c>
      <c r="B1632" s="149" t="s">
        <v>3142</v>
      </c>
      <c r="C1632" s="148" t="s">
        <v>3143</v>
      </c>
      <c r="D1632" s="202"/>
      <c r="E1632" s="202"/>
      <c r="F1632" s="202"/>
      <c r="G1632" s="203"/>
      <c r="H1632" s="105" t="n">
        <f aca="false">'[2]$ зима'!j1632-'[2]$ зима'!au1632-'[2]$ зима'!at1632-'[2]$ зима'!as1632-'[2]$ зима'!ar1632-'[2]$ зима'!aq1632-'[2]$ зима'!ap1632-'[2]$ зима'!an1632-'[2]$ зима'!am1632-'[2]$ зима'!al1632-'[2]$ зима'!ak1632-'[2]$ зима'!aj1632-'[2]$ зима'!ah1632-'[2]$ зима'!ag1632-'[2]$ зима'!af1632-'[2]$ зима'!ae1632-'[2]$ зима'!ad1632-'[2]$ зима'!ab1632-'[2]$ зима'!aa1632-'[2]$ зима'!z1632-'[2]$ зима'!y1632-'[2]$ зима'!x1632-'[2]$ зима'!v1632-'[2]$ зима'!u1632-'[2]$ зима'!t1632-'[2]$ зима'!s1632-'[2]$ зима'!r1632-'[2]$ зима'!p1632-'[2]$ зима'!o1632-'[2]$ зима'!n1632-'[2]$ зима'!m1632-'[2]$ зима'!l1632+'[2]$ зима'!q1632+'[2]$ зима'!w1632+'[2]$ зима'!ac1632+'[2]$ зима'!ai1632+'[2]$ зима'!ao1632+'[2]$ зима'!k1632</f>
        <v>0</v>
      </c>
      <c r="I1632" s="191" t="n">
        <f aca="false">'[2]$ зима'!ay1632*1.1</f>
        <v>1312.08</v>
      </c>
    </row>
    <row r="1633" customFormat="false" ht="15" hidden="false" customHeight="false" outlineLevel="0" collapsed="false">
      <c r="A1633" s="196" t="s">
        <v>274</v>
      </c>
      <c r="B1633" s="149" t="s">
        <v>617</v>
      </c>
      <c r="C1633" s="148" t="s">
        <v>3900</v>
      </c>
      <c r="D1633" s="202"/>
      <c r="E1633" s="211"/>
      <c r="F1633" s="211"/>
      <c r="G1633" s="203" t="s">
        <v>625</v>
      </c>
      <c r="H1633" s="105" t="n">
        <f aca="false">'[2]$ зима'!j1633-'[2]$ зима'!au1633-'[2]$ зима'!at1633-'[2]$ зима'!as1633-'[2]$ зима'!ar1633-'[2]$ зима'!aq1633-'[2]$ зима'!ap1633-'[2]$ зима'!an1633-'[2]$ зима'!am1633-'[2]$ зима'!al1633-'[2]$ зима'!ak1633-'[2]$ зима'!aj1633-'[2]$ зима'!ah1633-'[2]$ зима'!ag1633-'[2]$ зима'!af1633-'[2]$ зима'!ae1633-'[2]$ зима'!ad1633-'[2]$ зима'!ab1633-'[2]$ зима'!aa1633-'[2]$ зима'!z1633-'[2]$ зима'!y1633-'[2]$ зима'!x1633-'[2]$ зима'!v1633-'[2]$ зима'!u1633-'[2]$ зима'!t1633-'[2]$ зима'!s1633-'[2]$ зима'!r1633-'[2]$ зима'!p1633-'[2]$ зима'!o1633-'[2]$ зима'!n1633-'[2]$ зима'!m1633-'[2]$ зима'!l1633+'[2]$ зима'!q1633+'[2]$ зима'!w1633+'[2]$ зима'!ac1633+'[2]$ зима'!ai1633+'[2]$ зима'!ao1633+'[2]$ зима'!k1633</f>
        <v>4</v>
      </c>
      <c r="I1633" s="191" t="n">
        <f aca="false">'[2]$ зима'!ay1633*1.1</f>
        <v>1749.44</v>
      </c>
      <c r="J1633" s="171" t="n">
        <v>2017</v>
      </c>
    </row>
    <row r="1634" customFormat="false" ht="15" hidden="true" customHeight="false" outlineLevel="0" collapsed="false">
      <c r="A1634" s="196" t="s">
        <v>274</v>
      </c>
      <c r="B1634" s="149" t="s">
        <v>564</v>
      </c>
      <c r="C1634" s="148" t="s">
        <v>3901</v>
      </c>
      <c r="D1634" s="202"/>
      <c r="E1634" s="202"/>
      <c r="F1634" s="202"/>
      <c r="G1634" s="203"/>
      <c r="H1634" s="105" t="n">
        <f aca="false">'[2]$ зима'!j1634-'[2]$ зима'!au1634-'[2]$ зима'!at1634-'[2]$ зима'!as1634-'[2]$ зима'!ar1634-'[2]$ зима'!aq1634-'[2]$ зима'!ap1634-'[2]$ зима'!an1634-'[2]$ зима'!am1634-'[2]$ зима'!al1634-'[2]$ зима'!ak1634-'[2]$ зима'!aj1634-'[2]$ зима'!ah1634-'[2]$ зима'!ag1634-'[2]$ зима'!af1634-'[2]$ зима'!ae1634-'[2]$ зима'!ad1634-'[2]$ зима'!ab1634-'[2]$ зима'!aa1634-'[2]$ зима'!z1634-'[2]$ зима'!y1634-'[2]$ зима'!x1634-'[2]$ зима'!v1634-'[2]$ зима'!u1634-'[2]$ зима'!t1634-'[2]$ зима'!s1634-'[2]$ зима'!r1634-'[2]$ зима'!p1634-'[2]$ зима'!o1634-'[2]$ зима'!n1634-'[2]$ зима'!m1634-'[2]$ зима'!l1634+'[2]$ зима'!q1634+'[2]$ зима'!w1634+'[2]$ зима'!ac1634+'[2]$ зима'!ai1634+'[2]$ зима'!ao1634+'[2]$ зима'!k1634</f>
        <v>0</v>
      </c>
      <c r="I1634" s="191" t="n">
        <f aca="false">'[2]$ зима'!ay1634*1.1</f>
        <v>1343.32</v>
      </c>
    </row>
    <row r="1635" customFormat="false" ht="15" hidden="true" customHeight="false" outlineLevel="0" collapsed="false">
      <c r="A1635" s="246" t="s">
        <v>3902</v>
      </c>
      <c r="B1635" s="149" t="s">
        <v>652</v>
      </c>
      <c r="C1635" s="148" t="s">
        <v>3903</v>
      </c>
      <c r="D1635" s="202"/>
      <c r="E1635" s="202"/>
      <c r="F1635" s="202"/>
      <c r="G1635" s="203"/>
      <c r="H1635" s="105" t="n">
        <f aca="false">'[2]$ зима'!j1635-'[2]$ зима'!au1635-'[2]$ зима'!at1635-'[2]$ зима'!as1635-'[2]$ зима'!ar1635-'[2]$ зима'!aq1635-'[2]$ зима'!ap1635-'[2]$ зима'!an1635-'[2]$ зима'!am1635-'[2]$ зима'!al1635-'[2]$ зима'!ak1635-'[2]$ зима'!aj1635-'[2]$ зима'!ah1635-'[2]$ зима'!ag1635-'[2]$ зима'!af1635-'[2]$ зима'!ae1635-'[2]$ зима'!ad1635-'[2]$ зима'!ab1635-'[2]$ зима'!aa1635-'[2]$ зима'!z1635-'[2]$ зима'!y1635-'[2]$ зима'!x1635-'[2]$ зима'!v1635-'[2]$ зима'!u1635-'[2]$ зима'!t1635-'[2]$ зима'!s1635-'[2]$ зима'!r1635-'[2]$ зима'!p1635-'[2]$ зима'!o1635-'[2]$ зима'!n1635-'[2]$ зима'!m1635-'[2]$ зима'!l1635+'[2]$ зима'!q1635+'[2]$ зима'!w1635+'[2]$ зима'!ac1635+'[2]$ зима'!ai1635+'[2]$ зима'!ao1635+'[2]$ зима'!k1635</f>
        <v>0</v>
      </c>
      <c r="I1635" s="191" t="n">
        <f aca="false">'[2]$ зима'!ay1635*1.1</f>
        <v>1405.8</v>
      </c>
    </row>
    <row r="1636" customFormat="false" ht="15" hidden="true" customHeight="false" outlineLevel="0" collapsed="false">
      <c r="A1636" s="196" t="s">
        <v>277</v>
      </c>
      <c r="B1636" s="149" t="s">
        <v>568</v>
      </c>
      <c r="C1636" s="148" t="s">
        <v>3904</v>
      </c>
      <c r="D1636" s="202"/>
      <c r="E1636" s="202"/>
      <c r="F1636" s="202"/>
      <c r="G1636" s="203"/>
      <c r="H1636" s="105" t="n">
        <f aca="false">'[2]$ зима'!j1636-'[2]$ зима'!au1636-'[2]$ зима'!at1636-'[2]$ зима'!as1636-'[2]$ зима'!ar1636-'[2]$ зима'!aq1636-'[2]$ зима'!ap1636-'[2]$ зима'!an1636-'[2]$ зима'!am1636-'[2]$ зима'!al1636-'[2]$ зима'!ak1636-'[2]$ зима'!aj1636-'[2]$ зима'!ah1636-'[2]$ зима'!ag1636-'[2]$ зима'!af1636-'[2]$ зима'!ae1636-'[2]$ зима'!ad1636-'[2]$ зима'!ab1636-'[2]$ зима'!aa1636-'[2]$ зима'!z1636-'[2]$ зима'!y1636-'[2]$ зима'!x1636-'[2]$ зима'!v1636-'[2]$ зима'!u1636-'[2]$ зима'!t1636-'[2]$ зима'!s1636-'[2]$ зима'!r1636-'[2]$ зима'!p1636-'[2]$ зима'!o1636-'[2]$ зима'!n1636-'[2]$ зима'!m1636-'[2]$ зима'!l1636+'[2]$ зима'!q1636+'[2]$ зима'!w1636+'[2]$ зима'!ac1636+'[2]$ зима'!ai1636+'[2]$ зима'!ao1636+'[2]$ зима'!k1636</f>
        <v>0</v>
      </c>
      <c r="I1636" s="191" t="n">
        <f aca="false">'[2]$ зима'!ay1636*1.1</f>
        <v>1811.92</v>
      </c>
    </row>
    <row r="1637" customFormat="false" ht="15" hidden="true" customHeight="false" outlineLevel="0" collapsed="false">
      <c r="A1637" s="196" t="s">
        <v>277</v>
      </c>
      <c r="B1637" s="149" t="s">
        <v>568</v>
      </c>
      <c r="C1637" s="148" t="s">
        <v>3888</v>
      </c>
      <c r="D1637" s="202"/>
      <c r="E1637" s="202"/>
      <c r="F1637" s="202"/>
      <c r="G1637" s="203"/>
      <c r="H1637" s="105" t="n">
        <f aca="false">'[2]$ зима'!j1637-'[2]$ зима'!au1637-'[2]$ зима'!at1637-'[2]$ зима'!as1637-'[2]$ зима'!ar1637-'[2]$ зима'!aq1637-'[2]$ зима'!ap1637-'[2]$ зима'!an1637-'[2]$ зима'!am1637-'[2]$ зима'!al1637-'[2]$ зима'!ak1637-'[2]$ зима'!aj1637-'[2]$ зима'!ah1637-'[2]$ зима'!ag1637-'[2]$ зима'!af1637-'[2]$ зима'!ae1637-'[2]$ зима'!ad1637-'[2]$ зима'!ab1637-'[2]$ зима'!aa1637-'[2]$ зима'!z1637-'[2]$ зима'!y1637-'[2]$ зима'!x1637-'[2]$ зима'!v1637-'[2]$ зима'!u1637-'[2]$ зима'!t1637-'[2]$ зима'!s1637-'[2]$ зима'!r1637-'[2]$ зима'!p1637-'[2]$ зима'!o1637-'[2]$ зима'!n1637-'[2]$ зима'!m1637-'[2]$ зима'!l1637+'[2]$ зима'!q1637+'[2]$ зима'!w1637+'[2]$ зима'!ac1637+'[2]$ зима'!ai1637+'[2]$ зима'!ao1637+'[2]$ зима'!k1637</f>
        <v>0</v>
      </c>
      <c r="I1637" s="191" t="n">
        <f aca="false">'[2]$ зима'!ay1637*1.1</f>
        <v>1749.44</v>
      </c>
    </row>
    <row r="1638" customFormat="false" ht="15" hidden="true" customHeight="false" outlineLevel="0" collapsed="false">
      <c r="A1638" s="196" t="s">
        <v>277</v>
      </c>
      <c r="B1638" s="149" t="s">
        <v>604</v>
      </c>
      <c r="C1638" s="148" t="s">
        <v>3905</v>
      </c>
      <c r="D1638" s="202"/>
      <c r="E1638" s="202"/>
      <c r="F1638" s="202"/>
      <c r="G1638" s="203"/>
      <c r="H1638" s="105" t="n">
        <f aca="false">'[2]$ зима'!j1638-'[2]$ зима'!au1638-'[2]$ зима'!at1638-'[2]$ зима'!as1638-'[2]$ зима'!ar1638-'[2]$ зима'!aq1638-'[2]$ зима'!ap1638-'[2]$ зима'!an1638-'[2]$ зима'!am1638-'[2]$ зима'!al1638-'[2]$ зима'!ak1638-'[2]$ зима'!aj1638-'[2]$ зима'!ah1638-'[2]$ зима'!ag1638-'[2]$ зима'!af1638-'[2]$ зима'!ae1638-'[2]$ зима'!ad1638-'[2]$ зима'!ab1638-'[2]$ зима'!aa1638-'[2]$ зима'!z1638-'[2]$ зима'!y1638-'[2]$ зима'!x1638-'[2]$ зима'!v1638-'[2]$ зима'!u1638-'[2]$ зима'!t1638-'[2]$ зима'!s1638-'[2]$ зима'!r1638-'[2]$ зима'!p1638-'[2]$ зима'!o1638-'[2]$ зима'!n1638-'[2]$ зима'!m1638-'[2]$ зима'!l1638+'[2]$ зима'!q1638+'[2]$ зима'!w1638+'[2]$ зима'!ac1638+'[2]$ зима'!ai1638+'[2]$ зима'!ao1638+'[2]$ зима'!k1638</f>
        <v>0</v>
      </c>
      <c r="I1638" s="191" t="n">
        <f aca="false">'[2]$ зима'!ay1638*1.1</f>
        <v>1936.88</v>
      </c>
    </row>
    <row r="1639" customFormat="false" ht="15" hidden="false" customHeight="false" outlineLevel="0" collapsed="false">
      <c r="A1639" s="196" t="s">
        <v>3906</v>
      </c>
      <c r="B1639" s="149" t="s">
        <v>606</v>
      </c>
      <c r="C1639" s="148" t="s">
        <v>3907</v>
      </c>
      <c r="D1639" s="202"/>
      <c r="E1639" s="211"/>
      <c r="F1639" s="211"/>
      <c r="G1639" s="203"/>
      <c r="H1639" s="105" t="n">
        <f aca="false">'[2]$ зима'!j1639-'[2]$ зима'!au1639-'[2]$ зима'!at1639-'[2]$ зима'!as1639-'[2]$ зима'!ar1639-'[2]$ зима'!aq1639-'[2]$ зима'!ap1639-'[2]$ зима'!an1639-'[2]$ зима'!am1639-'[2]$ зима'!al1639-'[2]$ зима'!ak1639-'[2]$ зима'!aj1639-'[2]$ зима'!ah1639-'[2]$ зима'!ag1639-'[2]$ зима'!af1639-'[2]$ зима'!ae1639-'[2]$ зима'!ad1639-'[2]$ зима'!ab1639-'[2]$ зима'!aa1639-'[2]$ зима'!z1639-'[2]$ зима'!y1639-'[2]$ зима'!x1639-'[2]$ зима'!v1639-'[2]$ зима'!u1639-'[2]$ зима'!t1639-'[2]$ зима'!s1639-'[2]$ зима'!r1639-'[2]$ зима'!p1639-'[2]$ зима'!o1639-'[2]$ зима'!n1639-'[2]$ зима'!m1639-'[2]$ зима'!l1639+'[2]$ зима'!q1639+'[2]$ зима'!w1639+'[2]$ зима'!ac1639+'[2]$ зима'!ai1639+'[2]$ зима'!ao1639+'[2]$ зима'!k1639</f>
        <v>8</v>
      </c>
      <c r="I1639" s="191" t="n">
        <f aca="false">'[2]$ зима'!ay1639*1.1</f>
        <v>2499.2</v>
      </c>
      <c r="J1639" s="171" t="n">
        <v>2017</v>
      </c>
    </row>
    <row r="1640" customFormat="false" ht="15" hidden="false" customHeight="false" outlineLevel="0" collapsed="false">
      <c r="A1640" s="196" t="s">
        <v>277</v>
      </c>
      <c r="B1640" s="149" t="s">
        <v>606</v>
      </c>
      <c r="C1640" s="148" t="s">
        <v>3908</v>
      </c>
      <c r="D1640" s="202" t="s">
        <v>3147</v>
      </c>
      <c r="E1640" s="211"/>
      <c r="F1640" s="211"/>
      <c r="G1640" s="203"/>
      <c r="H1640" s="105" t="n">
        <f aca="false">'[2]$ зима'!j1640-'[2]$ зима'!au1640-'[2]$ зима'!at1640-'[2]$ зима'!as1640-'[2]$ зима'!ar1640-'[2]$ зима'!aq1640-'[2]$ зима'!ap1640-'[2]$ зима'!an1640-'[2]$ зима'!am1640-'[2]$ зима'!al1640-'[2]$ зима'!ak1640-'[2]$ зима'!aj1640-'[2]$ зима'!ah1640-'[2]$ зима'!ag1640-'[2]$ зима'!af1640-'[2]$ зима'!ae1640-'[2]$ зима'!ad1640-'[2]$ зима'!ab1640-'[2]$ зима'!aa1640-'[2]$ зима'!z1640-'[2]$ зима'!y1640-'[2]$ зима'!x1640-'[2]$ зима'!v1640-'[2]$ зима'!u1640-'[2]$ зима'!t1640-'[2]$ зима'!s1640-'[2]$ зима'!r1640-'[2]$ зима'!p1640-'[2]$ зима'!o1640-'[2]$ зима'!n1640-'[2]$ зима'!m1640-'[2]$ зима'!l1640+'[2]$ зима'!q1640+'[2]$ зима'!w1640+'[2]$ зима'!ac1640+'[2]$ зима'!ai1640+'[2]$ зима'!ao1640+'[2]$ зима'!k1640</f>
        <v>2</v>
      </c>
      <c r="I1640" s="191" t="n">
        <f aca="false">'[2]$ зима'!ay1640*1.1</f>
        <v>2860</v>
      </c>
    </row>
    <row r="1641" customFormat="false" ht="15" hidden="false" customHeight="false" outlineLevel="0" collapsed="false">
      <c r="A1641" s="196" t="s">
        <v>277</v>
      </c>
      <c r="B1641" s="149" t="s">
        <v>574</v>
      </c>
      <c r="C1641" s="148" t="s">
        <v>3909</v>
      </c>
      <c r="D1641" s="148"/>
      <c r="E1641" s="148" t="s">
        <v>2455</v>
      </c>
      <c r="F1641" s="148"/>
      <c r="G1641" s="193" t="s">
        <v>576</v>
      </c>
      <c r="H1641" s="105" t="n">
        <f aca="false">'[2]$ зима'!j1641-'[2]$ зима'!au1641-'[2]$ зима'!at1641-'[2]$ зима'!as1641-'[2]$ зима'!ar1641-'[2]$ зима'!aq1641-'[2]$ зима'!ap1641-'[2]$ зима'!an1641-'[2]$ зима'!am1641-'[2]$ зима'!al1641-'[2]$ зима'!ak1641-'[2]$ зима'!aj1641-'[2]$ зима'!ah1641-'[2]$ зима'!ag1641-'[2]$ зима'!af1641-'[2]$ зима'!ae1641-'[2]$ зима'!ad1641-'[2]$ зима'!ab1641-'[2]$ зима'!aa1641-'[2]$ зима'!z1641-'[2]$ зима'!y1641-'[2]$ зима'!x1641-'[2]$ зима'!v1641-'[2]$ зима'!u1641-'[2]$ зима'!t1641-'[2]$ зима'!s1641-'[2]$ зима'!r1641-'[2]$ зима'!p1641-'[2]$ зима'!o1641-'[2]$ зима'!n1641-'[2]$ зима'!m1641-'[2]$ зима'!l1641+'[2]$ зима'!q1641+'[2]$ зима'!w1641+'[2]$ зима'!ac1641+'[2]$ зима'!ai1641+'[2]$ зима'!ao1641+'[2]$ зима'!k1641</f>
        <v>10</v>
      </c>
      <c r="I1641" s="191" t="n">
        <f aca="false">'[2]$ зима'!ay1641*1.1</f>
        <v>2030.6</v>
      </c>
      <c r="J1641" s="171" t="n">
        <v>2018</v>
      </c>
    </row>
    <row r="1642" customFormat="false" ht="15" hidden="false" customHeight="false" outlineLevel="0" collapsed="false">
      <c r="A1642" s="196" t="s">
        <v>277</v>
      </c>
      <c r="B1642" s="149" t="s">
        <v>574</v>
      </c>
      <c r="C1642" s="148" t="s">
        <v>3910</v>
      </c>
      <c r="D1642" s="148"/>
      <c r="E1642" s="192" t="s">
        <v>2455</v>
      </c>
      <c r="F1642" s="192"/>
      <c r="G1642" s="193" t="s">
        <v>576</v>
      </c>
      <c r="H1642" s="105" t="n">
        <f aca="false">'[2]$ зима'!j1642-'[2]$ зима'!au1642-'[2]$ зима'!at1642-'[2]$ зима'!as1642-'[2]$ зима'!ar1642-'[2]$ зима'!aq1642-'[2]$ зима'!ap1642-'[2]$ зима'!an1642-'[2]$ зима'!am1642-'[2]$ зима'!al1642-'[2]$ зима'!ak1642-'[2]$ зима'!aj1642-'[2]$ зима'!ah1642-'[2]$ зима'!ag1642-'[2]$ зима'!af1642-'[2]$ зима'!ae1642-'[2]$ зима'!ad1642-'[2]$ зима'!ab1642-'[2]$ зима'!aa1642-'[2]$ зима'!z1642-'[2]$ зима'!y1642-'[2]$ зима'!x1642-'[2]$ зима'!v1642-'[2]$ зима'!u1642-'[2]$ зима'!t1642-'[2]$ зима'!s1642-'[2]$ зима'!r1642-'[2]$ зима'!p1642-'[2]$ зима'!o1642-'[2]$ зима'!n1642-'[2]$ зима'!m1642-'[2]$ зима'!l1642+'[2]$ зима'!q1642+'[2]$ зима'!w1642+'[2]$ зима'!ac1642+'[2]$ зима'!ai1642+'[2]$ зима'!ao1642+'[2]$ зима'!k1642</f>
        <v>8</v>
      </c>
      <c r="I1642" s="191" t="n">
        <f aca="false">'[2]$ зима'!ay1642*1.1</f>
        <v>2061.84</v>
      </c>
      <c r="J1642" s="171" t="n">
        <v>2018</v>
      </c>
    </row>
    <row r="1643" customFormat="false" ht="15" hidden="false" customHeight="false" outlineLevel="0" collapsed="false">
      <c r="A1643" s="196" t="s">
        <v>277</v>
      </c>
      <c r="B1643" s="149" t="s">
        <v>577</v>
      </c>
      <c r="C1643" s="148" t="s">
        <v>3896</v>
      </c>
      <c r="D1643" s="148"/>
      <c r="E1643" s="192"/>
      <c r="F1643" s="192"/>
      <c r="G1643" s="193" t="s">
        <v>563</v>
      </c>
      <c r="H1643" s="105" t="n">
        <f aca="false">'[2]$ зима'!j1643-'[2]$ зима'!au1643-'[2]$ зима'!at1643-'[2]$ зима'!as1643-'[2]$ зима'!ar1643-'[2]$ зима'!aq1643-'[2]$ зима'!ap1643-'[2]$ зима'!an1643-'[2]$ зима'!am1643-'[2]$ зима'!al1643-'[2]$ зима'!ak1643-'[2]$ зима'!aj1643-'[2]$ зима'!ah1643-'[2]$ зима'!ag1643-'[2]$ зима'!af1643-'[2]$ зима'!ae1643-'[2]$ зима'!ad1643-'[2]$ зима'!ab1643-'[2]$ зима'!aa1643-'[2]$ зима'!z1643-'[2]$ зима'!y1643-'[2]$ зима'!x1643-'[2]$ зима'!v1643-'[2]$ зима'!u1643-'[2]$ зима'!t1643-'[2]$ зима'!s1643-'[2]$ зима'!r1643-'[2]$ зима'!p1643-'[2]$ зима'!o1643-'[2]$ зима'!n1643-'[2]$ зима'!m1643-'[2]$ зима'!l1643+'[2]$ зима'!q1643+'[2]$ зима'!w1643+'[2]$ зима'!ac1643+'[2]$ зима'!ai1643+'[2]$ зима'!ao1643+'[2]$ зима'!k1643</f>
        <v>4</v>
      </c>
      <c r="I1643" s="191" t="n">
        <f aca="false">'[2]$ зима'!ay1643*1.1</f>
        <v>1968.12</v>
      </c>
    </row>
    <row r="1644" customFormat="false" ht="15" hidden="false" customHeight="false" outlineLevel="0" collapsed="false">
      <c r="A1644" s="196" t="s">
        <v>277</v>
      </c>
      <c r="B1644" s="149" t="s">
        <v>583</v>
      </c>
      <c r="C1644" s="148" t="s">
        <v>3897</v>
      </c>
      <c r="D1644" s="202"/>
      <c r="E1644" s="211"/>
      <c r="F1644" s="211"/>
      <c r="G1644" s="203" t="s">
        <v>570</v>
      </c>
      <c r="H1644" s="105" t="n">
        <f aca="false">'[2]$ зима'!j1644-'[2]$ зима'!au1644-'[2]$ зима'!at1644-'[2]$ зима'!as1644-'[2]$ зима'!ar1644-'[2]$ зима'!aq1644-'[2]$ зима'!ap1644-'[2]$ зима'!an1644-'[2]$ зима'!am1644-'[2]$ зима'!al1644-'[2]$ зима'!ak1644-'[2]$ зима'!aj1644-'[2]$ зима'!ah1644-'[2]$ зима'!ag1644-'[2]$ зима'!af1644-'[2]$ зима'!ae1644-'[2]$ зима'!ad1644-'[2]$ зима'!ab1644-'[2]$ зима'!aa1644-'[2]$ зима'!z1644-'[2]$ зима'!y1644-'[2]$ зима'!x1644-'[2]$ зима'!v1644-'[2]$ зима'!u1644-'[2]$ зима'!t1644-'[2]$ зима'!s1644-'[2]$ зима'!r1644-'[2]$ зима'!p1644-'[2]$ зима'!o1644-'[2]$ зима'!n1644-'[2]$ зима'!m1644-'[2]$ зима'!l1644+'[2]$ зима'!q1644+'[2]$ зима'!w1644+'[2]$ зима'!ac1644+'[2]$ зима'!ai1644+'[2]$ зима'!ao1644+'[2]$ зима'!k1644</f>
        <v>5</v>
      </c>
      <c r="I1644" s="191" t="n">
        <f aca="false">'[2]$ зима'!ay1644*1.1</f>
        <v>1811.92</v>
      </c>
      <c r="J1644" s="171" t="n">
        <v>2017</v>
      </c>
    </row>
    <row r="1645" customFormat="false" ht="15" hidden="false" customHeight="false" outlineLevel="0" collapsed="false">
      <c r="A1645" s="196" t="s">
        <v>277</v>
      </c>
      <c r="B1645" s="149" t="s">
        <v>3142</v>
      </c>
      <c r="C1645" s="148" t="s">
        <v>3911</v>
      </c>
      <c r="D1645" s="202"/>
      <c r="E1645" s="211"/>
      <c r="F1645" s="211"/>
      <c r="G1645" s="203"/>
      <c r="H1645" s="105" t="n">
        <f aca="false">'[2]$ зима'!j1645-'[2]$ зима'!au1645-'[2]$ зима'!at1645-'[2]$ зима'!as1645-'[2]$ зима'!ar1645-'[2]$ зима'!aq1645-'[2]$ зима'!ap1645-'[2]$ зима'!an1645-'[2]$ зима'!am1645-'[2]$ зима'!al1645-'[2]$ зима'!ak1645-'[2]$ зима'!aj1645-'[2]$ зима'!ah1645-'[2]$ зима'!ag1645-'[2]$ зима'!af1645-'[2]$ зима'!ae1645-'[2]$ зима'!ad1645-'[2]$ зима'!ab1645-'[2]$ зима'!aa1645-'[2]$ зима'!z1645-'[2]$ зима'!y1645-'[2]$ зима'!x1645-'[2]$ зима'!v1645-'[2]$ зима'!u1645-'[2]$ зима'!t1645-'[2]$ зима'!s1645-'[2]$ зима'!r1645-'[2]$ зима'!p1645-'[2]$ зима'!o1645-'[2]$ зима'!n1645-'[2]$ зима'!m1645-'[2]$ зима'!l1645+'[2]$ зима'!q1645+'[2]$ зима'!w1645+'[2]$ зима'!ac1645+'[2]$ зима'!ai1645+'[2]$ зима'!ao1645+'[2]$ зима'!k1645</f>
        <v>6</v>
      </c>
      <c r="I1645" s="191" t="n">
        <f aca="false">'[2]$ зима'!ay1645*1.1</f>
        <v>1843.16</v>
      </c>
    </row>
    <row r="1646" customFormat="false" ht="15" hidden="true" customHeight="false" outlineLevel="0" collapsed="false">
      <c r="A1646" s="196" t="s">
        <v>277</v>
      </c>
      <c r="B1646" s="149" t="s">
        <v>652</v>
      </c>
      <c r="C1646" s="148" t="s">
        <v>3903</v>
      </c>
      <c r="D1646" s="202"/>
      <c r="E1646" s="202"/>
      <c r="F1646" s="202"/>
      <c r="G1646" s="203"/>
      <c r="H1646" s="105" t="n">
        <f aca="false">'[2]$ зима'!j1646-'[2]$ зима'!au1646-'[2]$ зима'!at1646-'[2]$ зима'!as1646-'[2]$ зима'!ar1646-'[2]$ зима'!aq1646-'[2]$ зима'!ap1646-'[2]$ зима'!an1646-'[2]$ зима'!am1646-'[2]$ зима'!al1646-'[2]$ зима'!ak1646-'[2]$ зима'!aj1646-'[2]$ зима'!ah1646-'[2]$ зима'!ag1646-'[2]$ зима'!af1646-'[2]$ зима'!ae1646-'[2]$ зима'!ad1646-'[2]$ зима'!ab1646-'[2]$ зима'!aa1646-'[2]$ зима'!z1646-'[2]$ зима'!y1646-'[2]$ зима'!x1646-'[2]$ зима'!v1646-'[2]$ зима'!u1646-'[2]$ зима'!t1646-'[2]$ зима'!s1646-'[2]$ зима'!r1646-'[2]$ зима'!p1646-'[2]$ зима'!o1646-'[2]$ зима'!n1646-'[2]$ зима'!m1646-'[2]$ зима'!l1646+'[2]$ зима'!q1646+'[2]$ зима'!w1646+'[2]$ зима'!ac1646+'[2]$ зима'!ai1646+'[2]$ зима'!ao1646+'[2]$ зима'!k1646</f>
        <v>0</v>
      </c>
      <c r="I1646" s="191" t="n">
        <f aca="false">'[2]$ зима'!ay1646*1.1</f>
        <v>1780.68</v>
      </c>
    </row>
    <row r="1647" customFormat="false" ht="15" hidden="true" customHeight="false" outlineLevel="0" collapsed="false">
      <c r="A1647" s="196" t="s">
        <v>277</v>
      </c>
      <c r="B1647" s="149" t="s">
        <v>589</v>
      </c>
      <c r="C1647" s="148" t="s">
        <v>3912</v>
      </c>
      <c r="D1647" s="148"/>
      <c r="E1647" s="148"/>
      <c r="F1647" s="148"/>
      <c r="G1647" s="193" t="s">
        <v>626</v>
      </c>
      <c r="H1647" s="105" t="n">
        <f aca="false">'[2]$ зима'!j1647-'[2]$ зима'!au1647-'[2]$ зима'!at1647-'[2]$ зима'!as1647-'[2]$ зима'!ar1647-'[2]$ зима'!aq1647-'[2]$ зима'!ap1647-'[2]$ зима'!an1647-'[2]$ зима'!am1647-'[2]$ зима'!al1647-'[2]$ зима'!ak1647-'[2]$ зима'!aj1647-'[2]$ зима'!ah1647-'[2]$ зима'!ag1647-'[2]$ зима'!af1647-'[2]$ зима'!ae1647-'[2]$ зима'!ad1647-'[2]$ зима'!ab1647-'[2]$ зима'!aa1647-'[2]$ зима'!z1647-'[2]$ зима'!y1647-'[2]$ зима'!x1647-'[2]$ зима'!v1647-'[2]$ зима'!u1647-'[2]$ зима'!t1647-'[2]$ зима'!s1647-'[2]$ зима'!r1647-'[2]$ зима'!p1647-'[2]$ зима'!o1647-'[2]$ зима'!n1647-'[2]$ зима'!m1647-'[2]$ зима'!l1647+'[2]$ зима'!q1647+'[2]$ зима'!w1647+'[2]$ зима'!ac1647+'[2]$ зима'!ai1647+'[2]$ зима'!ao1647+'[2]$ зима'!k1647</f>
        <v>0</v>
      </c>
      <c r="I1647" s="191" t="n">
        <f aca="false">'[2]$ зима'!ay1647*1.1</f>
        <v>1905.64</v>
      </c>
    </row>
    <row r="1648" customFormat="false" ht="15" hidden="true" customHeight="false" outlineLevel="0" collapsed="false">
      <c r="A1648" s="196" t="s">
        <v>277</v>
      </c>
      <c r="B1648" s="149" t="s">
        <v>1028</v>
      </c>
      <c r="C1648" s="148" t="s">
        <v>3913</v>
      </c>
      <c r="D1648" s="202"/>
      <c r="E1648" s="202"/>
      <c r="F1648" s="202"/>
      <c r="G1648" s="203"/>
      <c r="H1648" s="105" t="n">
        <f aca="false">'[2]$ зима'!j1648-'[2]$ зима'!au1648-'[2]$ зима'!at1648-'[2]$ зима'!as1648-'[2]$ зима'!ar1648-'[2]$ зима'!aq1648-'[2]$ зима'!ap1648-'[2]$ зима'!an1648-'[2]$ зима'!am1648-'[2]$ зима'!al1648-'[2]$ зима'!ak1648-'[2]$ зима'!aj1648-'[2]$ зима'!ah1648-'[2]$ зима'!ag1648-'[2]$ зима'!af1648-'[2]$ зима'!ae1648-'[2]$ зима'!ad1648-'[2]$ зима'!ab1648-'[2]$ зима'!aa1648-'[2]$ зима'!z1648-'[2]$ зима'!y1648-'[2]$ зима'!x1648-'[2]$ зима'!v1648-'[2]$ зима'!u1648-'[2]$ зима'!t1648-'[2]$ зима'!s1648-'[2]$ зима'!r1648-'[2]$ зима'!p1648-'[2]$ зима'!o1648-'[2]$ зима'!n1648-'[2]$ зима'!m1648-'[2]$ зима'!l1648+'[2]$ зима'!q1648+'[2]$ зима'!w1648+'[2]$ зима'!ac1648+'[2]$ зима'!ai1648+'[2]$ зима'!ao1648+'[2]$ зима'!k1648</f>
        <v>0</v>
      </c>
      <c r="I1648" s="191" t="n">
        <f aca="false">'[2]$ зима'!ay1648*1.1</f>
        <v>2030.6</v>
      </c>
      <c r="J1648" s="171" t="n">
        <v>2017</v>
      </c>
    </row>
    <row r="1649" customFormat="false" ht="15" hidden="true" customHeight="false" outlineLevel="0" collapsed="false">
      <c r="A1649" s="196" t="s">
        <v>281</v>
      </c>
      <c r="B1649" s="149" t="s">
        <v>606</v>
      </c>
      <c r="C1649" s="148" t="s">
        <v>3914</v>
      </c>
      <c r="D1649" s="202"/>
      <c r="E1649" s="202"/>
      <c r="F1649" s="202"/>
      <c r="G1649" s="203"/>
      <c r="H1649" s="105" t="n">
        <f aca="false">'[2]$ зима'!j1649-'[2]$ зима'!au1649-'[2]$ зима'!at1649-'[2]$ зима'!as1649-'[2]$ зима'!ar1649-'[2]$ зима'!aq1649-'[2]$ зима'!ap1649-'[2]$ зима'!an1649-'[2]$ зима'!am1649-'[2]$ зима'!al1649-'[2]$ зима'!ak1649-'[2]$ зима'!aj1649-'[2]$ зима'!ah1649-'[2]$ зима'!ag1649-'[2]$ зима'!af1649-'[2]$ зима'!ae1649-'[2]$ зима'!ad1649-'[2]$ зима'!ab1649-'[2]$ зима'!aa1649-'[2]$ зима'!z1649-'[2]$ зима'!y1649-'[2]$ зима'!x1649-'[2]$ зима'!v1649-'[2]$ зима'!u1649-'[2]$ зима'!t1649-'[2]$ зима'!s1649-'[2]$ зима'!r1649-'[2]$ зима'!p1649-'[2]$ зима'!o1649-'[2]$ зима'!n1649-'[2]$ зима'!m1649-'[2]$ зима'!l1649+'[2]$ зима'!q1649+'[2]$ зима'!w1649+'[2]$ зима'!ac1649+'[2]$ зима'!ai1649+'[2]$ зима'!ao1649+'[2]$ зима'!k1649</f>
        <v>0</v>
      </c>
      <c r="I1649" s="191" t="n">
        <f aca="false">'[2]$ зима'!ay1649*1.1</f>
        <v>2030.6</v>
      </c>
    </row>
    <row r="1650" customFormat="false" ht="15" hidden="true" customHeight="false" outlineLevel="0" collapsed="false">
      <c r="A1650" s="196" t="s">
        <v>281</v>
      </c>
      <c r="B1650" s="149" t="s">
        <v>652</v>
      </c>
      <c r="C1650" s="148" t="s">
        <v>3903</v>
      </c>
      <c r="D1650" s="202"/>
      <c r="E1650" s="202"/>
      <c r="F1650" s="202"/>
      <c r="G1650" s="203"/>
      <c r="H1650" s="105" t="n">
        <f aca="false">'[2]$ зима'!j1650-'[2]$ зима'!au1650-'[2]$ зима'!at1650-'[2]$ зима'!as1650-'[2]$ зима'!ar1650-'[2]$ зима'!aq1650-'[2]$ зима'!ap1650-'[2]$ зима'!an1650-'[2]$ зима'!am1650-'[2]$ зима'!al1650-'[2]$ зима'!ak1650-'[2]$ зима'!aj1650-'[2]$ зима'!ah1650-'[2]$ зима'!ag1650-'[2]$ зима'!af1650-'[2]$ зима'!ae1650-'[2]$ зима'!ad1650-'[2]$ зима'!ab1650-'[2]$ зима'!aa1650-'[2]$ зима'!z1650-'[2]$ зима'!y1650-'[2]$ зима'!x1650-'[2]$ зима'!v1650-'[2]$ зима'!u1650-'[2]$ зима'!t1650-'[2]$ зима'!s1650-'[2]$ зима'!r1650-'[2]$ зима'!p1650-'[2]$ зима'!o1650-'[2]$ зима'!n1650-'[2]$ зима'!m1650-'[2]$ зима'!l1650+'[2]$ зима'!q1650+'[2]$ зима'!w1650+'[2]$ зима'!ac1650+'[2]$ зима'!ai1650+'[2]$ зима'!ao1650+'[2]$ зима'!k1650</f>
        <v>0</v>
      </c>
      <c r="I1650" s="191" t="n">
        <f aca="false">'[2]$ зима'!ay1650*1.1</f>
        <v>2093.08</v>
      </c>
    </row>
    <row r="1651" customFormat="false" ht="15.75" hidden="false" customHeight="false" outlineLevel="0" collapsed="false">
      <c r="A1651" s="183" t="s">
        <v>282</v>
      </c>
      <c r="B1651" s="207"/>
      <c r="C1651" s="207"/>
      <c r="D1651" s="235"/>
      <c r="E1651" s="236"/>
      <c r="F1651" s="236"/>
      <c r="G1651" s="186"/>
      <c r="H1651" s="105"/>
      <c r="I1651" s="187" t="n">
        <f aca="false">'[2]$ зима'!ay1651*1.1</f>
        <v>0</v>
      </c>
    </row>
    <row r="1652" customFormat="false" ht="15" hidden="true" customHeight="false" outlineLevel="0" collapsed="false">
      <c r="A1652" s="196" t="s">
        <v>283</v>
      </c>
      <c r="B1652" s="149" t="s">
        <v>568</v>
      </c>
      <c r="C1652" s="148" t="s">
        <v>3915</v>
      </c>
      <c r="D1652" s="202"/>
      <c r="E1652" s="202"/>
      <c r="F1652" s="202"/>
      <c r="G1652" s="203"/>
      <c r="H1652" s="105" t="n">
        <f aca="false">'[2]$ зима'!j1652-'[2]$ зима'!au1652-'[2]$ зима'!at1652-'[2]$ зима'!as1652-'[2]$ зима'!ar1652-'[2]$ зима'!aq1652-'[2]$ зима'!ap1652-'[2]$ зима'!an1652-'[2]$ зима'!am1652-'[2]$ зима'!al1652-'[2]$ зима'!ak1652-'[2]$ зима'!aj1652-'[2]$ зима'!ah1652-'[2]$ зима'!ag1652-'[2]$ зима'!af1652-'[2]$ зима'!ae1652-'[2]$ зима'!ad1652-'[2]$ зима'!ab1652-'[2]$ зима'!aa1652-'[2]$ зима'!z1652-'[2]$ зима'!y1652-'[2]$ зима'!x1652-'[2]$ зима'!v1652-'[2]$ зима'!u1652-'[2]$ зима'!t1652-'[2]$ зима'!s1652-'[2]$ зима'!r1652-'[2]$ зима'!p1652-'[2]$ зима'!o1652-'[2]$ зима'!n1652-'[2]$ зима'!m1652-'[2]$ зима'!l1652+'[2]$ зима'!q1652+'[2]$ зима'!w1652+'[2]$ зима'!ac1652+'[2]$ зима'!ai1652+'[2]$ зима'!ao1652+'[2]$ зима'!k1652</f>
        <v>0</v>
      </c>
      <c r="I1652" s="191" t="n">
        <f aca="false">'[2]$ зима'!ay1652*1.1</f>
        <v>1655.72</v>
      </c>
    </row>
    <row r="1653" customFormat="false" ht="15" hidden="true" customHeight="false" outlineLevel="0" collapsed="false">
      <c r="A1653" s="196" t="s">
        <v>283</v>
      </c>
      <c r="B1653" s="149" t="s">
        <v>568</v>
      </c>
      <c r="C1653" s="148" t="s">
        <v>3916</v>
      </c>
      <c r="D1653" s="202"/>
      <c r="E1653" s="202"/>
      <c r="F1653" s="202"/>
      <c r="G1653" s="203"/>
      <c r="H1653" s="105" t="n">
        <f aca="false">'[2]$ зима'!j1653-'[2]$ зима'!au1653-'[2]$ зима'!at1653-'[2]$ зима'!as1653-'[2]$ зима'!ar1653-'[2]$ зима'!aq1653-'[2]$ зима'!ap1653-'[2]$ зима'!an1653-'[2]$ зима'!am1653-'[2]$ зима'!al1653-'[2]$ зима'!ak1653-'[2]$ зима'!aj1653-'[2]$ зима'!ah1653-'[2]$ зима'!ag1653-'[2]$ зима'!af1653-'[2]$ зима'!ae1653-'[2]$ зима'!ad1653-'[2]$ зима'!ab1653-'[2]$ зима'!aa1653-'[2]$ зима'!z1653-'[2]$ зима'!y1653-'[2]$ зима'!x1653-'[2]$ зима'!v1653-'[2]$ зима'!u1653-'[2]$ зима'!t1653-'[2]$ зима'!s1653-'[2]$ зима'!r1653-'[2]$ зима'!p1653-'[2]$ зима'!o1653-'[2]$ зима'!n1653-'[2]$ зима'!m1653-'[2]$ зима'!l1653+'[2]$ зима'!q1653+'[2]$ зима'!w1653+'[2]$ зима'!ac1653+'[2]$ зима'!ai1653+'[2]$ зима'!ao1653+'[2]$ зима'!k1653</f>
        <v>0</v>
      </c>
      <c r="I1653" s="191" t="n">
        <f aca="false">'[2]$ зима'!ay1653*1.1</f>
        <v>1874.4</v>
      </c>
    </row>
    <row r="1654" customFormat="false" ht="15" hidden="true" customHeight="false" outlineLevel="0" collapsed="false">
      <c r="A1654" s="196" t="s">
        <v>283</v>
      </c>
      <c r="B1654" s="149" t="s">
        <v>844</v>
      </c>
      <c r="C1654" s="148" t="s">
        <v>3917</v>
      </c>
      <c r="D1654" s="202"/>
      <c r="E1654" s="202"/>
      <c r="F1654" s="202"/>
      <c r="G1654" s="203" t="s">
        <v>1240</v>
      </c>
      <c r="H1654" s="105" t="n">
        <f aca="false">'[2]$ зима'!j1654-'[2]$ зима'!au1654-'[2]$ зима'!at1654-'[2]$ зима'!as1654-'[2]$ зима'!ar1654-'[2]$ зима'!aq1654-'[2]$ зима'!ap1654-'[2]$ зима'!an1654-'[2]$ зима'!am1654-'[2]$ зима'!al1654-'[2]$ зима'!ak1654-'[2]$ зима'!aj1654-'[2]$ зима'!ah1654-'[2]$ зима'!ag1654-'[2]$ зима'!af1654-'[2]$ зима'!ae1654-'[2]$ зима'!ad1654-'[2]$ зима'!ab1654-'[2]$ зима'!aa1654-'[2]$ зима'!z1654-'[2]$ зима'!y1654-'[2]$ зима'!x1654-'[2]$ зима'!v1654-'[2]$ зима'!u1654-'[2]$ зима'!t1654-'[2]$ зима'!s1654-'[2]$ зима'!r1654-'[2]$ зима'!p1654-'[2]$ зима'!o1654-'[2]$ зима'!n1654-'[2]$ зима'!m1654-'[2]$ зима'!l1654+'[2]$ зима'!q1654+'[2]$ зима'!w1654+'[2]$ зима'!ac1654+'[2]$ зима'!ai1654+'[2]$ зима'!ao1654+'[2]$ зима'!k1654</f>
        <v>0</v>
      </c>
      <c r="I1654" s="191" t="n">
        <f aca="false">'[2]$ зима'!ay1654*1.1</f>
        <v>1780.68</v>
      </c>
    </row>
    <row r="1655" customFormat="false" ht="15" hidden="true" customHeight="false" outlineLevel="0" collapsed="false">
      <c r="A1655" s="196" t="s">
        <v>283</v>
      </c>
      <c r="B1655" s="149" t="s">
        <v>601</v>
      </c>
      <c r="C1655" s="148" t="s">
        <v>3918</v>
      </c>
      <c r="D1655" s="202"/>
      <c r="E1655" s="202"/>
      <c r="F1655" s="202"/>
      <c r="G1655" s="203"/>
      <c r="H1655" s="105" t="n">
        <f aca="false">'[2]$ зима'!j1655-'[2]$ зима'!au1655-'[2]$ зима'!at1655-'[2]$ зима'!as1655-'[2]$ зима'!ar1655-'[2]$ зима'!aq1655-'[2]$ зима'!ap1655-'[2]$ зима'!an1655-'[2]$ зима'!am1655-'[2]$ зима'!al1655-'[2]$ зима'!ak1655-'[2]$ зима'!aj1655-'[2]$ зима'!ah1655-'[2]$ зима'!ag1655-'[2]$ зима'!af1655-'[2]$ зима'!ae1655-'[2]$ зима'!ad1655-'[2]$ зима'!ab1655-'[2]$ зима'!aa1655-'[2]$ зима'!z1655-'[2]$ зима'!y1655-'[2]$ зима'!x1655-'[2]$ зима'!v1655-'[2]$ зима'!u1655-'[2]$ зима'!t1655-'[2]$ зима'!s1655-'[2]$ зима'!r1655-'[2]$ зима'!p1655-'[2]$ зима'!o1655-'[2]$ зима'!n1655-'[2]$ зима'!m1655-'[2]$ зима'!l1655+'[2]$ зима'!q1655+'[2]$ зима'!w1655+'[2]$ зима'!ac1655+'[2]$ зима'!ai1655+'[2]$ зима'!ao1655+'[2]$ зима'!k1655</f>
        <v>0</v>
      </c>
      <c r="I1655" s="191" t="n">
        <f aca="false">'[2]$ зима'!ay1655*1.1</f>
        <v>1562</v>
      </c>
    </row>
    <row r="1656" customFormat="false" ht="15" hidden="true" customHeight="false" outlineLevel="0" collapsed="false">
      <c r="A1656" s="196" t="s">
        <v>283</v>
      </c>
      <c r="B1656" s="149" t="s">
        <v>658</v>
      </c>
      <c r="C1656" s="148" t="s">
        <v>3919</v>
      </c>
      <c r="D1656" s="202"/>
      <c r="E1656" s="202"/>
      <c r="F1656" s="202"/>
      <c r="G1656" s="203"/>
      <c r="H1656" s="105" t="n">
        <f aca="false">'[2]$ зима'!j1656-'[2]$ зима'!au1656-'[2]$ зима'!at1656-'[2]$ зима'!as1656-'[2]$ зима'!ar1656-'[2]$ зима'!aq1656-'[2]$ зима'!ap1656-'[2]$ зима'!an1656-'[2]$ зима'!am1656-'[2]$ зима'!al1656-'[2]$ зима'!ak1656-'[2]$ зима'!aj1656-'[2]$ зима'!ah1656-'[2]$ зима'!ag1656-'[2]$ зима'!af1656-'[2]$ зима'!ae1656-'[2]$ зима'!ad1656-'[2]$ зима'!ab1656-'[2]$ зима'!aa1656-'[2]$ зима'!z1656-'[2]$ зима'!y1656-'[2]$ зима'!x1656-'[2]$ зима'!v1656-'[2]$ зима'!u1656-'[2]$ зима'!t1656-'[2]$ зима'!s1656-'[2]$ зима'!r1656-'[2]$ зима'!p1656-'[2]$ зима'!o1656-'[2]$ зима'!n1656-'[2]$ зима'!m1656-'[2]$ зима'!l1656+'[2]$ зима'!q1656+'[2]$ зима'!w1656+'[2]$ зима'!ac1656+'[2]$ зима'!ai1656+'[2]$ зима'!ao1656+'[2]$ зима'!k1656</f>
        <v>0</v>
      </c>
      <c r="I1656" s="191" t="n">
        <f aca="false">'[2]$ зима'!ay1656*1.1</f>
        <v>1718.2</v>
      </c>
    </row>
    <row r="1657" customFormat="false" ht="15" hidden="false" customHeight="false" outlineLevel="0" collapsed="false">
      <c r="A1657" s="196" t="s">
        <v>283</v>
      </c>
      <c r="B1657" s="149" t="s">
        <v>741</v>
      </c>
      <c r="C1657" s="148" t="s">
        <v>3920</v>
      </c>
      <c r="D1657" s="202"/>
      <c r="E1657" s="211"/>
      <c r="F1657" s="211"/>
      <c r="G1657" s="203" t="s">
        <v>576</v>
      </c>
      <c r="H1657" s="105" t="n">
        <f aca="false">'[2]$ зима'!j1657-'[2]$ зима'!au1657-'[2]$ зима'!at1657-'[2]$ зима'!as1657-'[2]$ зима'!ar1657-'[2]$ зима'!aq1657-'[2]$ зима'!ap1657-'[2]$ зима'!an1657-'[2]$ зима'!am1657-'[2]$ зима'!al1657-'[2]$ зима'!ak1657-'[2]$ зима'!aj1657-'[2]$ зима'!ah1657-'[2]$ зима'!ag1657-'[2]$ зима'!af1657-'[2]$ зима'!ae1657-'[2]$ зима'!ad1657-'[2]$ зима'!ab1657-'[2]$ зима'!aa1657-'[2]$ зима'!z1657-'[2]$ зима'!y1657-'[2]$ зима'!x1657-'[2]$ зима'!v1657-'[2]$ зима'!u1657-'[2]$ зима'!t1657-'[2]$ зима'!s1657-'[2]$ зима'!r1657-'[2]$ зима'!p1657-'[2]$ зима'!o1657-'[2]$ зима'!n1657-'[2]$ зима'!m1657-'[2]$ зима'!l1657+'[2]$ зима'!q1657+'[2]$ зима'!w1657+'[2]$ зима'!ac1657+'[2]$ зима'!ai1657+'[2]$ зима'!ao1657+'[2]$ зима'!k1657</f>
        <v>6</v>
      </c>
      <c r="I1657" s="191" t="n">
        <f aca="false">'[2]$ зима'!ay1657*1.1</f>
        <v>2030.6</v>
      </c>
      <c r="J1657" s="171" t="n">
        <v>2017</v>
      </c>
    </row>
    <row r="1658" customFormat="false" ht="15" hidden="true" customHeight="false" outlineLevel="0" collapsed="false">
      <c r="A1658" s="196" t="s">
        <v>283</v>
      </c>
      <c r="B1658" s="149" t="s">
        <v>3921</v>
      </c>
      <c r="C1658" s="194" t="s">
        <v>3922</v>
      </c>
      <c r="D1658" s="237"/>
      <c r="E1658" s="237"/>
      <c r="F1658" s="237"/>
      <c r="G1658" s="203"/>
      <c r="H1658" s="105" t="n">
        <f aca="false">'[2]$ зима'!j1658-'[2]$ зима'!au1658-'[2]$ зима'!at1658-'[2]$ зима'!as1658-'[2]$ зима'!ar1658-'[2]$ зима'!aq1658-'[2]$ зима'!ap1658-'[2]$ зима'!an1658-'[2]$ зима'!am1658-'[2]$ зима'!al1658-'[2]$ зима'!ak1658-'[2]$ зима'!aj1658-'[2]$ зима'!ah1658-'[2]$ зима'!ag1658-'[2]$ зима'!af1658-'[2]$ зима'!ae1658-'[2]$ зима'!ad1658-'[2]$ зима'!ab1658-'[2]$ зима'!aa1658-'[2]$ зима'!z1658-'[2]$ зима'!y1658-'[2]$ зима'!x1658-'[2]$ зима'!v1658-'[2]$ зима'!u1658-'[2]$ зима'!t1658-'[2]$ зима'!s1658-'[2]$ зима'!r1658-'[2]$ зима'!p1658-'[2]$ зима'!o1658-'[2]$ зима'!n1658-'[2]$ зима'!m1658-'[2]$ зима'!l1658+'[2]$ зима'!q1658+'[2]$ зима'!w1658+'[2]$ зима'!ac1658+'[2]$ зима'!ai1658+'[2]$ зима'!ao1658+'[2]$ зима'!k1658</f>
        <v>0</v>
      </c>
      <c r="I1658" s="191" t="n">
        <f aca="false">'[2]$ зима'!ay1658*1.1</f>
        <v>1405.8</v>
      </c>
    </row>
    <row r="1659" customFormat="false" ht="15" hidden="true" customHeight="false" outlineLevel="0" collapsed="false">
      <c r="A1659" s="196" t="s">
        <v>283</v>
      </c>
      <c r="B1659" s="149" t="s">
        <v>604</v>
      </c>
      <c r="C1659" s="148" t="s">
        <v>3923</v>
      </c>
      <c r="D1659" s="202"/>
      <c r="E1659" s="202"/>
      <c r="F1659" s="202"/>
      <c r="G1659" s="203" t="s">
        <v>1240</v>
      </c>
      <c r="H1659" s="105" t="n">
        <f aca="false">'[2]$ зима'!j1659-'[2]$ зима'!au1659-'[2]$ зима'!at1659-'[2]$ зима'!as1659-'[2]$ зима'!ar1659-'[2]$ зима'!aq1659-'[2]$ зима'!ap1659-'[2]$ зима'!an1659-'[2]$ зима'!am1659-'[2]$ зима'!al1659-'[2]$ зима'!ak1659-'[2]$ зима'!aj1659-'[2]$ зима'!ah1659-'[2]$ зима'!ag1659-'[2]$ зима'!af1659-'[2]$ зима'!ae1659-'[2]$ зима'!ad1659-'[2]$ зима'!ab1659-'[2]$ зима'!aa1659-'[2]$ зима'!z1659-'[2]$ зима'!y1659-'[2]$ зима'!x1659-'[2]$ зима'!v1659-'[2]$ зима'!u1659-'[2]$ зима'!t1659-'[2]$ зима'!s1659-'[2]$ зима'!r1659-'[2]$ зима'!p1659-'[2]$ зима'!o1659-'[2]$ зима'!n1659-'[2]$ зима'!m1659-'[2]$ зима'!l1659+'[2]$ зима'!q1659+'[2]$ зима'!w1659+'[2]$ зима'!ac1659+'[2]$ зима'!ai1659+'[2]$ зима'!ao1659+'[2]$ зима'!k1659</f>
        <v>0</v>
      </c>
      <c r="I1659" s="191" t="n">
        <f aca="false">'[2]$ зима'!ay1659*1.1</f>
        <v>1718.2</v>
      </c>
    </row>
    <row r="1660" customFormat="false" ht="15" hidden="true" customHeight="false" outlineLevel="0" collapsed="false">
      <c r="A1660" s="196" t="s">
        <v>283</v>
      </c>
      <c r="B1660" s="149" t="s">
        <v>2480</v>
      </c>
      <c r="C1660" s="148" t="s">
        <v>3924</v>
      </c>
      <c r="D1660" s="202"/>
      <c r="E1660" s="202"/>
      <c r="F1660" s="202"/>
      <c r="G1660" s="203"/>
      <c r="H1660" s="105" t="n">
        <f aca="false">'[2]$ зима'!j1660-'[2]$ зима'!au1660-'[2]$ зима'!at1660-'[2]$ зима'!as1660-'[2]$ зима'!ar1660-'[2]$ зима'!aq1660-'[2]$ зима'!ap1660-'[2]$ зима'!an1660-'[2]$ зима'!am1660-'[2]$ зима'!al1660-'[2]$ зима'!ak1660-'[2]$ зима'!aj1660-'[2]$ зима'!ah1660-'[2]$ зима'!ag1660-'[2]$ зима'!af1660-'[2]$ зима'!ae1660-'[2]$ зима'!ad1660-'[2]$ зима'!ab1660-'[2]$ зима'!aa1660-'[2]$ зима'!z1660-'[2]$ зима'!y1660-'[2]$ зима'!x1660-'[2]$ зима'!v1660-'[2]$ зима'!u1660-'[2]$ зима'!t1660-'[2]$ зима'!s1660-'[2]$ зима'!r1660-'[2]$ зима'!p1660-'[2]$ зима'!o1660-'[2]$ зима'!n1660-'[2]$ зима'!m1660-'[2]$ зима'!l1660+'[2]$ зима'!q1660+'[2]$ зима'!w1660+'[2]$ зима'!ac1660+'[2]$ зима'!ai1660+'[2]$ зима'!ao1660+'[2]$ зима'!k1660</f>
        <v>0</v>
      </c>
      <c r="I1660" s="191" t="n">
        <f aca="false">'[2]$ зима'!ay1660*1.1</f>
        <v>1718.2</v>
      </c>
    </row>
    <row r="1661" customFormat="false" ht="15" hidden="true" customHeight="false" outlineLevel="0" collapsed="false">
      <c r="A1661" s="196" t="s">
        <v>283</v>
      </c>
      <c r="B1661" s="149" t="s">
        <v>3311</v>
      </c>
      <c r="C1661" s="148" t="s">
        <v>3925</v>
      </c>
      <c r="D1661" s="202"/>
      <c r="E1661" s="202"/>
      <c r="F1661" s="202"/>
      <c r="G1661" s="203"/>
      <c r="H1661" s="105" t="n">
        <f aca="false">'[2]$ зима'!j1661-'[2]$ зима'!au1661-'[2]$ зима'!at1661-'[2]$ зима'!as1661-'[2]$ зима'!ar1661-'[2]$ зима'!aq1661-'[2]$ зима'!ap1661-'[2]$ зима'!an1661-'[2]$ зима'!am1661-'[2]$ зима'!al1661-'[2]$ зима'!ak1661-'[2]$ зима'!aj1661-'[2]$ зима'!ah1661-'[2]$ зима'!ag1661-'[2]$ зима'!af1661-'[2]$ зима'!ae1661-'[2]$ зима'!ad1661-'[2]$ зима'!ab1661-'[2]$ зима'!aa1661-'[2]$ зима'!z1661-'[2]$ зима'!y1661-'[2]$ зима'!x1661-'[2]$ зима'!v1661-'[2]$ зима'!u1661-'[2]$ зима'!t1661-'[2]$ зима'!s1661-'[2]$ зима'!r1661-'[2]$ зима'!p1661-'[2]$ зима'!o1661-'[2]$ зима'!n1661-'[2]$ зима'!m1661-'[2]$ зима'!l1661+'[2]$ зима'!q1661+'[2]$ зима'!w1661+'[2]$ зима'!ac1661+'[2]$ зима'!ai1661+'[2]$ зима'!ao1661+'[2]$ зима'!k1661</f>
        <v>0</v>
      </c>
      <c r="I1661" s="191" t="n">
        <f aca="false">'[2]$ зима'!ay1661*1.1</f>
        <v>1874.4</v>
      </c>
    </row>
    <row r="1662" customFormat="false" ht="15" hidden="false" customHeight="false" outlineLevel="0" collapsed="false">
      <c r="A1662" s="197" t="s">
        <v>283</v>
      </c>
      <c r="B1662" s="198" t="s">
        <v>666</v>
      </c>
      <c r="C1662" s="148" t="s">
        <v>3926</v>
      </c>
      <c r="D1662" s="202"/>
      <c r="E1662" s="211"/>
      <c r="F1662" s="211"/>
      <c r="G1662" s="203" t="s">
        <v>631</v>
      </c>
      <c r="H1662" s="105" t="n">
        <f aca="false">'[2]$ зима'!j1662-'[2]$ зима'!au1662-'[2]$ зима'!at1662-'[2]$ зима'!as1662-'[2]$ зима'!ar1662-'[2]$ зима'!aq1662-'[2]$ зима'!ap1662-'[2]$ зима'!an1662-'[2]$ зима'!am1662-'[2]$ зима'!al1662-'[2]$ зима'!ak1662-'[2]$ зима'!aj1662-'[2]$ зима'!ah1662-'[2]$ зима'!ag1662-'[2]$ зима'!af1662-'[2]$ зима'!ae1662-'[2]$ зима'!ad1662-'[2]$ зима'!ab1662-'[2]$ зима'!aa1662-'[2]$ зима'!z1662-'[2]$ зима'!y1662-'[2]$ зима'!x1662-'[2]$ зима'!v1662-'[2]$ зима'!u1662-'[2]$ зима'!t1662-'[2]$ зима'!s1662-'[2]$ зима'!r1662-'[2]$ зима'!p1662-'[2]$ зима'!o1662-'[2]$ зима'!n1662-'[2]$ зима'!m1662-'[2]$ зима'!l1662+'[2]$ зима'!q1662+'[2]$ зима'!w1662+'[2]$ зима'!ac1662+'[2]$ зима'!ai1662+'[2]$ зима'!ao1662+'[2]$ зима'!k1662</f>
        <v>36</v>
      </c>
      <c r="I1662" s="191" t="n">
        <f aca="false">'[2]$ зима'!ay1662*1.1</f>
        <v>1874.4</v>
      </c>
      <c r="J1662" s="171" t="n">
        <v>2017</v>
      </c>
    </row>
    <row r="1663" customFormat="false" ht="15" hidden="true" customHeight="false" outlineLevel="0" collapsed="false">
      <c r="A1663" s="196" t="s">
        <v>283</v>
      </c>
      <c r="B1663" s="149" t="s">
        <v>668</v>
      </c>
      <c r="C1663" s="148" t="s">
        <v>3927</v>
      </c>
      <c r="D1663" s="202"/>
      <c r="E1663" s="202"/>
      <c r="F1663" s="202"/>
      <c r="G1663" s="203"/>
      <c r="H1663" s="105" t="n">
        <f aca="false">'[2]$ зима'!j1663-'[2]$ зима'!au1663-'[2]$ зима'!at1663-'[2]$ зима'!as1663-'[2]$ зима'!ar1663-'[2]$ зима'!aq1663-'[2]$ зима'!ap1663-'[2]$ зима'!an1663-'[2]$ зима'!am1663-'[2]$ зима'!al1663-'[2]$ зима'!ak1663-'[2]$ зима'!aj1663-'[2]$ зима'!ah1663-'[2]$ зима'!ag1663-'[2]$ зима'!af1663-'[2]$ зима'!ae1663-'[2]$ зима'!ad1663-'[2]$ зима'!ab1663-'[2]$ зима'!aa1663-'[2]$ зима'!z1663-'[2]$ зима'!y1663-'[2]$ зима'!x1663-'[2]$ зима'!v1663-'[2]$ зима'!u1663-'[2]$ зима'!t1663-'[2]$ зима'!s1663-'[2]$ зима'!r1663-'[2]$ зима'!p1663-'[2]$ зима'!o1663-'[2]$ зима'!n1663-'[2]$ зима'!m1663-'[2]$ зима'!l1663+'[2]$ зима'!q1663+'[2]$ зима'!w1663+'[2]$ зима'!ac1663+'[2]$ зима'!ai1663+'[2]$ зима'!ao1663+'[2]$ зима'!k1663</f>
        <v>0</v>
      </c>
      <c r="I1663" s="191" t="n">
        <f aca="false">'[2]$ зима'!ay1663*1.1</f>
        <v>1749.44</v>
      </c>
    </row>
    <row r="1664" customFormat="false" ht="15" hidden="false" customHeight="false" outlineLevel="0" collapsed="false">
      <c r="A1664" s="196" t="s">
        <v>283</v>
      </c>
      <c r="B1664" s="149" t="s">
        <v>574</v>
      </c>
      <c r="C1664" s="148" t="s">
        <v>3894</v>
      </c>
      <c r="D1664" s="148"/>
      <c r="E1664" s="192" t="s">
        <v>2475</v>
      </c>
      <c r="F1664" s="192"/>
      <c r="G1664" s="193" t="s">
        <v>576</v>
      </c>
      <c r="H1664" s="105" t="n">
        <f aca="false">'[2]$ зима'!j1664-'[2]$ зима'!au1664-'[2]$ зима'!at1664-'[2]$ зима'!as1664-'[2]$ зима'!ar1664-'[2]$ зима'!aq1664-'[2]$ зима'!ap1664-'[2]$ зима'!an1664-'[2]$ зима'!am1664-'[2]$ зима'!al1664-'[2]$ зима'!ak1664-'[2]$ зима'!aj1664-'[2]$ зима'!ah1664-'[2]$ зима'!ag1664-'[2]$ зима'!af1664-'[2]$ зима'!ae1664-'[2]$ зима'!ad1664-'[2]$ зима'!ab1664-'[2]$ зима'!aa1664-'[2]$ зима'!z1664-'[2]$ зима'!y1664-'[2]$ зима'!x1664-'[2]$ зима'!v1664-'[2]$ зима'!u1664-'[2]$ зима'!t1664-'[2]$ зима'!s1664-'[2]$ зима'!r1664-'[2]$ зима'!p1664-'[2]$ зима'!o1664-'[2]$ зима'!n1664-'[2]$ зима'!m1664-'[2]$ зима'!l1664+'[2]$ зима'!q1664+'[2]$ зима'!w1664+'[2]$ зима'!ac1664+'[2]$ зима'!ai1664+'[2]$ зима'!ao1664+'[2]$ зима'!k1664</f>
        <v>30</v>
      </c>
      <c r="I1664" s="191" t="n">
        <f aca="false">'[2]$ зима'!ay1664*1.1</f>
        <v>1999.36</v>
      </c>
      <c r="J1664" s="171" t="n">
        <v>2018</v>
      </c>
    </row>
    <row r="1665" customFormat="false" ht="15" hidden="false" customHeight="false" outlineLevel="0" collapsed="false">
      <c r="A1665" s="196" t="s">
        <v>283</v>
      </c>
      <c r="B1665" s="149" t="s">
        <v>574</v>
      </c>
      <c r="C1665" s="148" t="s">
        <v>3895</v>
      </c>
      <c r="D1665" s="148"/>
      <c r="E1665" s="192"/>
      <c r="F1665" s="192"/>
      <c r="G1665" s="193" t="s">
        <v>576</v>
      </c>
      <c r="H1665" s="105" t="n">
        <f aca="false">'[2]$ зима'!j1665-'[2]$ зима'!au1665-'[2]$ зима'!at1665-'[2]$ зима'!as1665-'[2]$ зима'!ar1665-'[2]$ зима'!aq1665-'[2]$ зима'!ap1665-'[2]$ зима'!an1665-'[2]$ зима'!am1665-'[2]$ зима'!al1665-'[2]$ зима'!ak1665-'[2]$ зима'!aj1665-'[2]$ зима'!ah1665-'[2]$ зима'!ag1665-'[2]$ зима'!af1665-'[2]$ зима'!ae1665-'[2]$ зима'!ad1665-'[2]$ зима'!ab1665-'[2]$ зима'!aa1665-'[2]$ зима'!z1665-'[2]$ зима'!y1665-'[2]$ зима'!x1665-'[2]$ зима'!v1665-'[2]$ зима'!u1665-'[2]$ зима'!t1665-'[2]$ зима'!s1665-'[2]$ зима'!r1665-'[2]$ зима'!p1665-'[2]$ зима'!o1665-'[2]$ зима'!n1665-'[2]$ зима'!m1665-'[2]$ зима'!l1665+'[2]$ зима'!q1665+'[2]$ зима'!w1665+'[2]$ зима'!ac1665+'[2]$ зима'!ai1665+'[2]$ зима'!ao1665+'[2]$ зима'!k1665</f>
        <v>33</v>
      </c>
      <c r="I1665" s="191" t="n">
        <f aca="false">'[2]$ зима'!ay1665*1.1</f>
        <v>1999.36</v>
      </c>
    </row>
    <row r="1666" customFormat="false" ht="15" hidden="false" customHeight="false" outlineLevel="0" collapsed="false">
      <c r="A1666" s="196" t="s">
        <v>283</v>
      </c>
      <c r="B1666" s="149" t="s">
        <v>577</v>
      </c>
      <c r="C1666" s="148" t="s">
        <v>3896</v>
      </c>
      <c r="D1666" s="148"/>
      <c r="E1666" s="192"/>
      <c r="F1666" s="192"/>
      <c r="G1666" s="193" t="s">
        <v>563</v>
      </c>
      <c r="H1666" s="105" t="n">
        <f aca="false">'[2]$ зима'!j1666-'[2]$ зима'!au1666-'[2]$ зима'!at1666-'[2]$ зима'!as1666-'[2]$ зима'!ar1666-'[2]$ зима'!aq1666-'[2]$ зима'!ap1666-'[2]$ зима'!an1666-'[2]$ зима'!am1666-'[2]$ зима'!al1666-'[2]$ зима'!ak1666-'[2]$ зима'!aj1666-'[2]$ зима'!ah1666-'[2]$ зима'!ag1666-'[2]$ зима'!af1666-'[2]$ зима'!ae1666-'[2]$ зима'!ad1666-'[2]$ зима'!ab1666-'[2]$ зима'!aa1666-'[2]$ зима'!z1666-'[2]$ зима'!y1666-'[2]$ зима'!x1666-'[2]$ зима'!v1666-'[2]$ зима'!u1666-'[2]$ зима'!t1666-'[2]$ зима'!s1666-'[2]$ зима'!r1666-'[2]$ зима'!p1666-'[2]$ зима'!o1666-'[2]$ зима'!n1666-'[2]$ зима'!m1666-'[2]$ зима'!l1666+'[2]$ зима'!q1666+'[2]$ зима'!w1666+'[2]$ зима'!ac1666+'[2]$ зима'!ai1666+'[2]$ зима'!ao1666+'[2]$ зима'!k1666</f>
        <v>4</v>
      </c>
      <c r="I1666" s="191" t="n">
        <f aca="false">'[2]$ зима'!ay1666*1.1</f>
        <v>1624.48</v>
      </c>
    </row>
    <row r="1667" customFormat="false" ht="15" hidden="false" customHeight="false" outlineLevel="0" collapsed="false">
      <c r="A1667" s="196" t="s">
        <v>283</v>
      </c>
      <c r="B1667" s="149" t="s">
        <v>583</v>
      </c>
      <c r="C1667" s="148" t="s">
        <v>3928</v>
      </c>
      <c r="D1667" s="202"/>
      <c r="E1667" s="211"/>
      <c r="F1667" s="211"/>
      <c r="G1667" s="203" t="s">
        <v>570</v>
      </c>
      <c r="H1667" s="105" t="n">
        <f aca="false">'[2]$ зима'!j1667-'[2]$ зима'!au1667-'[2]$ зима'!at1667-'[2]$ зима'!as1667-'[2]$ зима'!ar1667-'[2]$ зима'!aq1667-'[2]$ зима'!ap1667-'[2]$ зима'!an1667-'[2]$ зима'!am1667-'[2]$ зима'!al1667-'[2]$ зима'!ak1667-'[2]$ зима'!aj1667-'[2]$ зима'!ah1667-'[2]$ зима'!ag1667-'[2]$ зима'!af1667-'[2]$ зима'!ae1667-'[2]$ зима'!ad1667-'[2]$ зима'!ab1667-'[2]$ зима'!aa1667-'[2]$ зима'!z1667-'[2]$ зима'!y1667-'[2]$ зима'!x1667-'[2]$ зима'!v1667-'[2]$ зима'!u1667-'[2]$ зима'!t1667-'[2]$ зима'!s1667-'[2]$ зима'!r1667-'[2]$ зима'!p1667-'[2]$ зима'!o1667-'[2]$ зима'!n1667-'[2]$ зима'!m1667-'[2]$ зима'!l1667+'[2]$ зима'!q1667+'[2]$ зима'!w1667+'[2]$ зима'!ac1667+'[2]$ зима'!ai1667+'[2]$ зима'!ao1667+'[2]$ зима'!k1667</f>
        <v>2</v>
      </c>
      <c r="I1667" s="191" t="n">
        <f aca="false">'[2]$ зима'!ay1667*1.1</f>
        <v>1749.44</v>
      </c>
      <c r="J1667" s="171" t="n">
        <v>2017</v>
      </c>
    </row>
    <row r="1668" customFormat="false" ht="15" hidden="false" customHeight="false" outlineLevel="0" collapsed="false">
      <c r="A1668" s="196" t="s">
        <v>283</v>
      </c>
      <c r="B1668" s="149" t="s">
        <v>583</v>
      </c>
      <c r="C1668" s="148" t="s">
        <v>3897</v>
      </c>
      <c r="D1668" s="202"/>
      <c r="E1668" s="211"/>
      <c r="F1668" s="211"/>
      <c r="G1668" s="203"/>
      <c r="H1668" s="105" t="n">
        <f aca="false">'[2]$ зима'!j1668-'[2]$ зима'!au1668-'[2]$ зима'!at1668-'[2]$ зима'!as1668-'[2]$ зима'!ar1668-'[2]$ зима'!aq1668-'[2]$ зима'!ap1668-'[2]$ зима'!an1668-'[2]$ зима'!am1668-'[2]$ зима'!al1668-'[2]$ зима'!ak1668-'[2]$ зима'!aj1668-'[2]$ зима'!ah1668-'[2]$ зима'!ag1668-'[2]$ зима'!af1668-'[2]$ зима'!ae1668-'[2]$ зима'!ad1668-'[2]$ зима'!ab1668-'[2]$ зима'!aa1668-'[2]$ зима'!z1668-'[2]$ зима'!y1668-'[2]$ зима'!x1668-'[2]$ зима'!v1668-'[2]$ зима'!u1668-'[2]$ зима'!t1668-'[2]$ зима'!s1668-'[2]$ зима'!r1668-'[2]$ зима'!p1668-'[2]$ зима'!o1668-'[2]$ зима'!n1668-'[2]$ зима'!m1668-'[2]$ зима'!l1668+'[2]$ зима'!q1668+'[2]$ зима'!w1668+'[2]$ зима'!ac1668+'[2]$ зима'!ai1668+'[2]$ зима'!ao1668+'[2]$ зима'!k1668</f>
        <v>36</v>
      </c>
      <c r="I1668" s="191" t="n">
        <f aca="false">'[2]$ зима'!ay1668*1.1</f>
        <v>1718.2</v>
      </c>
    </row>
    <row r="1669" customFormat="false" ht="15" hidden="false" customHeight="false" outlineLevel="0" collapsed="false">
      <c r="A1669" s="196" t="s">
        <v>283</v>
      </c>
      <c r="B1669" s="149" t="s">
        <v>613</v>
      </c>
      <c r="C1669" s="148" t="s">
        <v>3929</v>
      </c>
      <c r="D1669" s="202"/>
      <c r="E1669" s="211" t="s">
        <v>2475</v>
      </c>
      <c r="F1669" s="211"/>
      <c r="G1669" s="203"/>
      <c r="H1669" s="105" t="n">
        <f aca="false">'[2]$ зима'!j1669-'[2]$ зима'!au1669-'[2]$ зима'!at1669-'[2]$ зима'!as1669-'[2]$ зима'!ar1669-'[2]$ зима'!aq1669-'[2]$ зима'!ap1669-'[2]$ зима'!an1669-'[2]$ зима'!am1669-'[2]$ зима'!al1669-'[2]$ зима'!ak1669-'[2]$ зима'!aj1669-'[2]$ зима'!ah1669-'[2]$ зима'!ag1669-'[2]$ зима'!af1669-'[2]$ зима'!ae1669-'[2]$ зима'!ad1669-'[2]$ зима'!ab1669-'[2]$ зима'!aa1669-'[2]$ зима'!z1669-'[2]$ зима'!y1669-'[2]$ зима'!x1669-'[2]$ зима'!v1669-'[2]$ зима'!u1669-'[2]$ зима'!t1669-'[2]$ зима'!s1669-'[2]$ зима'!r1669-'[2]$ зима'!p1669-'[2]$ зима'!o1669-'[2]$ зима'!n1669-'[2]$ зима'!m1669-'[2]$ зима'!l1669+'[2]$ зима'!q1669+'[2]$ зима'!w1669+'[2]$ зима'!ac1669+'[2]$ зима'!ai1669+'[2]$ зима'!ao1669+'[2]$ зима'!k1669</f>
        <v>2</v>
      </c>
      <c r="I1669" s="191" t="n">
        <f aca="false">'[2]$ зима'!ay1669*1.1</f>
        <v>1749.44</v>
      </c>
    </row>
    <row r="1670" customFormat="false" ht="15" hidden="false" customHeight="false" outlineLevel="0" collapsed="false">
      <c r="A1670" s="196" t="s">
        <v>283</v>
      </c>
      <c r="B1670" s="149" t="s">
        <v>593</v>
      </c>
      <c r="C1670" s="148" t="s">
        <v>3930</v>
      </c>
      <c r="D1670" s="202"/>
      <c r="E1670" s="211"/>
      <c r="F1670" s="211"/>
      <c r="G1670" s="203" t="s">
        <v>933</v>
      </c>
      <c r="H1670" s="105" t="n">
        <f aca="false">'[2]$ зима'!j1670-'[2]$ зима'!au1670-'[2]$ зима'!at1670-'[2]$ зима'!as1670-'[2]$ зима'!ar1670-'[2]$ зима'!aq1670-'[2]$ зима'!ap1670-'[2]$ зима'!an1670-'[2]$ зима'!am1670-'[2]$ зима'!al1670-'[2]$ зима'!ak1670-'[2]$ зима'!aj1670-'[2]$ зима'!ah1670-'[2]$ зима'!ag1670-'[2]$ зима'!af1670-'[2]$ зима'!ae1670-'[2]$ зима'!ad1670-'[2]$ зима'!ab1670-'[2]$ зима'!aa1670-'[2]$ зима'!z1670-'[2]$ зима'!y1670-'[2]$ зима'!x1670-'[2]$ зима'!v1670-'[2]$ зима'!u1670-'[2]$ зима'!t1670-'[2]$ зима'!s1670-'[2]$ зима'!r1670-'[2]$ зима'!p1670-'[2]$ зима'!o1670-'[2]$ зима'!n1670-'[2]$ зима'!m1670-'[2]$ зима'!l1670+'[2]$ зима'!q1670+'[2]$ зима'!w1670+'[2]$ зима'!ac1670+'[2]$ зима'!ai1670+'[2]$ зима'!ao1670+'[2]$ зима'!k1670</f>
        <v>34</v>
      </c>
      <c r="I1670" s="191" t="n">
        <f aca="false">'[2]$ зима'!ay1670*1.1</f>
        <v>2561.68</v>
      </c>
      <c r="J1670" s="171" t="s">
        <v>1264</v>
      </c>
    </row>
    <row r="1671" customFormat="false" ht="15" hidden="false" customHeight="false" outlineLevel="0" collapsed="false">
      <c r="A1671" s="196" t="s">
        <v>283</v>
      </c>
      <c r="B1671" s="149" t="s">
        <v>593</v>
      </c>
      <c r="C1671" s="148" t="s">
        <v>3325</v>
      </c>
      <c r="D1671" s="202" t="s">
        <v>3147</v>
      </c>
      <c r="E1671" s="211"/>
      <c r="F1671" s="211"/>
      <c r="G1671" s="203"/>
      <c r="H1671" s="105" t="n">
        <f aca="false">'[2]$ зима'!j1671-'[2]$ зима'!au1671-'[2]$ зима'!at1671-'[2]$ зима'!as1671-'[2]$ зима'!ar1671-'[2]$ зима'!aq1671-'[2]$ зима'!ap1671-'[2]$ зима'!an1671-'[2]$ зима'!am1671-'[2]$ зима'!al1671-'[2]$ зима'!ak1671-'[2]$ зима'!aj1671-'[2]$ зима'!ah1671-'[2]$ зима'!ag1671-'[2]$ зима'!af1671-'[2]$ зима'!ae1671-'[2]$ зима'!ad1671-'[2]$ зима'!ab1671-'[2]$ зима'!aa1671-'[2]$ зима'!z1671-'[2]$ зима'!y1671-'[2]$ зима'!x1671-'[2]$ зима'!v1671-'[2]$ зима'!u1671-'[2]$ зима'!t1671-'[2]$ зима'!s1671-'[2]$ зима'!r1671-'[2]$ зима'!p1671-'[2]$ зима'!o1671-'[2]$ зима'!n1671-'[2]$ зима'!m1671-'[2]$ зима'!l1671+'[2]$ зима'!q1671+'[2]$ зима'!w1671+'[2]$ зима'!ac1671+'[2]$ зима'!ai1671+'[2]$ зима'!ao1671+'[2]$ зима'!k1671</f>
        <v>4</v>
      </c>
      <c r="I1671" s="191" t="n">
        <f aca="false">'[2]$ зима'!ay1671*1.1</f>
        <v>2811.6</v>
      </c>
    </row>
    <row r="1672" customFormat="false" ht="15" hidden="true" customHeight="false" outlineLevel="0" collapsed="false">
      <c r="A1672" s="196" t="s">
        <v>283</v>
      </c>
      <c r="B1672" s="149" t="s">
        <v>586</v>
      </c>
      <c r="C1672" s="148" t="s">
        <v>3931</v>
      </c>
      <c r="D1672" s="202"/>
      <c r="E1672" s="202"/>
      <c r="F1672" s="202"/>
      <c r="G1672" s="203"/>
      <c r="H1672" s="105" t="n">
        <f aca="false">'[2]$ зима'!j1672-'[2]$ зима'!au1672-'[2]$ зима'!at1672-'[2]$ зима'!as1672-'[2]$ зима'!ar1672-'[2]$ зима'!aq1672-'[2]$ зима'!ap1672-'[2]$ зима'!an1672-'[2]$ зима'!am1672-'[2]$ зима'!al1672-'[2]$ зима'!ak1672-'[2]$ зима'!aj1672-'[2]$ зима'!ah1672-'[2]$ зима'!ag1672-'[2]$ зима'!af1672-'[2]$ зима'!ae1672-'[2]$ зима'!ad1672-'[2]$ зима'!ab1672-'[2]$ зима'!aa1672-'[2]$ зима'!z1672-'[2]$ зима'!y1672-'[2]$ зима'!x1672-'[2]$ зима'!v1672-'[2]$ зима'!u1672-'[2]$ зима'!t1672-'[2]$ зима'!s1672-'[2]$ зима'!r1672-'[2]$ зима'!p1672-'[2]$ зима'!o1672-'[2]$ зима'!n1672-'[2]$ зима'!m1672-'[2]$ зима'!l1672+'[2]$ зима'!q1672+'[2]$ зима'!w1672+'[2]$ зима'!ac1672+'[2]$ зима'!ai1672+'[2]$ зима'!ao1672+'[2]$ зима'!k1672</f>
        <v>0</v>
      </c>
      <c r="I1672" s="191" t="n">
        <f aca="false">'[2]$ зима'!ay1672*1.1</f>
        <v>1343.32</v>
      </c>
      <c r="J1672" s="171" t="n">
        <v>2017</v>
      </c>
    </row>
    <row r="1673" customFormat="false" ht="15" hidden="true" customHeight="false" outlineLevel="0" collapsed="false">
      <c r="A1673" s="196" t="s">
        <v>283</v>
      </c>
      <c r="B1673" s="149" t="s">
        <v>3142</v>
      </c>
      <c r="C1673" s="148" t="s">
        <v>3932</v>
      </c>
      <c r="D1673" s="202"/>
      <c r="E1673" s="202"/>
      <c r="F1673" s="202"/>
      <c r="G1673" s="203"/>
      <c r="H1673" s="105" t="n">
        <f aca="false">'[2]$ зима'!j1673-'[2]$ зима'!au1673-'[2]$ зима'!at1673-'[2]$ зима'!as1673-'[2]$ зима'!ar1673-'[2]$ зима'!aq1673-'[2]$ зима'!ap1673-'[2]$ зима'!an1673-'[2]$ зима'!am1673-'[2]$ зима'!al1673-'[2]$ зима'!ak1673-'[2]$ зима'!aj1673-'[2]$ зима'!ah1673-'[2]$ зима'!ag1673-'[2]$ зима'!af1673-'[2]$ зима'!ae1673-'[2]$ зима'!ad1673-'[2]$ зима'!ab1673-'[2]$ зима'!aa1673-'[2]$ зима'!z1673-'[2]$ зима'!y1673-'[2]$ зима'!x1673-'[2]$ зима'!v1673-'[2]$ зима'!u1673-'[2]$ зима'!t1673-'[2]$ зима'!s1673-'[2]$ зима'!r1673-'[2]$ зима'!p1673-'[2]$ зима'!o1673-'[2]$ зима'!n1673-'[2]$ зима'!m1673-'[2]$ зима'!l1673+'[2]$ зима'!q1673+'[2]$ зима'!w1673+'[2]$ зима'!ac1673+'[2]$ зима'!ai1673+'[2]$ зима'!ao1673+'[2]$ зима'!k1673</f>
        <v>0</v>
      </c>
      <c r="I1673" s="191" t="n">
        <f aca="false">'[2]$ зима'!ay1673*1.1</f>
        <v>1749.44</v>
      </c>
    </row>
    <row r="1674" customFormat="false" ht="15" hidden="true" customHeight="false" outlineLevel="0" collapsed="false">
      <c r="A1674" s="196" t="s">
        <v>283</v>
      </c>
      <c r="B1674" s="149" t="s">
        <v>1149</v>
      </c>
      <c r="C1674" s="148" t="s">
        <v>3933</v>
      </c>
      <c r="D1674" s="202"/>
      <c r="E1674" s="202"/>
      <c r="F1674" s="202"/>
      <c r="G1674" s="203"/>
      <c r="H1674" s="105" t="n">
        <f aca="false">'[2]$ зима'!j1674-'[2]$ зима'!au1674-'[2]$ зима'!at1674-'[2]$ зима'!as1674-'[2]$ зима'!ar1674-'[2]$ зима'!aq1674-'[2]$ зима'!ap1674-'[2]$ зима'!an1674-'[2]$ зима'!am1674-'[2]$ зима'!al1674-'[2]$ зима'!ak1674-'[2]$ зима'!aj1674-'[2]$ зима'!ah1674-'[2]$ зима'!ag1674-'[2]$ зима'!af1674-'[2]$ зима'!ae1674-'[2]$ зима'!ad1674-'[2]$ зима'!ab1674-'[2]$ зима'!aa1674-'[2]$ зима'!z1674-'[2]$ зима'!y1674-'[2]$ зима'!x1674-'[2]$ зима'!v1674-'[2]$ зима'!u1674-'[2]$ зима'!t1674-'[2]$ зима'!s1674-'[2]$ зима'!r1674-'[2]$ зима'!p1674-'[2]$ зима'!o1674-'[2]$ зима'!n1674-'[2]$ зима'!m1674-'[2]$ зима'!l1674+'[2]$ зима'!q1674+'[2]$ зима'!w1674+'[2]$ зима'!ac1674+'[2]$ зима'!ai1674+'[2]$ зима'!ao1674+'[2]$ зима'!k1674</f>
        <v>0</v>
      </c>
      <c r="I1674" s="191" t="n">
        <f aca="false">'[2]$ зима'!ay1674*1.1</f>
        <v>1718.2</v>
      </c>
    </row>
    <row r="1675" customFormat="false" ht="15" hidden="true" customHeight="false" outlineLevel="0" collapsed="false">
      <c r="A1675" s="196" t="s">
        <v>283</v>
      </c>
      <c r="B1675" s="149" t="s">
        <v>762</v>
      </c>
      <c r="C1675" s="148" t="s">
        <v>3934</v>
      </c>
      <c r="D1675" s="202"/>
      <c r="E1675" s="202"/>
      <c r="F1675" s="202"/>
      <c r="G1675" s="203"/>
      <c r="H1675" s="105" t="n">
        <f aca="false">'[2]$ зима'!j1675-'[2]$ зима'!au1675-'[2]$ зима'!at1675-'[2]$ зима'!as1675-'[2]$ зима'!ar1675-'[2]$ зима'!aq1675-'[2]$ зима'!ap1675-'[2]$ зима'!an1675-'[2]$ зима'!am1675-'[2]$ зима'!al1675-'[2]$ зима'!ak1675-'[2]$ зима'!aj1675-'[2]$ зима'!ah1675-'[2]$ зима'!ag1675-'[2]$ зима'!af1675-'[2]$ зима'!ae1675-'[2]$ зима'!ad1675-'[2]$ зима'!ab1675-'[2]$ зима'!aa1675-'[2]$ зима'!z1675-'[2]$ зима'!y1675-'[2]$ зима'!x1675-'[2]$ зима'!v1675-'[2]$ зима'!u1675-'[2]$ зима'!t1675-'[2]$ зима'!s1675-'[2]$ зима'!r1675-'[2]$ зима'!p1675-'[2]$ зима'!o1675-'[2]$ зима'!n1675-'[2]$ зима'!m1675-'[2]$ зима'!l1675+'[2]$ зима'!q1675+'[2]$ зима'!w1675+'[2]$ зима'!ac1675+'[2]$ зима'!ai1675+'[2]$ зима'!ao1675+'[2]$ зима'!k1675</f>
        <v>0</v>
      </c>
      <c r="I1675" s="191" t="n">
        <f aca="false">'[2]$ зима'!ay1675*1.1</f>
        <v>1530.76</v>
      </c>
    </row>
    <row r="1676" customFormat="false" ht="15" hidden="true" customHeight="false" outlineLevel="0" collapsed="false">
      <c r="A1676" s="196" t="s">
        <v>283</v>
      </c>
      <c r="B1676" s="149" t="s">
        <v>801</v>
      </c>
      <c r="C1676" s="148" t="s">
        <v>3935</v>
      </c>
      <c r="D1676" s="202"/>
      <c r="E1676" s="202"/>
      <c r="F1676" s="202"/>
      <c r="G1676" s="203"/>
      <c r="H1676" s="105" t="n">
        <f aca="false">'[2]$ зима'!j1676-'[2]$ зима'!au1676-'[2]$ зима'!at1676-'[2]$ зима'!as1676-'[2]$ зима'!ar1676-'[2]$ зима'!aq1676-'[2]$ зима'!ap1676-'[2]$ зима'!an1676-'[2]$ зима'!am1676-'[2]$ зима'!al1676-'[2]$ зима'!ak1676-'[2]$ зима'!aj1676-'[2]$ зима'!ah1676-'[2]$ зима'!ag1676-'[2]$ зима'!af1676-'[2]$ зима'!ae1676-'[2]$ зима'!ad1676-'[2]$ зима'!ab1676-'[2]$ зима'!aa1676-'[2]$ зима'!z1676-'[2]$ зима'!y1676-'[2]$ зима'!x1676-'[2]$ зима'!v1676-'[2]$ зима'!u1676-'[2]$ зима'!t1676-'[2]$ зима'!s1676-'[2]$ зима'!r1676-'[2]$ зима'!p1676-'[2]$ зима'!o1676-'[2]$ зима'!n1676-'[2]$ зима'!m1676-'[2]$ зима'!l1676+'[2]$ зима'!q1676+'[2]$ зима'!w1676+'[2]$ зима'!ac1676+'[2]$ зима'!ai1676+'[2]$ зима'!ao1676+'[2]$ зима'!k1676</f>
        <v>0</v>
      </c>
      <c r="I1676" s="191" t="n">
        <f aca="false">'[2]$ зима'!ay1676*1.1</f>
        <v>1624.48</v>
      </c>
    </row>
    <row r="1677" customFormat="false" ht="15" hidden="true" customHeight="false" outlineLevel="0" collapsed="false">
      <c r="A1677" s="196" t="s">
        <v>283</v>
      </c>
      <c r="B1677" s="149" t="s">
        <v>617</v>
      </c>
      <c r="C1677" s="148" t="s">
        <v>3900</v>
      </c>
      <c r="D1677" s="202"/>
      <c r="E1677" s="202"/>
      <c r="F1677" s="202"/>
      <c r="G1677" s="203"/>
      <c r="H1677" s="105" t="n">
        <f aca="false">'[2]$ зима'!j1677-'[2]$ зима'!au1677-'[2]$ зима'!at1677-'[2]$ зима'!as1677-'[2]$ зима'!ar1677-'[2]$ зима'!aq1677-'[2]$ зима'!ap1677-'[2]$ зима'!an1677-'[2]$ зима'!am1677-'[2]$ зима'!al1677-'[2]$ зима'!ak1677-'[2]$ зима'!aj1677-'[2]$ зима'!ah1677-'[2]$ зима'!ag1677-'[2]$ зима'!af1677-'[2]$ зима'!ae1677-'[2]$ зима'!ad1677-'[2]$ зима'!ab1677-'[2]$ зима'!aa1677-'[2]$ зима'!z1677-'[2]$ зима'!y1677-'[2]$ зима'!x1677-'[2]$ зима'!v1677-'[2]$ зима'!u1677-'[2]$ зима'!t1677-'[2]$ зима'!s1677-'[2]$ зима'!r1677-'[2]$ зима'!p1677-'[2]$ зима'!o1677-'[2]$ зима'!n1677-'[2]$ зима'!m1677-'[2]$ зима'!l1677+'[2]$ зима'!q1677+'[2]$ зима'!w1677+'[2]$ зима'!ac1677+'[2]$ зима'!ai1677+'[2]$ зима'!ao1677+'[2]$ зима'!k1677</f>
        <v>0</v>
      </c>
      <c r="I1677" s="191" t="n">
        <f aca="false">'[2]$ зима'!ay1677*1.1</f>
        <v>1562</v>
      </c>
    </row>
    <row r="1678" customFormat="false" ht="15" hidden="true" customHeight="false" outlineLevel="0" collapsed="false">
      <c r="A1678" s="196" t="s">
        <v>283</v>
      </c>
      <c r="B1678" s="149" t="s">
        <v>677</v>
      </c>
      <c r="C1678" s="148" t="s">
        <v>3454</v>
      </c>
      <c r="D1678" s="148" t="s">
        <v>3127</v>
      </c>
      <c r="E1678" s="202"/>
      <c r="F1678" s="202"/>
      <c r="G1678" s="203"/>
      <c r="H1678" s="105" t="n">
        <f aca="false">'[2]$ зима'!j1678-'[2]$ зима'!au1678-'[2]$ зима'!at1678-'[2]$ зима'!as1678-'[2]$ зима'!ar1678-'[2]$ зима'!aq1678-'[2]$ зима'!ap1678-'[2]$ зима'!an1678-'[2]$ зима'!am1678-'[2]$ зима'!al1678-'[2]$ зима'!ak1678-'[2]$ зима'!aj1678-'[2]$ зима'!ah1678-'[2]$ зима'!ag1678-'[2]$ зима'!af1678-'[2]$ зима'!ae1678-'[2]$ зима'!ad1678-'[2]$ зима'!ab1678-'[2]$ зима'!aa1678-'[2]$ зима'!z1678-'[2]$ зима'!y1678-'[2]$ зима'!x1678-'[2]$ зима'!v1678-'[2]$ зима'!u1678-'[2]$ зима'!t1678-'[2]$ зима'!s1678-'[2]$ зима'!r1678-'[2]$ зима'!p1678-'[2]$ зима'!o1678-'[2]$ зима'!n1678-'[2]$ зима'!m1678-'[2]$ зима'!l1678+'[2]$ зима'!q1678+'[2]$ зима'!w1678+'[2]$ зима'!ac1678+'[2]$ зима'!ai1678+'[2]$ зима'!ao1678+'[2]$ зима'!k1678</f>
        <v>0</v>
      </c>
      <c r="I1678" s="191" t="n">
        <f aca="false">'[2]$ зима'!ay1678*1.1</f>
        <v>1530.76</v>
      </c>
    </row>
    <row r="1679" customFormat="false" ht="15" hidden="true" customHeight="false" outlineLevel="0" collapsed="false">
      <c r="A1679" s="196" t="s">
        <v>283</v>
      </c>
      <c r="B1679" s="149" t="s">
        <v>652</v>
      </c>
      <c r="C1679" s="148" t="s">
        <v>3903</v>
      </c>
      <c r="D1679" s="202"/>
      <c r="E1679" s="202"/>
      <c r="F1679" s="202"/>
      <c r="G1679" s="203"/>
      <c r="H1679" s="105" t="n">
        <f aca="false">'[2]$ зима'!j1679-'[2]$ зима'!au1679-'[2]$ зима'!at1679-'[2]$ зима'!as1679-'[2]$ зима'!ar1679-'[2]$ зима'!aq1679-'[2]$ зима'!ap1679-'[2]$ зима'!an1679-'[2]$ зима'!am1679-'[2]$ зима'!al1679-'[2]$ зима'!ak1679-'[2]$ зима'!aj1679-'[2]$ зима'!ah1679-'[2]$ зима'!ag1679-'[2]$ зима'!af1679-'[2]$ зима'!ae1679-'[2]$ зима'!ad1679-'[2]$ зима'!ab1679-'[2]$ зима'!aa1679-'[2]$ зима'!z1679-'[2]$ зима'!y1679-'[2]$ зима'!x1679-'[2]$ зима'!v1679-'[2]$ зима'!u1679-'[2]$ зима'!t1679-'[2]$ зима'!s1679-'[2]$ зима'!r1679-'[2]$ зима'!p1679-'[2]$ зима'!o1679-'[2]$ зима'!n1679-'[2]$ зима'!m1679-'[2]$ зима'!l1679+'[2]$ зима'!q1679+'[2]$ зима'!w1679+'[2]$ зима'!ac1679+'[2]$ зима'!ai1679+'[2]$ зима'!ao1679+'[2]$ зима'!k1679</f>
        <v>0</v>
      </c>
      <c r="I1679" s="191" t="n">
        <f aca="false">'[2]$ зима'!ay1679*1.1</f>
        <v>1562</v>
      </c>
    </row>
    <row r="1680" customFormat="false" ht="15" hidden="true" customHeight="false" outlineLevel="0" collapsed="false">
      <c r="A1680" s="196" t="s">
        <v>283</v>
      </c>
      <c r="B1680" s="149" t="s">
        <v>564</v>
      </c>
      <c r="C1680" s="148" t="s">
        <v>3936</v>
      </c>
      <c r="D1680" s="202"/>
      <c r="E1680" s="202"/>
      <c r="F1680" s="202"/>
      <c r="G1680" s="203"/>
      <c r="H1680" s="105" t="n">
        <f aca="false">'[2]$ зима'!j1680-'[2]$ зима'!au1680-'[2]$ зима'!at1680-'[2]$ зима'!as1680-'[2]$ зима'!ar1680-'[2]$ зима'!aq1680-'[2]$ зима'!ap1680-'[2]$ зима'!an1680-'[2]$ зима'!am1680-'[2]$ зима'!al1680-'[2]$ зима'!ak1680-'[2]$ зима'!aj1680-'[2]$ зима'!ah1680-'[2]$ зима'!ag1680-'[2]$ зима'!af1680-'[2]$ зима'!ae1680-'[2]$ зима'!ad1680-'[2]$ зима'!ab1680-'[2]$ зима'!aa1680-'[2]$ зима'!z1680-'[2]$ зима'!y1680-'[2]$ зима'!x1680-'[2]$ зима'!v1680-'[2]$ зима'!u1680-'[2]$ зима'!t1680-'[2]$ зима'!s1680-'[2]$ зима'!r1680-'[2]$ зима'!p1680-'[2]$ зима'!o1680-'[2]$ зима'!n1680-'[2]$ зима'!m1680-'[2]$ зима'!l1680+'[2]$ зима'!q1680+'[2]$ зима'!w1680+'[2]$ зима'!ac1680+'[2]$ зима'!ai1680+'[2]$ зима'!ao1680+'[2]$ зима'!k1680</f>
        <v>0</v>
      </c>
      <c r="I1680" s="191" t="n">
        <f aca="false">'[2]$ зима'!ay1680*1.1</f>
        <v>1468.28</v>
      </c>
    </row>
    <row r="1681" customFormat="false" ht="15" hidden="true" customHeight="false" outlineLevel="0" collapsed="false">
      <c r="A1681" s="196" t="s">
        <v>283</v>
      </c>
      <c r="B1681" s="149" t="s">
        <v>564</v>
      </c>
      <c r="C1681" s="148" t="s">
        <v>3937</v>
      </c>
      <c r="D1681" s="202"/>
      <c r="E1681" s="202"/>
      <c r="F1681" s="202"/>
      <c r="G1681" s="203"/>
      <c r="H1681" s="105" t="n">
        <f aca="false">'[2]$ зима'!j1681-'[2]$ зима'!au1681-'[2]$ зима'!at1681-'[2]$ зима'!as1681-'[2]$ зима'!ar1681-'[2]$ зима'!aq1681-'[2]$ зима'!ap1681-'[2]$ зима'!an1681-'[2]$ зима'!am1681-'[2]$ зима'!al1681-'[2]$ зима'!ak1681-'[2]$ зима'!aj1681-'[2]$ зима'!ah1681-'[2]$ зима'!ag1681-'[2]$ зима'!af1681-'[2]$ зима'!ae1681-'[2]$ зима'!ad1681-'[2]$ зима'!ab1681-'[2]$ зима'!aa1681-'[2]$ зима'!z1681-'[2]$ зима'!y1681-'[2]$ зима'!x1681-'[2]$ зима'!v1681-'[2]$ зима'!u1681-'[2]$ зима'!t1681-'[2]$ зима'!s1681-'[2]$ зима'!r1681-'[2]$ зима'!p1681-'[2]$ зима'!o1681-'[2]$ зима'!n1681-'[2]$ зима'!m1681-'[2]$ зима'!l1681+'[2]$ зима'!q1681+'[2]$ зима'!w1681+'[2]$ зима'!ac1681+'[2]$ зима'!ai1681+'[2]$ зима'!ao1681+'[2]$ зима'!k1681</f>
        <v>0</v>
      </c>
      <c r="I1681" s="191" t="n">
        <f aca="false">'[2]$ зима'!ay1681*1.1</f>
        <v>1530.76</v>
      </c>
    </row>
    <row r="1682" customFormat="false" ht="15" hidden="false" customHeight="false" outlineLevel="0" collapsed="false">
      <c r="A1682" s="196" t="s">
        <v>283</v>
      </c>
      <c r="B1682" s="149" t="s">
        <v>1028</v>
      </c>
      <c r="C1682" s="148" t="s">
        <v>3938</v>
      </c>
      <c r="D1682" s="202"/>
      <c r="E1682" s="211"/>
      <c r="F1682" s="211"/>
      <c r="G1682" s="203" t="s">
        <v>626</v>
      </c>
      <c r="H1682" s="105" t="n">
        <f aca="false">'[2]$ зима'!j1682-'[2]$ зима'!au1682-'[2]$ зима'!at1682-'[2]$ зима'!as1682-'[2]$ зима'!ar1682-'[2]$ зима'!aq1682-'[2]$ зима'!ap1682-'[2]$ зима'!an1682-'[2]$ зима'!am1682-'[2]$ зима'!al1682-'[2]$ зима'!ak1682-'[2]$ зима'!aj1682-'[2]$ зима'!ah1682-'[2]$ зима'!ag1682-'[2]$ зима'!af1682-'[2]$ зима'!ae1682-'[2]$ зима'!ad1682-'[2]$ зима'!ab1682-'[2]$ зима'!aa1682-'[2]$ зима'!z1682-'[2]$ зима'!y1682-'[2]$ зима'!x1682-'[2]$ зима'!v1682-'[2]$ зима'!u1682-'[2]$ зима'!t1682-'[2]$ зима'!s1682-'[2]$ зима'!r1682-'[2]$ зима'!p1682-'[2]$ зима'!o1682-'[2]$ зима'!n1682-'[2]$ зима'!m1682-'[2]$ зима'!l1682+'[2]$ зима'!q1682+'[2]$ зима'!w1682+'[2]$ зима'!ac1682+'[2]$ зима'!ai1682+'[2]$ зима'!ao1682+'[2]$ зима'!k1682</f>
        <v>8</v>
      </c>
      <c r="I1682" s="191" t="n">
        <f aca="false">'[2]$ зима'!ay1682*1.1</f>
        <v>2061.84</v>
      </c>
      <c r="J1682" s="171" t="n">
        <v>2017</v>
      </c>
    </row>
    <row r="1683" customFormat="false" ht="15" hidden="true" customHeight="false" outlineLevel="0" collapsed="false">
      <c r="A1683" s="196" t="s">
        <v>2503</v>
      </c>
      <c r="B1683" s="149" t="s">
        <v>568</v>
      </c>
      <c r="C1683" s="148" t="s">
        <v>3904</v>
      </c>
      <c r="D1683" s="202"/>
      <c r="E1683" s="202"/>
      <c r="F1683" s="202"/>
      <c r="G1683" s="203"/>
      <c r="H1683" s="105" t="n">
        <f aca="false">'[2]$ зима'!j1683-'[2]$ зима'!au1683-'[2]$ зима'!at1683-'[2]$ зима'!as1683-'[2]$ зима'!ar1683-'[2]$ зима'!aq1683-'[2]$ зима'!ap1683-'[2]$ зима'!an1683-'[2]$ зима'!am1683-'[2]$ зима'!al1683-'[2]$ зима'!ak1683-'[2]$ зима'!aj1683-'[2]$ зима'!ah1683-'[2]$ зима'!ag1683-'[2]$ зима'!af1683-'[2]$ зима'!ae1683-'[2]$ зима'!ad1683-'[2]$ зима'!ab1683-'[2]$ зима'!aa1683-'[2]$ зима'!z1683-'[2]$ зима'!y1683-'[2]$ зима'!x1683-'[2]$ зима'!v1683-'[2]$ зима'!u1683-'[2]$ зима'!t1683-'[2]$ зима'!s1683-'[2]$ зима'!r1683-'[2]$ зима'!p1683-'[2]$ зима'!o1683-'[2]$ зима'!n1683-'[2]$ зима'!m1683-'[2]$ зима'!l1683+'[2]$ зима'!q1683+'[2]$ зима'!w1683+'[2]$ зима'!ac1683+'[2]$ зима'!ai1683+'[2]$ зима'!ao1683+'[2]$ зима'!k1683</f>
        <v>0</v>
      </c>
      <c r="I1683" s="191" t="n">
        <f aca="false">'[2]$ зима'!ay1683*1.1</f>
        <v>1562</v>
      </c>
    </row>
    <row r="1684" customFormat="false" ht="15" hidden="false" customHeight="false" outlineLevel="0" collapsed="false">
      <c r="A1684" s="196" t="s">
        <v>2503</v>
      </c>
      <c r="B1684" s="149" t="s">
        <v>741</v>
      </c>
      <c r="C1684" s="148" t="s">
        <v>3890</v>
      </c>
      <c r="D1684" s="202"/>
      <c r="E1684" s="211"/>
      <c r="F1684" s="211"/>
      <c r="G1684" s="203" t="s">
        <v>935</v>
      </c>
      <c r="H1684" s="105" t="n">
        <f aca="false">'[2]$ зима'!j1684-'[2]$ зима'!au1684-'[2]$ зима'!at1684-'[2]$ зима'!as1684-'[2]$ зима'!ar1684-'[2]$ зима'!aq1684-'[2]$ зима'!ap1684-'[2]$ зима'!an1684-'[2]$ зима'!am1684-'[2]$ зима'!al1684-'[2]$ зима'!ak1684-'[2]$ зима'!aj1684-'[2]$ зима'!ah1684-'[2]$ зима'!ag1684-'[2]$ зима'!af1684-'[2]$ зима'!ae1684-'[2]$ зима'!ad1684-'[2]$ зима'!ab1684-'[2]$ зима'!aa1684-'[2]$ зима'!z1684-'[2]$ зима'!y1684-'[2]$ зима'!x1684-'[2]$ зима'!v1684-'[2]$ зима'!u1684-'[2]$ зима'!t1684-'[2]$ зима'!s1684-'[2]$ зима'!r1684-'[2]$ зима'!p1684-'[2]$ зима'!o1684-'[2]$ зима'!n1684-'[2]$ зима'!m1684-'[2]$ зима'!l1684+'[2]$ зима'!q1684+'[2]$ зима'!w1684+'[2]$ зима'!ac1684+'[2]$ зима'!ai1684+'[2]$ зима'!ao1684+'[2]$ зима'!k1684</f>
        <v>4</v>
      </c>
      <c r="I1684" s="191" t="n">
        <f aca="false">'[2]$ зима'!ay1684*1.1</f>
        <v>1562</v>
      </c>
      <c r="J1684" s="171" t="n">
        <v>2007</v>
      </c>
    </row>
    <row r="1685" customFormat="false" ht="15" hidden="false" customHeight="false" outlineLevel="0" collapsed="false">
      <c r="A1685" s="196" t="s">
        <v>2503</v>
      </c>
      <c r="B1685" s="149" t="s">
        <v>668</v>
      </c>
      <c r="C1685" s="148" t="s">
        <v>3927</v>
      </c>
      <c r="D1685" s="202"/>
      <c r="E1685" s="211"/>
      <c r="F1685" s="211"/>
      <c r="G1685" s="203" t="s">
        <v>609</v>
      </c>
      <c r="H1685" s="105" t="n">
        <f aca="false">'[2]$ зима'!j1685-'[2]$ зима'!au1685-'[2]$ зима'!at1685-'[2]$ зима'!as1685-'[2]$ зима'!ar1685-'[2]$ зима'!aq1685-'[2]$ зима'!ap1685-'[2]$ зима'!an1685-'[2]$ зима'!am1685-'[2]$ зима'!al1685-'[2]$ зима'!ak1685-'[2]$ зима'!aj1685-'[2]$ зима'!ah1685-'[2]$ зима'!ag1685-'[2]$ зима'!af1685-'[2]$ зима'!ae1685-'[2]$ зима'!ad1685-'[2]$ зима'!ab1685-'[2]$ зима'!aa1685-'[2]$ зима'!z1685-'[2]$ зима'!y1685-'[2]$ зима'!x1685-'[2]$ зима'!v1685-'[2]$ зима'!u1685-'[2]$ зима'!t1685-'[2]$ зима'!s1685-'[2]$ зима'!r1685-'[2]$ зима'!p1685-'[2]$ зима'!o1685-'[2]$ зима'!n1685-'[2]$ зима'!m1685-'[2]$ зима'!l1685+'[2]$ зима'!q1685+'[2]$ зима'!w1685+'[2]$ зима'!ac1685+'[2]$ зима'!ai1685+'[2]$ зима'!ao1685+'[2]$ зима'!k1685</f>
        <v>2</v>
      </c>
      <c r="I1685" s="191" t="n">
        <f aca="false">'[2]$ зима'!ay1685*1.1</f>
        <v>1562</v>
      </c>
      <c r="J1685" s="171" t="n">
        <v>2009</v>
      </c>
    </row>
    <row r="1686" customFormat="false" ht="15" hidden="false" customHeight="false" outlineLevel="0" collapsed="false">
      <c r="A1686" s="196" t="s">
        <v>289</v>
      </c>
      <c r="B1686" s="149" t="s">
        <v>568</v>
      </c>
      <c r="C1686" s="148" t="s">
        <v>3915</v>
      </c>
      <c r="D1686" s="202"/>
      <c r="E1686" s="211"/>
      <c r="F1686" s="211"/>
      <c r="G1686" s="203"/>
      <c r="H1686" s="105" t="n">
        <f aca="false">'[2]$ зима'!j1686-'[2]$ зима'!au1686-'[2]$ зима'!at1686-'[2]$ зима'!as1686-'[2]$ зима'!ar1686-'[2]$ зима'!aq1686-'[2]$ зима'!ap1686-'[2]$ зима'!an1686-'[2]$ зима'!am1686-'[2]$ зима'!al1686-'[2]$ зима'!ak1686-'[2]$ зима'!aj1686-'[2]$ зима'!ah1686-'[2]$ зима'!ag1686-'[2]$ зима'!af1686-'[2]$ зима'!ae1686-'[2]$ зима'!ad1686-'[2]$ зима'!ab1686-'[2]$ зима'!aa1686-'[2]$ зима'!z1686-'[2]$ зима'!y1686-'[2]$ зима'!x1686-'[2]$ зима'!v1686-'[2]$ зима'!u1686-'[2]$ зима'!t1686-'[2]$ зима'!s1686-'[2]$ зима'!r1686-'[2]$ зима'!p1686-'[2]$ зима'!o1686-'[2]$ зима'!n1686-'[2]$ зима'!m1686-'[2]$ зима'!l1686+'[2]$ зима'!q1686+'[2]$ зима'!w1686+'[2]$ зима'!ac1686+'[2]$ зима'!ai1686+'[2]$ зима'!ao1686+'[2]$ зима'!k1686</f>
        <v>2</v>
      </c>
      <c r="I1686" s="191" t="n">
        <f aca="false">'[2]$ зима'!ay1686*1.1</f>
        <v>2249.28</v>
      </c>
    </row>
    <row r="1687" customFormat="false" ht="15" hidden="true" customHeight="false" outlineLevel="0" collapsed="false">
      <c r="A1687" s="196" t="s">
        <v>289</v>
      </c>
      <c r="B1687" s="149" t="s">
        <v>606</v>
      </c>
      <c r="C1687" s="148" t="s">
        <v>3939</v>
      </c>
      <c r="D1687" s="202"/>
      <c r="E1687" s="202"/>
      <c r="F1687" s="202"/>
      <c r="G1687" s="203"/>
      <c r="H1687" s="105" t="n">
        <f aca="false">'[2]$ зима'!j1687-'[2]$ зима'!au1687-'[2]$ зима'!at1687-'[2]$ зима'!as1687-'[2]$ зима'!ar1687-'[2]$ зима'!aq1687-'[2]$ зима'!ap1687-'[2]$ зима'!an1687-'[2]$ зима'!am1687-'[2]$ зима'!al1687-'[2]$ зима'!ak1687-'[2]$ зима'!aj1687-'[2]$ зима'!ah1687-'[2]$ зима'!ag1687-'[2]$ зима'!af1687-'[2]$ зима'!ae1687-'[2]$ зима'!ad1687-'[2]$ зима'!ab1687-'[2]$ зима'!aa1687-'[2]$ зима'!z1687-'[2]$ зима'!y1687-'[2]$ зима'!x1687-'[2]$ зима'!v1687-'[2]$ зима'!u1687-'[2]$ зима'!t1687-'[2]$ зима'!s1687-'[2]$ зима'!r1687-'[2]$ зима'!p1687-'[2]$ зима'!o1687-'[2]$ зима'!n1687-'[2]$ зима'!m1687-'[2]$ зима'!l1687+'[2]$ зима'!q1687+'[2]$ зима'!w1687+'[2]$ зима'!ac1687+'[2]$ зима'!ai1687+'[2]$ зима'!ao1687+'[2]$ зима'!k1687</f>
        <v>0</v>
      </c>
      <c r="I1687" s="191" t="n">
        <f aca="false">'[2]$ зима'!ay1687*1.1</f>
        <v>2155.56</v>
      </c>
    </row>
    <row r="1688" customFormat="false" ht="15" hidden="false" customHeight="false" outlineLevel="0" collapsed="false">
      <c r="A1688" s="196" t="s">
        <v>289</v>
      </c>
      <c r="B1688" s="149" t="s">
        <v>574</v>
      </c>
      <c r="C1688" s="148" t="s">
        <v>3910</v>
      </c>
      <c r="D1688" s="148"/>
      <c r="E1688" s="192" t="s">
        <v>2455</v>
      </c>
      <c r="F1688" s="192"/>
      <c r="G1688" s="193" t="s">
        <v>576</v>
      </c>
      <c r="H1688" s="105" t="n">
        <f aca="false">'[2]$ зима'!j1688-'[2]$ зима'!au1688-'[2]$ зима'!at1688-'[2]$ зима'!as1688-'[2]$ зима'!ar1688-'[2]$ зима'!aq1688-'[2]$ зима'!ap1688-'[2]$ зима'!an1688-'[2]$ зима'!am1688-'[2]$ зима'!al1688-'[2]$ зима'!ak1688-'[2]$ зима'!aj1688-'[2]$ зима'!ah1688-'[2]$ зима'!ag1688-'[2]$ зима'!af1688-'[2]$ зима'!ae1688-'[2]$ зима'!ad1688-'[2]$ зима'!ab1688-'[2]$ зима'!aa1688-'[2]$ зима'!z1688-'[2]$ зима'!y1688-'[2]$ зима'!x1688-'[2]$ зима'!v1688-'[2]$ зима'!u1688-'[2]$ зима'!t1688-'[2]$ зима'!s1688-'[2]$ зима'!r1688-'[2]$ зима'!p1688-'[2]$ зима'!o1688-'[2]$ зима'!n1688-'[2]$ зима'!m1688-'[2]$ зима'!l1688+'[2]$ зима'!q1688+'[2]$ зима'!w1688+'[2]$ зима'!ac1688+'[2]$ зима'!ai1688+'[2]$ зима'!ao1688+'[2]$ зима'!k1688</f>
        <v>8</v>
      </c>
      <c r="I1688" s="191" t="n">
        <f aca="false">'[2]$ зима'!ay1688*1.1</f>
        <v>2186.8</v>
      </c>
      <c r="J1688" s="171" t="n">
        <v>2018</v>
      </c>
    </row>
    <row r="1689" customFormat="false" ht="15" hidden="false" customHeight="false" outlineLevel="0" collapsed="false">
      <c r="A1689" s="196" t="s">
        <v>289</v>
      </c>
      <c r="B1689" s="149" t="s">
        <v>583</v>
      </c>
      <c r="C1689" s="148" t="s">
        <v>3897</v>
      </c>
      <c r="D1689" s="202"/>
      <c r="E1689" s="211"/>
      <c r="F1689" s="211"/>
      <c r="G1689" s="203"/>
      <c r="H1689" s="105" t="n">
        <f aca="false">'[2]$ зима'!j1689-'[2]$ зима'!au1689-'[2]$ зима'!at1689-'[2]$ зима'!as1689-'[2]$ зима'!ar1689-'[2]$ зима'!aq1689-'[2]$ зима'!ap1689-'[2]$ зима'!an1689-'[2]$ зима'!am1689-'[2]$ зима'!al1689-'[2]$ зима'!ak1689-'[2]$ зима'!aj1689-'[2]$ зима'!ah1689-'[2]$ зима'!ag1689-'[2]$ зима'!af1689-'[2]$ зима'!ae1689-'[2]$ зима'!ad1689-'[2]$ зима'!ab1689-'[2]$ зима'!aa1689-'[2]$ зима'!z1689-'[2]$ зима'!y1689-'[2]$ зима'!x1689-'[2]$ зима'!v1689-'[2]$ зима'!u1689-'[2]$ зима'!t1689-'[2]$ зима'!s1689-'[2]$ зима'!r1689-'[2]$ зима'!p1689-'[2]$ зима'!o1689-'[2]$ зима'!n1689-'[2]$ зима'!m1689-'[2]$ зима'!l1689+'[2]$ зима'!q1689+'[2]$ зима'!w1689+'[2]$ зима'!ac1689+'[2]$ зима'!ai1689+'[2]$ зима'!ao1689+'[2]$ зима'!k1689</f>
        <v>11</v>
      </c>
      <c r="I1689" s="191" t="n">
        <f aca="false">'[2]$ зима'!ay1689*1.1</f>
        <v>1999.36</v>
      </c>
    </row>
    <row r="1690" customFormat="false" ht="15" hidden="false" customHeight="false" outlineLevel="0" collapsed="false">
      <c r="A1690" s="196" t="s">
        <v>289</v>
      </c>
      <c r="B1690" s="149" t="s">
        <v>593</v>
      </c>
      <c r="C1690" s="148" t="s">
        <v>3930</v>
      </c>
      <c r="D1690" s="202"/>
      <c r="E1690" s="211"/>
      <c r="F1690" s="211"/>
      <c r="G1690" s="203" t="s">
        <v>933</v>
      </c>
      <c r="H1690" s="105" t="n">
        <f aca="false">'[2]$ зима'!j1690-'[2]$ зима'!au1690-'[2]$ зима'!at1690-'[2]$ зима'!as1690-'[2]$ зима'!ar1690-'[2]$ зима'!aq1690-'[2]$ зима'!ap1690-'[2]$ зима'!an1690-'[2]$ зима'!am1690-'[2]$ зима'!al1690-'[2]$ зима'!ak1690-'[2]$ зима'!aj1690-'[2]$ зима'!ah1690-'[2]$ зима'!ag1690-'[2]$ зима'!af1690-'[2]$ зима'!ae1690-'[2]$ зима'!ad1690-'[2]$ зима'!ab1690-'[2]$ зима'!aa1690-'[2]$ зима'!z1690-'[2]$ зима'!y1690-'[2]$ зима'!x1690-'[2]$ зима'!v1690-'[2]$ зима'!u1690-'[2]$ зима'!t1690-'[2]$ зима'!s1690-'[2]$ зима'!r1690-'[2]$ зима'!p1690-'[2]$ зима'!o1690-'[2]$ зима'!n1690-'[2]$ зима'!m1690-'[2]$ зима'!l1690+'[2]$ зима'!q1690+'[2]$ зима'!w1690+'[2]$ зима'!ac1690+'[2]$ зима'!ai1690+'[2]$ зима'!ao1690+'[2]$ зима'!k1690</f>
        <v>14</v>
      </c>
      <c r="I1690" s="191" t="n">
        <f aca="false">'[2]$ зима'!ay1690*1.1</f>
        <v>3124</v>
      </c>
      <c r="J1690" s="171" t="n">
        <v>2017</v>
      </c>
    </row>
    <row r="1691" customFormat="false" ht="15" hidden="false" customHeight="false" outlineLevel="0" collapsed="false">
      <c r="A1691" s="196" t="s">
        <v>289</v>
      </c>
      <c r="B1691" s="149" t="s">
        <v>1149</v>
      </c>
      <c r="C1691" s="148" t="s">
        <v>3940</v>
      </c>
      <c r="D1691" s="202"/>
      <c r="E1691" s="211"/>
      <c r="F1691" s="211"/>
      <c r="G1691" s="203"/>
      <c r="H1691" s="105" t="n">
        <f aca="false">'[2]$ зима'!j1691-'[2]$ зима'!au1691-'[2]$ зима'!at1691-'[2]$ зима'!as1691-'[2]$ зима'!ar1691-'[2]$ зима'!aq1691-'[2]$ зима'!ap1691-'[2]$ зима'!an1691-'[2]$ зима'!am1691-'[2]$ зима'!al1691-'[2]$ зима'!ak1691-'[2]$ зима'!aj1691-'[2]$ зима'!ah1691-'[2]$ зима'!ag1691-'[2]$ зима'!af1691-'[2]$ зима'!ae1691-'[2]$ зима'!ad1691-'[2]$ зима'!ab1691-'[2]$ зима'!aa1691-'[2]$ зима'!z1691-'[2]$ зима'!y1691-'[2]$ зима'!x1691-'[2]$ зима'!v1691-'[2]$ зима'!u1691-'[2]$ зима'!t1691-'[2]$ зима'!s1691-'[2]$ зима'!r1691-'[2]$ зима'!p1691-'[2]$ зима'!o1691-'[2]$ зима'!n1691-'[2]$ зима'!m1691-'[2]$ зима'!l1691+'[2]$ зима'!q1691+'[2]$ зима'!w1691+'[2]$ зима'!ac1691+'[2]$ зима'!ai1691+'[2]$ зима'!ao1691+'[2]$ зима'!k1691</f>
        <v>4</v>
      </c>
      <c r="I1691" s="191" t="n">
        <f aca="false">'[2]$ зима'!ay1691*1.1</f>
        <v>2186.8</v>
      </c>
    </row>
    <row r="1692" customFormat="false" ht="15" hidden="false" customHeight="false" outlineLevel="0" collapsed="false">
      <c r="A1692" s="196" t="s">
        <v>289</v>
      </c>
      <c r="B1692" s="149" t="s">
        <v>1176</v>
      </c>
      <c r="C1692" s="148" t="s">
        <v>3941</v>
      </c>
      <c r="D1692" s="202"/>
      <c r="E1692" s="211"/>
      <c r="F1692" s="211"/>
      <c r="G1692" s="203"/>
      <c r="H1692" s="105" t="n">
        <f aca="false">'[2]$ зима'!j1692-'[2]$ зима'!au1692-'[2]$ зима'!at1692-'[2]$ зима'!as1692-'[2]$ зима'!ar1692-'[2]$ зима'!aq1692-'[2]$ зима'!ap1692-'[2]$ зима'!an1692-'[2]$ зима'!am1692-'[2]$ зима'!al1692-'[2]$ зима'!ak1692-'[2]$ зима'!aj1692-'[2]$ зима'!ah1692-'[2]$ зима'!ag1692-'[2]$ зима'!af1692-'[2]$ зима'!ae1692-'[2]$ зима'!ad1692-'[2]$ зима'!ab1692-'[2]$ зима'!aa1692-'[2]$ зима'!z1692-'[2]$ зима'!y1692-'[2]$ зима'!x1692-'[2]$ зима'!v1692-'[2]$ зима'!u1692-'[2]$ зима'!t1692-'[2]$ зима'!s1692-'[2]$ зима'!r1692-'[2]$ зима'!p1692-'[2]$ зима'!o1692-'[2]$ зима'!n1692-'[2]$ зима'!m1692-'[2]$ зима'!l1692+'[2]$ зима'!q1692+'[2]$ зима'!w1692+'[2]$ зима'!ac1692+'[2]$ зима'!ai1692+'[2]$ зима'!ao1692+'[2]$ зима'!k1692</f>
        <v>4</v>
      </c>
      <c r="I1692" s="191" t="n">
        <f aca="false">'[2]$ зима'!ay1692*1.1</f>
        <v>1874.4</v>
      </c>
    </row>
    <row r="1693" customFormat="false" ht="15" hidden="true" customHeight="false" outlineLevel="0" collapsed="false">
      <c r="A1693" s="196" t="s">
        <v>290</v>
      </c>
      <c r="B1693" s="149" t="s">
        <v>844</v>
      </c>
      <c r="C1693" s="148" t="s">
        <v>3942</v>
      </c>
      <c r="D1693" s="202"/>
      <c r="E1693" s="202" t="s">
        <v>2546</v>
      </c>
      <c r="F1693" s="202" t="s">
        <v>3220</v>
      </c>
      <c r="G1693" s="203"/>
      <c r="H1693" s="105" t="n">
        <f aca="false">'[2]$ зима'!j1693-'[2]$ зима'!au1693-'[2]$ зима'!at1693-'[2]$ зима'!as1693-'[2]$ зима'!ar1693-'[2]$ зима'!aq1693-'[2]$ зима'!ap1693-'[2]$ зима'!an1693-'[2]$ зима'!am1693-'[2]$ зима'!al1693-'[2]$ зима'!ak1693-'[2]$ зима'!aj1693-'[2]$ зима'!ah1693-'[2]$ зима'!ag1693-'[2]$ зима'!af1693-'[2]$ зима'!ae1693-'[2]$ зима'!ad1693-'[2]$ зима'!ab1693-'[2]$ зима'!aa1693-'[2]$ зима'!z1693-'[2]$ зима'!y1693-'[2]$ зима'!x1693-'[2]$ зима'!v1693-'[2]$ зима'!u1693-'[2]$ зима'!t1693-'[2]$ зима'!s1693-'[2]$ зима'!r1693-'[2]$ зима'!p1693-'[2]$ зима'!o1693-'[2]$ зима'!n1693-'[2]$ зима'!m1693-'[2]$ зима'!l1693+'[2]$ зима'!q1693+'[2]$ зима'!w1693+'[2]$ зима'!ac1693+'[2]$ зима'!ai1693+'[2]$ зима'!ao1693+'[2]$ зима'!k1693</f>
        <v>0</v>
      </c>
      <c r="I1693" s="191" t="n">
        <f aca="false">'[2]$ зима'!ay1693*1.1</f>
        <v>2186.8</v>
      </c>
    </row>
    <row r="1694" customFormat="false" ht="15" hidden="false" customHeight="false" outlineLevel="0" collapsed="false">
      <c r="A1694" s="196" t="s">
        <v>290</v>
      </c>
      <c r="B1694" s="149" t="s">
        <v>601</v>
      </c>
      <c r="C1694" s="148" t="s">
        <v>3918</v>
      </c>
      <c r="D1694" s="148"/>
      <c r="E1694" s="192"/>
      <c r="F1694" s="192"/>
      <c r="G1694" s="193"/>
      <c r="H1694" s="105" t="n">
        <f aca="false">'[2]$ зима'!j1694-'[2]$ зима'!au1694-'[2]$ зима'!at1694-'[2]$ зима'!as1694-'[2]$ зима'!ar1694-'[2]$ зима'!aq1694-'[2]$ зима'!ap1694-'[2]$ зима'!an1694-'[2]$ зима'!am1694-'[2]$ зима'!al1694-'[2]$ зима'!ak1694-'[2]$ зима'!aj1694-'[2]$ зима'!ah1694-'[2]$ зима'!ag1694-'[2]$ зима'!af1694-'[2]$ зима'!ae1694-'[2]$ зима'!ad1694-'[2]$ зима'!ab1694-'[2]$ зима'!aa1694-'[2]$ зима'!z1694-'[2]$ зима'!y1694-'[2]$ зима'!x1694-'[2]$ зима'!v1694-'[2]$ зима'!u1694-'[2]$ зима'!t1694-'[2]$ зима'!s1694-'[2]$ зима'!r1694-'[2]$ зима'!p1694-'[2]$ зима'!o1694-'[2]$ зима'!n1694-'[2]$ зима'!m1694-'[2]$ зима'!l1694+'[2]$ зима'!q1694+'[2]$ зима'!w1694+'[2]$ зима'!ac1694+'[2]$ зима'!ai1694+'[2]$ зима'!ao1694+'[2]$ зима'!k1694</f>
        <v>2</v>
      </c>
      <c r="I1694" s="191" t="n">
        <f aca="false">'[2]$ зима'!ay1694*1.1</f>
        <v>1874.4</v>
      </c>
    </row>
    <row r="1695" customFormat="false" ht="15" hidden="false" customHeight="false" outlineLevel="0" collapsed="false">
      <c r="A1695" s="196" t="s">
        <v>290</v>
      </c>
      <c r="B1695" s="149" t="s">
        <v>666</v>
      </c>
      <c r="C1695" s="148" t="s">
        <v>3893</v>
      </c>
      <c r="D1695" s="202"/>
      <c r="E1695" s="211"/>
      <c r="F1695" s="211"/>
      <c r="G1695" s="203"/>
      <c r="H1695" s="105" t="n">
        <f aca="false">'[2]$ зима'!j1695-'[2]$ зима'!au1695-'[2]$ зима'!at1695-'[2]$ зима'!as1695-'[2]$ зима'!ar1695-'[2]$ зима'!aq1695-'[2]$ зима'!ap1695-'[2]$ зима'!an1695-'[2]$ зима'!am1695-'[2]$ зима'!al1695-'[2]$ зима'!ak1695-'[2]$ зима'!aj1695-'[2]$ зима'!ah1695-'[2]$ зима'!ag1695-'[2]$ зима'!af1695-'[2]$ зима'!ae1695-'[2]$ зима'!ad1695-'[2]$ зима'!ab1695-'[2]$ зима'!aa1695-'[2]$ зима'!z1695-'[2]$ зима'!y1695-'[2]$ зима'!x1695-'[2]$ зима'!v1695-'[2]$ зима'!u1695-'[2]$ зима'!t1695-'[2]$ зима'!s1695-'[2]$ зима'!r1695-'[2]$ зима'!p1695-'[2]$ зима'!o1695-'[2]$ зима'!n1695-'[2]$ зима'!m1695-'[2]$ зима'!l1695+'[2]$ зима'!q1695+'[2]$ зима'!w1695+'[2]$ зима'!ac1695+'[2]$ зима'!ai1695+'[2]$ зима'!ao1695+'[2]$ зима'!k1695</f>
        <v>4</v>
      </c>
      <c r="I1695" s="191" t="n">
        <f aca="false">'[2]$ зима'!ay1695*1.1</f>
        <v>2467.96</v>
      </c>
    </row>
    <row r="1696" customFormat="false" ht="15" hidden="false" customHeight="false" outlineLevel="0" collapsed="false">
      <c r="A1696" s="196" t="s">
        <v>290</v>
      </c>
      <c r="B1696" s="149" t="s">
        <v>577</v>
      </c>
      <c r="C1696" s="148" t="s">
        <v>3896</v>
      </c>
      <c r="D1696" s="148"/>
      <c r="E1696" s="192"/>
      <c r="F1696" s="192"/>
      <c r="G1696" s="193" t="s">
        <v>563</v>
      </c>
      <c r="H1696" s="105" t="n">
        <f aca="false">'[2]$ зима'!j1696-'[2]$ зима'!au1696-'[2]$ зима'!at1696-'[2]$ зима'!as1696-'[2]$ зима'!ar1696-'[2]$ зима'!aq1696-'[2]$ зима'!ap1696-'[2]$ зима'!an1696-'[2]$ зима'!am1696-'[2]$ зима'!al1696-'[2]$ зима'!ak1696-'[2]$ зима'!aj1696-'[2]$ зима'!ah1696-'[2]$ зима'!ag1696-'[2]$ зима'!af1696-'[2]$ зима'!ae1696-'[2]$ зима'!ad1696-'[2]$ зима'!ab1696-'[2]$ зима'!aa1696-'[2]$ зима'!z1696-'[2]$ зима'!y1696-'[2]$ зима'!x1696-'[2]$ зима'!v1696-'[2]$ зима'!u1696-'[2]$ зима'!t1696-'[2]$ зима'!s1696-'[2]$ зима'!r1696-'[2]$ зима'!p1696-'[2]$ зима'!o1696-'[2]$ зима'!n1696-'[2]$ зима'!m1696-'[2]$ зима'!l1696+'[2]$ зима'!q1696+'[2]$ зима'!w1696+'[2]$ зима'!ac1696+'[2]$ зима'!ai1696+'[2]$ зима'!ao1696+'[2]$ зима'!k1696</f>
        <v>4</v>
      </c>
      <c r="I1696" s="191" t="n">
        <f aca="false">'[2]$ зима'!ay1696*1.1</f>
        <v>2030.6</v>
      </c>
      <c r="J1696" s="171" t="n">
        <v>2017</v>
      </c>
    </row>
    <row r="1697" customFormat="false" ht="15" hidden="false" customHeight="false" outlineLevel="0" collapsed="false">
      <c r="A1697" s="196" t="s">
        <v>290</v>
      </c>
      <c r="B1697" s="149" t="s">
        <v>583</v>
      </c>
      <c r="C1697" s="148" t="s">
        <v>3943</v>
      </c>
      <c r="D1697" s="202"/>
      <c r="E1697" s="211"/>
      <c r="F1697" s="211"/>
      <c r="G1697" s="203"/>
      <c r="H1697" s="105" t="n">
        <f aca="false">'[2]$ зима'!j1697-'[2]$ зима'!au1697-'[2]$ зима'!at1697-'[2]$ зима'!as1697-'[2]$ зима'!ar1697-'[2]$ зима'!aq1697-'[2]$ зима'!ap1697-'[2]$ зима'!an1697-'[2]$ зима'!am1697-'[2]$ зима'!al1697-'[2]$ зима'!ak1697-'[2]$ зима'!aj1697-'[2]$ зима'!ah1697-'[2]$ зима'!ag1697-'[2]$ зима'!af1697-'[2]$ зима'!ae1697-'[2]$ зима'!ad1697-'[2]$ зима'!ab1697-'[2]$ зима'!aa1697-'[2]$ зима'!z1697-'[2]$ зима'!y1697-'[2]$ зима'!x1697-'[2]$ зима'!v1697-'[2]$ зима'!u1697-'[2]$ зима'!t1697-'[2]$ зима'!s1697-'[2]$ зима'!r1697-'[2]$ зима'!p1697-'[2]$ зима'!o1697-'[2]$ зима'!n1697-'[2]$ зима'!m1697-'[2]$ зима'!l1697+'[2]$ зима'!q1697+'[2]$ зима'!w1697+'[2]$ зима'!ac1697+'[2]$ зима'!ai1697+'[2]$ зима'!ao1697+'[2]$ зима'!k1697</f>
        <v>4</v>
      </c>
      <c r="I1697" s="191" t="n">
        <f aca="false">'[2]$ зима'!ay1697*1.1</f>
        <v>2093.08</v>
      </c>
      <c r="J1697" s="171" t="s">
        <v>3944</v>
      </c>
    </row>
    <row r="1698" customFormat="false" ht="15" hidden="false" customHeight="false" outlineLevel="0" collapsed="false">
      <c r="A1698" s="196" t="s">
        <v>290</v>
      </c>
      <c r="B1698" s="149" t="s">
        <v>593</v>
      </c>
      <c r="C1698" s="148" t="s">
        <v>3930</v>
      </c>
      <c r="D1698" s="202"/>
      <c r="E1698" s="211" t="s">
        <v>3945</v>
      </c>
      <c r="F1698" s="211"/>
      <c r="G1698" s="203" t="s">
        <v>933</v>
      </c>
      <c r="H1698" s="105" t="n">
        <f aca="false">'[2]$ зима'!j1698-'[2]$ зима'!au1698-'[2]$ зима'!at1698-'[2]$ зима'!as1698-'[2]$ зима'!ar1698-'[2]$ зима'!aq1698-'[2]$ зима'!ap1698-'[2]$ зима'!an1698-'[2]$ зима'!am1698-'[2]$ зима'!al1698-'[2]$ зима'!ak1698-'[2]$ зима'!aj1698-'[2]$ зима'!ah1698-'[2]$ зима'!ag1698-'[2]$ зима'!af1698-'[2]$ зима'!ae1698-'[2]$ зима'!ad1698-'[2]$ зима'!ab1698-'[2]$ зима'!aa1698-'[2]$ зима'!z1698-'[2]$ зима'!y1698-'[2]$ зима'!x1698-'[2]$ зима'!v1698-'[2]$ зима'!u1698-'[2]$ зима'!t1698-'[2]$ зима'!s1698-'[2]$ зима'!r1698-'[2]$ зима'!p1698-'[2]$ зима'!o1698-'[2]$ зима'!n1698-'[2]$ зима'!m1698-'[2]$ зима'!l1698+'[2]$ зима'!q1698+'[2]$ зима'!w1698+'[2]$ зима'!ac1698+'[2]$ зима'!ai1698+'[2]$ зима'!ao1698+'[2]$ зима'!k1698</f>
        <v>2</v>
      </c>
      <c r="I1698" s="191" t="n">
        <f aca="false">'[2]$ зима'!ay1698*1.1</f>
        <v>2967.8</v>
      </c>
      <c r="J1698" s="171" t="n">
        <v>2015</v>
      </c>
    </row>
    <row r="1699" customFormat="false" ht="15" hidden="true" customHeight="false" outlineLevel="0" collapsed="false">
      <c r="A1699" s="196" t="s">
        <v>290</v>
      </c>
      <c r="B1699" s="149" t="s">
        <v>677</v>
      </c>
      <c r="C1699" s="148" t="s">
        <v>3256</v>
      </c>
      <c r="D1699" s="202"/>
      <c r="E1699" s="202"/>
      <c r="F1699" s="202"/>
      <c r="G1699" s="203"/>
      <c r="H1699" s="105" t="n">
        <f aca="false">'[2]$ зима'!j1699-'[2]$ зима'!au1699-'[2]$ зима'!at1699-'[2]$ зима'!as1699-'[2]$ зима'!ar1699-'[2]$ зима'!aq1699-'[2]$ зима'!ap1699-'[2]$ зима'!an1699-'[2]$ зима'!am1699-'[2]$ зима'!al1699-'[2]$ зима'!ak1699-'[2]$ зима'!aj1699-'[2]$ зима'!ah1699-'[2]$ зима'!ag1699-'[2]$ зима'!af1699-'[2]$ зима'!ae1699-'[2]$ зима'!ad1699-'[2]$ зима'!ab1699-'[2]$ зима'!aa1699-'[2]$ зима'!z1699-'[2]$ зима'!y1699-'[2]$ зима'!x1699-'[2]$ зима'!v1699-'[2]$ зима'!u1699-'[2]$ зима'!t1699-'[2]$ зима'!s1699-'[2]$ зима'!r1699-'[2]$ зима'!p1699-'[2]$ зима'!o1699-'[2]$ зима'!n1699-'[2]$ зима'!m1699-'[2]$ зима'!l1699+'[2]$ зима'!q1699+'[2]$ зима'!w1699+'[2]$ зима'!ac1699+'[2]$ зима'!ai1699+'[2]$ зима'!ao1699+'[2]$ зима'!k1699</f>
        <v>0</v>
      </c>
      <c r="I1699" s="191" t="n">
        <f aca="false">'[2]$ зима'!ay1699*1.1</f>
        <v>1811.92</v>
      </c>
    </row>
    <row r="1700" customFormat="false" ht="15" hidden="true" customHeight="false" outlineLevel="0" collapsed="false">
      <c r="A1700" s="196" t="s">
        <v>295</v>
      </c>
      <c r="B1700" s="149" t="s">
        <v>568</v>
      </c>
      <c r="C1700" s="148" t="s">
        <v>3915</v>
      </c>
      <c r="D1700" s="202"/>
      <c r="E1700" s="202"/>
      <c r="F1700" s="202"/>
      <c r="G1700" s="203"/>
      <c r="H1700" s="105" t="n">
        <f aca="false">'[2]$ зима'!j1700-'[2]$ зима'!au1700-'[2]$ зима'!at1700-'[2]$ зима'!as1700-'[2]$ зима'!ar1700-'[2]$ зима'!aq1700-'[2]$ зима'!ap1700-'[2]$ зима'!an1700-'[2]$ зима'!am1700-'[2]$ зима'!al1700-'[2]$ зима'!ak1700-'[2]$ зима'!aj1700-'[2]$ зима'!ah1700-'[2]$ зима'!ag1700-'[2]$ зима'!af1700-'[2]$ зима'!ae1700-'[2]$ зима'!ad1700-'[2]$ зима'!ab1700-'[2]$ зима'!aa1700-'[2]$ зима'!z1700-'[2]$ зима'!y1700-'[2]$ зима'!x1700-'[2]$ зима'!v1700-'[2]$ зима'!u1700-'[2]$ зима'!t1700-'[2]$ зима'!s1700-'[2]$ зима'!r1700-'[2]$ зима'!p1700-'[2]$ зима'!o1700-'[2]$ зима'!n1700-'[2]$ зима'!m1700-'[2]$ зима'!l1700+'[2]$ зима'!q1700+'[2]$ зима'!w1700+'[2]$ зима'!ac1700+'[2]$ зима'!ai1700+'[2]$ зима'!ao1700+'[2]$ зима'!k1700</f>
        <v>0</v>
      </c>
      <c r="I1700" s="191" t="n">
        <f aca="false">'[2]$ зима'!ay1700*1.1</f>
        <v>2124.32</v>
      </c>
    </row>
    <row r="1701" customFormat="false" ht="15" hidden="false" customHeight="false" outlineLevel="0" collapsed="false">
      <c r="A1701" s="196" t="s">
        <v>295</v>
      </c>
      <c r="B1701" s="149" t="s">
        <v>844</v>
      </c>
      <c r="C1701" s="148" t="s">
        <v>3946</v>
      </c>
      <c r="D1701" s="202"/>
      <c r="E1701" s="211" t="s">
        <v>2546</v>
      </c>
      <c r="F1701" s="211" t="s">
        <v>3220</v>
      </c>
      <c r="G1701" s="203"/>
      <c r="H1701" s="105" t="n">
        <f aca="false">'[2]$ зима'!j1701-'[2]$ зима'!au1701-'[2]$ зима'!at1701-'[2]$ зима'!as1701-'[2]$ зима'!ar1701-'[2]$ зима'!aq1701-'[2]$ зима'!ap1701-'[2]$ зима'!an1701-'[2]$ зима'!am1701-'[2]$ зима'!al1701-'[2]$ зима'!ak1701-'[2]$ зима'!aj1701-'[2]$ зима'!ah1701-'[2]$ зима'!ag1701-'[2]$ зима'!af1701-'[2]$ зима'!ae1701-'[2]$ зима'!ad1701-'[2]$ зима'!ab1701-'[2]$ зима'!aa1701-'[2]$ зима'!z1701-'[2]$ зима'!y1701-'[2]$ зима'!x1701-'[2]$ зима'!v1701-'[2]$ зима'!u1701-'[2]$ зима'!t1701-'[2]$ зима'!s1701-'[2]$ зима'!r1701-'[2]$ зима'!p1701-'[2]$ зима'!o1701-'[2]$ зима'!n1701-'[2]$ зима'!m1701-'[2]$ зима'!l1701+'[2]$ зима'!q1701+'[2]$ зима'!w1701+'[2]$ зима'!ac1701+'[2]$ зима'!ai1701+'[2]$ зима'!ao1701+'[2]$ зима'!k1701</f>
        <v>4</v>
      </c>
      <c r="I1701" s="191" t="n">
        <f aca="false">'[2]$ зима'!ay1701*1.1</f>
        <v>2280.52</v>
      </c>
    </row>
    <row r="1702" customFormat="false" ht="15" hidden="true" customHeight="false" outlineLevel="0" collapsed="false">
      <c r="A1702" s="196" t="s">
        <v>295</v>
      </c>
      <c r="B1702" s="149" t="s">
        <v>601</v>
      </c>
      <c r="C1702" s="148" t="s">
        <v>3947</v>
      </c>
      <c r="D1702" s="202"/>
      <c r="E1702" s="202"/>
      <c r="F1702" s="202"/>
      <c r="G1702" s="203"/>
      <c r="H1702" s="105" t="n">
        <f aca="false">'[2]$ зима'!j1702-'[2]$ зима'!au1702-'[2]$ зима'!at1702-'[2]$ зима'!as1702-'[2]$ зима'!ar1702-'[2]$ зима'!aq1702-'[2]$ зима'!ap1702-'[2]$ зима'!an1702-'[2]$ зима'!am1702-'[2]$ зима'!al1702-'[2]$ зима'!ak1702-'[2]$ зима'!aj1702-'[2]$ зима'!ah1702-'[2]$ зима'!ag1702-'[2]$ зима'!af1702-'[2]$ зима'!ae1702-'[2]$ зима'!ad1702-'[2]$ зима'!ab1702-'[2]$ зима'!aa1702-'[2]$ зима'!z1702-'[2]$ зима'!y1702-'[2]$ зима'!x1702-'[2]$ зима'!v1702-'[2]$ зима'!u1702-'[2]$ зима'!t1702-'[2]$ зима'!s1702-'[2]$ зима'!r1702-'[2]$ зима'!p1702-'[2]$ зима'!o1702-'[2]$ зима'!n1702-'[2]$ зима'!m1702-'[2]$ зима'!l1702+'[2]$ зима'!q1702+'[2]$ зима'!w1702+'[2]$ зима'!ac1702+'[2]$ зима'!ai1702+'[2]$ зима'!ao1702+'[2]$ зима'!k1702</f>
        <v>0</v>
      </c>
      <c r="I1702" s="191" t="n">
        <f aca="false">'[2]$ зима'!ay1702*1.1</f>
        <v>2499.2</v>
      </c>
    </row>
    <row r="1703" customFormat="false" ht="15" hidden="true" customHeight="false" outlineLevel="0" collapsed="false">
      <c r="A1703" s="196" t="s">
        <v>295</v>
      </c>
      <c r="B1703" s="149" t="s">
        <v>741</v>
      </c>
      <c r="C1703" s="194" t="s">
        <v>3890</v>
      </c>
      <c r="D1703" s="237"/>
      <c r="E1703" s="237"/>
      <c r="F1703" s="237"/>
      <c r="G1703" s="203"/>
      <c r="H1703" s="105" t="n">
        <f aca="false">'[2]$ зима'!j1703-'[2]$ зима'!au1703-'[2]$ зима'!at1703-'[2]$ зима'!as1703-'[2]$ зима'!ar1703-'[2]$ зима'!aq1703-'[2]$ зима'!ap1703-'[2]$ зима'!an1703-'[2]$ зима'!am1703-'[2]$ зима'!al1703-'[2]$ зима'!ak1703-'[2]$ зима'!aj1703-'[2]$ зима'!ah1703-'[2]$ зима'!ag1703-'[2]$ зима'!af1703-'[2]$ зима'!ae1703-'[2]$ зима'!ad1703-'[2]$ зима'!ab1703-'[2]$ зима'!aa1703-'[2]$ зима'!z1703-'[2]$ зима'!y1703-'[2]$ зима'!x1703-'[2]$ зима'!v1703-'[2]$ зима'!u1703-'[2]$ зима'!t1703-'[2]$ зима'!s1703-'[2]$ зима'!r1703-'[2]$ зима'!p1703-'[2]$ зима'!o1703-'[2]$ зима'!n1703-'[2]$ зима'!m1703-'[2]$ зима'!l1703+'[2]$ зима'!q1703+'[2]$ зима'!w1703+'[2]$ зима'!ac1703+'[2]$ зима'!ai1703+'[2]$ зима'!ao1703+'[2]$ зима'!k1703</f>
        <v>0</v>
      </c>
      <c r="I1703" s="191" t="n">
        <f aca="false">'[2]$ зима'!ay1703*1.1</f>
        <v>2186.8</v>
      </c>
    </row>
    <row r="1704" customFormat="false" ht="15" hidden="true" customHeight="false" outlineLevel="0" collapsed="false">
      <c r="A1704" s="196" t="s">
        <v>295</v>
      </c>
      <c r="B1704" s="149" t="s">
        <v>604</v>
      </c>
      <c r="C1704" s="148" t="s">
        <v>3948</v>
      </c>
      <c r="D1704" s="237" t="s">
        <v>582</v>
      </c>
      <c r="E1704" s="202"/>
      <c r="F1704" s="202"/>
      <c r="G1704" s="203" t="s">
        <v>1240</v>
      </c>
      <c r="H1704" s="105" t="n">
        <f aca="false">'[2]$ зима'!j1704-'[2]$ зима'!au1704-'[2]$ зима'!at1704-'[2]$ зима'!as1704-'[2]$ зима'!ar1704-'[2]$ зима'!aq1704-'[2]$ зима'!ap1704-'[2]$ зима'!an1704-'[2]$ зима'!am1704-'[2]$ зима'!al1704-'[2]$ зима'!ak1704-'[2]$ зима'!aj1704-'[2]$ зима'!ah1704-'[2]$ зима'!ag1704-'[2]$ зима'!af1704-'[2]$ зима'!ae1704-'[2]$ зима'!ad1704-'[2]$ зима'!ab1704-'[2]$ зима'!aa1704-'[2]$ зима'!z1704-'[2]$ зима'!y1704-'[2]$ зима'!x1704-'[2]$ зима'!v1704-'[2]$ зима'!u1704-'[2]$ зима'!t1704-'[2]$ зима'!s1704-'[2]$ зима'!r1704-'[2]$ зима'!p1704-'[2]$ зима'!o1704-'[2]$ зима'!n1704-'[2]$ зима'!m1704-'[2]$ зима'!l1704+'[2]$ зима'!q1704+'[2]$ зима'!w1704+'[2]$ зима'!ac1704+'[2]$ зима'!ai1704+'[2]$ зима'!ao1704+'[2]$ зима'!k1704</f>
        <v>0</v>
      </c>
      <c r="I1704" s="191" t="n">
        <f aca="false">'[2]$ зима'!ay1704*1.1</f>
        <v>2905.32</v>
      </c>
    </row>
    <row r="1705" customFormat="false" ht="15" hidden="true" customHeight="false" outlineLevel="0" collapsed="false">
      <c r="A1705" s="196" t="s">
        <v>295</v>
      </c>
      <c r="B1705" s="149" t="s">
        <v>2480</v>
      </c>
      <c r="C1705" s="148" t="s">
        <v>3949</v>
      </c>
      <c r="D1705" s="202"/>
      <c r="E1705" s="202"/>
      <c r="F1705" s="202"/>
      <c r="G1705" s="203"/>
      <c r="H1705" s="105" t="n">
        <f aca="false">'[2]$ зима'!j1705-'[2]$ зима'!au1705-'[2]$ зима'!at1705-'[2]$ зима'!as1705-'[2]$ зима'!ar1705-'[2]$ зима'!aq1705-'[2]$ зима'!ap1705-'[2]$ зима'!an1705-'[2]$ зима'!am1705-'[2]$ зима'!al1705-'[2]$ зима'!ak1705-'[2]$ зима'!aj1705-'[2]$ зима'!ah1705-'[2]$ зима'!ag1705-'[2]$ зима'!af1705-'[2]$ зима'!ae1705-'[2]$ зима'!ad1705-'[2]$ зима'!ab1705-'[2]$ зима'!aa1705-'[2]$ зима'!z1705-'[2]$ зима'!y1705-'[2]$ зима'!x1705-'[2]$ зима'!v1705-'[2]$ зима'!u1705-'[2]$ зима'!t1705-'[2]$ зима'!s1705-'[2]$ зима'!r1705-'[2]$ зима'!p1705-'[2]$ зима'!o1705-'[2]$ зима'!n1705-'[2]$ зима'!m1705-'[2]$ зима'!l1705+'[2]$ зима'!q1705+'[2]$ зима'!w1705+'[2]$ зима'!ac1705+'[2]$ зима'!ai1705+'[2]$ зима'!ao1705+'[2]$ зима'!k1705</f>
        <v>0</v>
      </c>
      <c r="I1705" s="191" t="n">
        <f aca="false">'[2]$ зима'!ay1705*1.1</f>
        <v>2280.52</v>
      </c>
      <c r="J1705" s="171" t="s">
        <v>866</v>
      </c>
    </row>
    <row r="1706" customFormat="false" ht="15" hidden="true" customHeight="false" outlineLevel="0" collapsed="false">
      <c r="A1706" s="196" t="s">
        <v>295</v>
      </c>
      <c r="B1706" s="149" t="s">
        <v>606</v>
      </c>
      <c r="C1706" s="148" t="s">
        <v>3950</v>
      </c>
      <c r="D1706" s="202"/>
      <c r="E1706" s="202" t="s">
        <v>2546</v>
      </c>
      <c r="F1706" s="202"/>
      <c r="G1706" s="203"/>
      <c r="H1706" s="105" t="n">
        <f aca="false">'[2]$ зима'!j1706-'[2]$ зима'!au1706-'[2]$ зима'!at1706-'[2]$ зима'!as1706-'[2]$ зима'!ar1706-'[2]$ зима'!aq1706-'[2]$ зима'!ap1706-'[2]$ зима'!an1706-'[2]$ зима'!am1706-'[2]$ зима'!al1706-'[2]$ зима'!ak1706-'[2]$ зима'!aj1706-'[2]$ зима'!ah1706-'[2]$ зима'!ag1706-'[2]$ зима'!af1706-'[2]$ зима'!ae1706-'[2]$ зима'!ad1706-'[2]$ зима'!ab1706-'[2]$ зима'!aa1706-'[2]$ зима'!z1706-'[2]$ зима'!y1706-'[2]$ зима'!x1706-'[2]$ зима'!v1706-'[2]$ зима'!u1706-'[2]$ зима'!t1706-'[2]$ зима'!s1706-'[2]$ зима'!r1706-'[2]$ зима'!p1706-'[2]$ зима'!o1706-'[2]$ зима'!n1706-'[2]$ зима'!m1706-'[2]$ зима'!l1706+'[2]$ зима'!q1706+'[2]$ зима'!w1706+'[2]$ зима'!ac1706+'[2]$ зима'!ai1706+'[2]$ зима'!ao1706+'[2]$ зима'!k1706</f>
        <v>0</v>
      </c>
      <c r="I1706" s="191" t="n">
        <f aca="false">'[2]$ зима'!ay1706*1.1</f>
        <v>2124.32</v>
      </c>
    </row>
    <row r="1707" customFormat="false" ht="15" hidden="false" customHeight="false" outlineLevel="0" collapsed="false">
      <c r="A1707" s="196" t="s">
        <v>295</v>
      </c>
      <c r="B1707" s="149" t="s">
        <v>666</v>
      </c>
      <c r="C1707" s="148" t="s">
        <v>3926</v>
      </c>
      <c r="D1707" s="202"/>
      <c r="E1707" s="211"/>
      <c r="F1707" s="211"/>
      <c r="G1707" s="203" t="s">
        <v>631</v>
      </c>
      <c r="H1707" s="105" t="n">
        <f aca="false">'[2]$ зима'!j1707-'[2]$ зима'!au1707-'[2]$ зима'!at1707-'[2]$ зима'!as1707-'[2]$ зима'!ar1707-'[2]$ зима'!aq1707-'[2]$ зима'!ap1707-'[2]$ зима'!an1707-'[2]$ зима'!am1707-'[2]$ зима'!al1707-'[2]$ зима'!ak1707-'[2]$ зима'!aj1707-'[2]$ зима'!ah1707-'[2]$ зима'!ag1707-'[2]$ зима'!af1707-'[2]$ зима'!ae1707-'[2]$ зима'!ad1707-'[2]$ зима'!ab1707-'[2]$ зима'!aa1707-'[2]$ зима'!z1707-'[2]$ зима'!y1707-'[2]$ зима'!x1707-'[2]$ зима'!v1707-'[2]$ зима'!u1707-'[2]$ зима'!t1707-'[2]$ зима'!s1707-'[2]$ зима'!r1707-'[2]$ зима'!p1707-'[2]$ зима'!o1707-'[2]$ зима'!n1707-'[2]$ зима'!m1707-'[2]$ зима'!l1707+'[2]$ зима'!q1707+'[2]$ зима'!w1707+'[2]$ зима'!ac1707+'[2]$ зима'!ai1707+'[2]$ зима'!ao1707+'[2]$ зима'!k1707</f>
        <v>35</v>
      </c>
      <c r="I1707" s="191" t="n">
        <f aca="false">'[2]$ зима'!ay1707*1.1</f>
        <v>2530.44</v>
      </c>
      <c r="J1707" s="171" t="s">
        <v>3951</v>
      </c>
    </row>
    <row r="1708" customFormat="false" ht="15" hidden="true" customHeight="false" outlineLevel="0" collapsed="false">
      <c r="A1708" s="196" t="s">
        <v>295</v>
      </c>
      <c r="B1708" s="149" t="s">
        <v>572</v>
      </c>
      <c r="C1708" s="148" t="s">
        <v>3952</v>
      </c>
      <c r="D1708" s="202"/>
      <c r="E1708" s="202" t="n">
        <v>112</v>
      </c>
      <c r="F1708" s="202" t="s">
        <v>3220</v>
      </c>
      <c r="G1708" s="203"/>
      <c r="H1708" s="105" t="n">
        <f aca="false">'[2]$ зима'!j1708-'[2]$ зима'!au1708-'[2]$ зима'!at1708-'[2]$ зима'!as1708-'[2]$ зима'!ar1708-'[2]$ зима'!aq1708-'[2]$ зима'!ap1708-'[2]$ зима'!an1708-'[2]$ зима'!am1708-'[2]$ зима'!al1708-'[2]$ зима'!ak1708-'[2]$ зима'!aj1708-'[2]$ зима'!ah1708-'[2]$ зима'!ag1708-'[2]$ зима'!af1708-'[2]$ зима'!ae1708-'[2]$ зима'!ad1708-'[2]$ зима'!ab1708-'[2]$ зима'!aa1708-'[2]$ зима'!z1708-'[2]$ зима'!y1708-'[2]$ зима'!x1708-'[2]$ зима'!v1708-'[2]$ зима'!u1708-'[2]$ зима'!t1708-'[2]$ зима'!s1708-'[2]$ зима'!r1708-'[2]$ зима'!p1708-'[2]$ зима'!o1708-'[2]$ зима'!n1708-'[2]$ зима'!m1708-'[2]$ зима'!l1708+'[2]$ зима'!q1708+'[2]$ зима'!w1708+'[2]$ зима'!ac1708+'[2]$ зима'!ai1708+'[2]$ зима'!ao1708+'[2]$ зима'!k1708</f>
        <v>0</v>
      </c>
      <c r="I1708" s="191" t="n">
        <f aca="false">'[2]$ зима'!ay1708*1.1</f>
        <v>1874.4</v>
      </c>
    </row>
    <row r="1709" customFormat="false" ht="15" hidden="true" customHeight="false" outlineLevel="0" collapsed="false">
      <c r="A1709" s="196" t="s">
        <v>295</v>
      </c>
      <c r="B1709" s="149" t="s">
        <v>668</v>
      </c>
      <c r="C1709" s="148" t="s">
        <v>3927</v>
      </c>
      <c r="D1709" s="202"/>
      <c r="E1709" s="202"/>
      <c r="F1709" s="202"/>
      <c r="G1709" s="203"/>
      <c r="H1709" s="105" t="n">
        <f aca="false">'[2]$ зима'!j1709-'[2]$ зима'!au1709-'[2]$ зима'!at1709-'[2]$ зима'!as1709-'[2]$ зима'!ar1709-'[2]$ зима'!aq1709-'[2]$ зима'!ap1709-'[2]$ зима'!an1709-'[2]$ зима'!am1709-'[2]$ зима'!al1709-'[2]$ зима'!ak1709-'[2]$ зима'!aj1709-'[2]$ зима'!ah1709-'[2]$ зима'!ag1709-'[2]$ зима'!af1709-'[2]$ зима'!ae1709-'[2]$ зима'!ad1709-'[2]$ зима'!ab1709-'[2]$ зима'!aa1709-'[2]$ зима'!z1709-'[2]$ зима'!y1709-'[2]$ зима'!x1709-'[2]$ зима'!v1709-'[2]$ зима'!u1709-'[2]$ зима'!t1709-'[2]$ зима'!s1709-'[2]$ зима'!r1709-'[2]$ зима'!p1709-'[2]$ зима'!o1709-'[2]$ зима'!n1709-'[2]$ зима'!m1709-'[2]$ зима'!l1709+'[2]$ зима'!q1709+'[2]$ зима'!w1709+'[2]$ зима'!ac1709+'[2]$ зима'!ai1709+'[2]$ зима'!ao1709+'[2]$ зима'!k1709</f>
        <v>0</v>
      </c>
      <c r="I1709" s="191" t="n">
        <f aca="false">'[2]$ зима'!ay1709*1.1</f>
        <v>1874.4</v>
      </c>
    </row>
    <row r="1710" customFormat="false" ht="15" hidden="false" customHeight="false" outlineLevel="0" collapsed="false">
      <c r="A1710" s="196" t="s">
        <v>295</v>
      </c>
      <c r="B1710" s="149" t="s">
        <v>574</v>
      </c>
      <c r="C1710" s="148" t="s">
        <v>3894</v>
      </c>
      <c r="D1710" s="148"/>
      <c r="E1710" s="192"/>
      <c r="F1710" s="192"/>
      <c r="G1710" s="193" t="s">
        <v>576</v>
      </c>
      <c r="H1710" s="105" t="n">
        <f aca="false">'[2]$ зима'!j1710-'[2]$ зима'!au1710-'[2]$ зима'!at1710-'[2]$ зима'!as1710-'[2]$ зима'!ar1710-'[2]$ зима'!aq1710-'[2]$ зима'!ap1710-'[2]$ зима'!an1710-'[2]$ зима'!am1710-'[2]$ зима'!al1710-'[2]$ зима'!ak1710-'[2]$ зима'!aj1710-'[2]$ зима'!ah1710-'[2]$ зима'!ag1710-'[2]$ зима'!af1710-'[2]$ зима'!ae1710-'[2]$ зима'!ad1710-'[2]$ зима'!ab1710-'[2]$ зима'!aa1710-'[2]$ зима'!z1710-'[2]$ зима'!y1710-'[2]$ зима'!x1710-'[2]$ зима'!v1710-'[2]$ зима'!u1710-'[2]$ зима'!t1710-'[2]$ зима'!s1710-'[2]$ зима'!r1710-'[2]$ зима'!p1710-'[2]$ зима'!o1710-'[2]$ зима'!n1710-'[2]$ зима'!m1710-'[2]$ зима'!l1710+'[2]$ зима'!q1710+'[2]$ зима'!w1710+'[2]$ зима'!ac1710+'[2]$ зима'!ai1710+'[2]$ зима'!ao1710+'[2]$ зима'!k1710</f>
        <v>48</v>
      </c>
      <c r="I1710" s="191" t="n">
        <f aca="false">'[2]$ зима'!ay1710*1.1</f>
        <v>2249.28</v>
      </c>
    </row>
    <row r="1711" customFormat="false" ht="15" hidden="false" customHeight="false" outlineLevel="0" collapsed="false">
      <c r="A1711" s="196" t="s">
        <v>295</v>
      </c>
      <c r="B1711" s="149" t="s">
        <v>574</v>
      </c>
      <c r="C1711" s="148" t="s">
        <v>3910</v>
      </c>
      <c r="D1711" s="148"/>
      <c r="E1711" s="192" t="s">
        <v>3953</v>
      </c>
      <c r="F1711" s="192"/>
      <c r="G1711" s="193" t="s">
        <v>576</v>
      </c>
      <c r="H1711" s="105" t="n">
        <f aca="false">'[2]$ зима'!j1711-'[2]$ зима'!au1711-'[2]$ зима'!at1711-'[2]$ зима'!as1711-'[2]$ зима'!ar1711-'[2]$ зима'!aq1711-'[2]$ зима'!ap1711-'[2]$ зима'!an1711-'[2]$ зима'!am1711-'[2]$ зима'!al1711-'[2]$ зима'!ak1711-'[2]$ зима'!aj1711-'[2]$ зима'!ah1711-'[2]$ зима'!ag1711-'[2]$ зима'!af1711-'[2]$ зима'!ae1711-'[2]$ зима'!ad1711-'[2]$ зима'!ab1711-'[2]$ зима'!aa1711-'[2]$ зима'!z1711-'[2]$ зима'!y1711-'[2]$ зима'!x1711-'[2]$ зима'!v1711-'[2]$ зима'!u1711-'[2]$ зима'!t1711-'[2]$ зима'!s1711-'[2]$ зима'!r1711-'[2]$ зима'!p1711-'[2]$ зима'!o1711-'[2]$ зима'!n1711-'[2]$ зима'!m1711-'[2]$ зима'!l1711+'[2]$ зима'!q1711+'[2]$ зима'!w1711+'[2]$ зима'!ac1711+'[2]$ зима'!ai1711+'[2]$ зима'!ao1711+'[2]$ зима'!k1711</f>
        <v>28</v>
      </c>
      <c r="I1711" s="191" t="n">
        <f aca="false">'[2]$ зима'!ay1711*1.1</f>
        <v>2311.76</v>
      </c>
      <c r="J1711" s="171" t="n">
        <v>2017</v>
      </c>
    </row>
    <row r="1712" customFormat="false" ht="15" hidden="false" customHeight="false" outlineLevel="0" collapsed="false">
      <c r="A1712" s="196" t="s">
        <v>295</v>
      </c>
      <c r="B1712" s="149" t="s">
        <v>577</v>
      </c>
      <c r="C1712" s="148"/>
      <c r="D1712" s="148"/>
      <c r="E1712" s="192"/>
      <c r="F1712" s="192"/>
      <c r="G1712" s="193" t="s">
        <v>563</v>
      </c>
      <c r="H1712" s="105" t="n">
        <f aca="false">'[2]$ зима'!j1712-'[2]$ зима'!au1712-'[2]$ зима'!at1712-'[2]$ зима'!as1712-'[2]$ зима'!ar1712-'[2]$ зима'!aq1712-'[2]$ зима'!ap1712-'[2]$ зима'!an1712-'[2]$ зима'!am1712-'[2]$ зима'!al1712-'[2]$ зима'!ak1712-'[2]$ зима'!aj1712-'[2]$ зима'!ah1712-'[2]$ зима'!ag1712-'[2]$ зима'!af1712-'[2]$ зима'!ae1712-'[2]$ зима'!ad1712-'[2]$ зима'!ab1712-'[2]$ зима'!aa1712-'[2]$ зима'!z1712-'[2]$ зима'!y1712-'[2]$ зима'!x1712-'[2]$ зима'!v1712-'[2]$ зима'!u1712-'[2]$ зима'!t1712-'[2]$ зима'!s1712-'[2]$ зима'!r1712-'[2]$ зима'!p1712-'[2]$ зима'!o1712-'[2]$ зима'!n1712-'[2]$ зима'!m1712-'[2]$ зима'!l1712+'[2]$ зима'!q1712+'[2]$ зима'!w1712+'[2]$ зима'!ac1712+'[2]$ зима'!ai1712+'[2]$ зима'!ao1712+'[2]$ зима'!k1712</f>
        <v>2</v>
      </c>
      <c r="I1712" s="191" t="n">
        <f aca="false">'[2]$ зима'!ay1712*1.1</f>
        <v>2155.56</v>
      </c>
    </row>
    <row r="1713" customFormat="false" ht="15" hidden="true" customHeight="false" outlineLevel="0" collapsed="false">
      <c r="A1713" s="196" t="s">
        <v>295</v>
      </c>
      <c r="B1713" s="149" t="s">
        <v>583</v>
      </c>
      <c r="C1713" s="148" t="s">
        <v>3897</v>
      </c>
      <c r="D1713" s="202"/>
      <c r="E1713" s="202"/>
      <c r="F1713" s="202"/>
      <c r="G1713" s="203"/>
      <c r="H1713" s="105" t="n">
        <f aca="false">'[2]$ зима'!j1713-'[2]$ зима'!au1713-'[2]$ зима'!at1713-'[2]$ зима'!as1713-'[2]$ зима'!ar1713-'[2]$ зима'!aq1713-'[2]$ зима'!ap1713-'[2]$ зима'!an1713-'[2]$ зима'!am1713-'[2]$ зима'!al1713-'[2]$ зима'!ak1713-'[2]$ зима'!aj1713-'[2]$ зима'!ah1713-'[2]$ зима'!ag1713-'[2]$ зима'!af1713-'[2]$ зима'!ae1713-'[2]$ зима'!ad1713-'[2]$ зима'!ab1713-'[2]$ зима'!aa1713-'[2]$ зима'!z1713-'[2]$ зима'!y1713-'[2]$ зима'!x1713-'[2]$ зима'!v1713-'[2]$ зима'!u1713-'[2]$ зима'!t1713-'[2]$ зима'!s1713-'[2]$ зима'!r1713-'[2]$ зима'!p1713-'[2]$ зима'!o1713-'[2]$ зима'!n1713-'[2]$ зима'!m1713-'[2]$ зима'!l1713+'[2]$ зима'!q1713+'[2]$ зима'!w1713+'[2]$ зима'!ac1713+'[2]$ зима'!ai1713+'[2]$ зима'!ao1713+'[2]$ зима'!k1713</f>
        <v>0</v>
      </c>
      <c r="I1713" s="191" t="n">
        <f aca="false">'[2]$ зима'!ay1713*1.1</f>
        <v>2186.8</v>
      </c>
    </row>
    <row r="1714" customFormat="false" ht="15" hidden="false" customHeight="false" outlineLevel="0" collapsed="false">
      <c r="A1714" s="196" t="s">
        <v>295</v>
      </c>
      <c r="B1714" s="149" t="s">
        <v>593</v>
      </c>
      <c r="C1714" s="148" t="s">
        <v>3930</v>
      </c>
      <c r="D1714" s="202"/>
      <c r="E1714" s="211" t="s">
        <v>2546</v>
      </c>
      <c r="F1714" s="211" t="s">
        <v>3220</v>
      </c>
      <c r="G1714" s="203"/>
      <c r="H1714" s="105" t="n">
        <f aca="false">'[2]$ зима'!j1714-'[2]$ зима'!au1714-'[2]$ зима'!at1714-'[2]$ зима'!as1714-'[2]$ зима'!ar1714-'[2]$ зима'!aq1714-'[2]$ зима'!ap1714-'[2]$ зима'!an1714-'[2]$ зима'!am1714-'[2]$ зима'!al1714-'[2]$ зима'!ak1714-'[2]$ зима'!aj1714-'[2]$ зима'!ah1714-'[2]$ зима'!ag1714-'[2]$ зима'!af1714-'[2]$ зима'!ae1714-'[2]$ зима'!ad1714-'[2]$ зима'!ab1714-'[2]$ зима'!aa1714-'[2]$ зима'!z1714-'[2]$ зима'!y1714-'[2]$ зима'!x1714-'[2]$ зима'!v1714-'[2]$ зима'!u1714-'[2]$ зима'!t1714-'[2]$ зима'!s1714-'[2]$ зима'!r1714-'[2]$ зима'!p1714-'[2]$ зима'!o1714-'[2]$ зима'!n1714-'[2]$ зима'!m1714-'[2]$ зима'!l1714+'[2]$ зима'!q1714+'[2]$ зима'!w1714+'[2]$ зима'!ac1714+'[2]$ зима'!ai1714+'[2]$ зима'!ao1714+'[2]$ зима'!k1714</f>
        <v>57</v>
      </c>
      <c r="I1714" s="191" t="n">
        <f aca="false">'[2]$ зима'!ay1714*1.1</f>
        <v>3373.92</v>
      </c>
    </row>
    <row r="1715" customFormat="false" ht="15" hidden="true" customHeight="false" outlineLevel="0" collapsed="false">
      <c r="A1715" s="196" t="s">
        <v>295</v>
      </c>
      <c r="B1715" s="149" t="s">
        <v>586</v>
      </c>
      <c r="C1715" s="148" t="s">
        <v>3931</v>
      </c>
      <c r="D1715" s="202"/>
      <c r="E1715" s="202"/>
      <c r="F1715" s="202"/>
      <c r="G1715" s="203"/>
      <c r="H1715" s="105" t="n">
        <f aca="false">'[2]$ зима'!j1715-'[2]$ зима'!au1715-'[2]$ зима'!at1715-'[2]$ зима'!as1715-'[2]$ зима'!ar1715-'[2]$ зима'!aq1715-'[2]$ зима'!ap1715-'[2]$ зима'!an1715-'[2]$ зима'!am1715-'[2]$ зима'!al1715-'[2]$ зима'!ak1715-'[2]$ зима'!aj1715-'[2]$ зима'!ah1715-'[2]$ зима'!ag1715-'[2]$ зима'!af1715-'[2]$ зима'!ae1715-'[2]$ зима'!ad1715-'[2]$ зима'!ab1715-'[2]$ зима'!aa1715-'[2]$ зима'!z1715-'[2]$ зима'!y1715-'[2]$ зима'!x1715-'[2]$ зима'!v1715-'[2]$ зима'!u1715-'[2]$ зима'!t1715-'[2]$ зима'!s1715-'[2]$ зима'!r1715-'[2]$ зима'!p1715-'[2]$ зима'!o1715-'[2]$ зима'!n1715-'[2]$ зима'!m1715-'[2]$ зима'!l1715+'[2]$ зима'!q1715+'[2]$ зима'!w1715+'[2]$ зима'!ac1715+'[2]$ зима'!ai1715+'[2]$ зима'!ao1715+'[2]$ зима'!k1715</f>
        <v>0</v>
      </c>
      <c r="I1715" s="191" t="n">
        <f aca="false">'[2]$ зима'!ay1715*1.1</f>
        <v>1686.96</v>
      </c>
    </row>
    <row r="1716" customFormat="false" ht="15" hidden="true" customHeight="false" outlineLevel="0" collapsed="false">
      <c r="A1716" s="196" t="s">
        <v>295</v>
      </c>
      <c r="B1716" s="149" t="s">
        <v>3142</v>
      </c>
      <c r="C1716" s="148" t="s">
        <v>3911</v>
      </c>
      <c r="D1716" s="202"/>
      <c r="E1716" s="202"/>
      <c r="F1716" s="202"/>
      <c r="G1716" s="203"/>
      <c r="H1716" s="105" t="n">
        <f aca="false">'[2]$ зима'!j1716-'[2]$ зима'!au1716-'[2]$ зима'!at1716-'[2]$ зима'!as1716-'[2]$ зима'!ar1716-'[2]$ зима'!aq1716-'[2]$ зима'!ap1716-'[2]$ зима'!an1716-'[2]$ зима'!am1716-'[2]$ зима'!al1716-'[2]$ зима'!ak1716-'[2]$ зима'!aj1716-'[2]$ зима'!ah1716-'[2]$ зима'!ag1716-'[2]$ зима'!af1716-'[2]$ зима'!ae1716-'[2]$ зима'!ad1716-'[2]$ зима'!ab1716-'[2]$ зима'!aa1716-'[2]$ зима'!z1716-'[2]$ зима'!y1716-'[2]$ зима'!x1716-'[2]$ зима'!v1716-'[2]$ зима'!u1716-'[2]$ зима'!t1716-'[2]$ зима'!s1716-'[2]$ зима'!r1716-'[2]$ зима'!p1716-'[2]$ зима'!o1716-'[2]$ зима'!n1716-'[2]$ зима'!m1716-'[2]$ зима'!l1716+'[2]$ зима'!q1716+'[2]$ зима'!w1716+'[2]$ зима'!ac1716+'[2]$ зима'!ai1716+'[2]$ зима'!ao1716+'[2]$ зима'!k1716</f>
        <v>0</v>
      </c>
      <c r="I1716" s="191" t="n">
        <f aca="false">'[2]$ зима'!ay1716*1.1</f>
        <v>2030.6</v>
      </c>
    </row>
    <row r="1717" customFormat="false" ht="15" hidden="true" customHeight="false" outlineLevel="0" collapsed="false">
      <c r="A1717" s="196" t="s">
        <v>295</v>
      </c>
      <c r="B1717" s="149" t="s">
        <v>1149</v>
      </c>
      <c r="C1717" s="148" t="s">
        <v>3940</v>
      </c>
      <c r="D1717" s="202"/>
      <c r="E1717" s="202"/>
      <c r="F1717" s="202"/>
      <c r="G1717" s="203"/>
      <c r="H1717" s="105" t="n">
        <f aca="false">'[2]$ зима'!j1717-'[2]$ зима'!au1717-'[2]$ зима'!at1717-'[2]$ зима'!as1717-'[2]$ зима'!ar1717-'[2]$ зима'!aq1717-'[2]$ зима'!ap1717-'[2]$ зима'!an1717-'[2]$ зима'!am1717-'[2]$ зима'!al1717-'[2]$ зима'!ak1717-'[2]$ зима'!aj1717-'[2]$ зима'!ah1717-'[2]$ зима'!ag1717-'[2]$ зима'!af1717-'[2]$ зима'!ae1717-'[2]$ зима'!ad1717-'[2]$ зима'!ab1717-'[2]$ зима'!aa1717-'[2]$ зима'!z1717-'[2]$ зима'!y1717-'[2]$ зима'!x1717-'[2]$ зима'!v1717-'[2]$ зима'!u1717-'[2]$ зима'!t1717-'[2]$ зима'!s1717-'[2]$ зима'!r1717-'[2]$ зима'!p1717-'[2]$ зима'!o1717-'[2]$ зима'!n1717-'[2]$ зима'!m1717-'[2]$ зима'!l1717+'[2]$ зима'!q1717+'[2]$ зима'!w1717+'[2]$ зима'!ac1717+'[2]$ зима'!ai1717+'[2]$ зима'!ao1717+'[2]$ зима'!k1717</f>
        <v>0</v>
      </c>
      <c r="I1717" s="191" t="n">
        <f aca="false">'[2]$ зима'!ay1717*1.1</f>
        <v>2561.68</v>
      </c>
    </row>
    <row r="1718" customFormat="false" ht="15" hidden="true" customHeight="false" outlineLevel="0" collapsed="false">
      <c r="A1718" s="196" t="s">
        <v>295</v>
      </c>
      <c r="B1718" s="149" t="s">
        <v>762</v>
      </c>
      <c r="C1718" s="148" t="s">
        <v>3954</v>
      </c>
      <c r="D1718" s="202"/>
      <c r="E1718" s="202" t="s">
        <v>2546</v>
      </c>
      <c r="F1718" s="202"/>
      <c r="G1718" s="203"/>
      <c r="H1718" s="105" t="n">
        <f aca="false">'[2]$ зима'!j1718-'[2]$ зима'!au1718-'[2]$ зима'!at1718-'[2]$ зима'!as1718-'[2]$ зима'!ar1718-'[2]$ зима'!aq1718-'[2]$ зима'!ap1718-'[2]$ зима'!an1718-'[2]$ зима'!am1718-'[2]$ зима'!al1718-'[2]$ зима'!ak1718-'[2]$ зима'!aj1718-'[2]$ зима'!ah1718-'[2]$ зима'!ag1718-'[2]$ зима'!af1718-'[2]$ зима'!ae1718-'[2]$ зима'!ad1718-'[2]$ зима'!ab1718-'[2]$ зима'!aa1718-'[2]$ зима'!z1718-'[2]$ зима'!y1718-'[2]$ зима'!x1718-'[2]$ зима'!v1718-'[2]$ зима'!u1718-'[2]$ зима'!t1718-'[2]$ зима'!s1718-'[2]$ зима'!r1718-'[2]$ зима'!p1718-'[2]$ зима'!o1718-'[2]$ зима'!n1718-'[2]$ зима'!m1718-'[2]$ зима'!l1718+'[2]$ зима'!q1718+'[2]$ зима'!w1718+'[2]$ зима'!ac1718+'[2]$ зима'!ai1718+'[2]$ зима'!ao1718+'[2]$ зима'!k1718</f>
        <v>0</v>
      </c>
      <c r="I1718" s="191" t="n">
        <f aca="false">'[2]$ зима'!ay1718*1.1</f>
        <v>1905.64</v>
      </c>
    </row>
    <row r="1719" customFormat="false" ht="15" hidden="true" customHeight="false" outlineLevel="0" collapsed="false">
      <c r="A1719" s="196" t="s">
        <v>295</v>
      </c>
      <c r="B1719" s="149" t="s">
        <v>617</v>
      </c>
      <c r="C1719" s="148" t="s">
        <v>3955</v>
      </c>
      <c r="D1719" s="202" t="s">
        <v>3147</v>
      </c>
      <c r="E1719" s="202"/>
      <c r="F1719" s="202"/>
      <c r="G1719" s="203"/>
      <c r="H1719" s="105" t="n">
        <f aca="false">'[2]$ зима'!j1719-'[2]$ зима'!au1719-'[2]$ зима'!at1719-'[2]$ зима'!as1719-'[2]$ зима'!ar1719-'[2]$ зима'!aq1719-'[2]$ зима'!ap1719-'[2]$ зима'!an1719-'[2]$ зима'!am1719-'[2]$ зима'!al1719-'[2]$ зима'!ak1719-'[2]$ зима'!aj1719-'[2]$ зима'!ah1719-'[2]$ зима'!ag1719-'[2]$ зима'!af1719-'[2]$ зима'!ae1719-'[2]$ зима'!ad1719-'[2]$ зима'!ab1719-'[2]$ зима'!aa1719-'[2]$ зима'!z1719-'[2]$ зима'!y1719-'[2]$ зима'!x1719-'[2]$ зима'!v1719-'[2]$ зима'!u1719-'[2]$ зима'!t1719-'[2]$ зима'!s1719-'[2]$ зима'!r1719-'[2]$ зима'!p1719-'[2]$ зима'!o1719-'[2]$ зима'!n1719-'[2]$ зима'!m1719-'[2]$ зима'!l1719+'[2]$ зима'!q1719+'[2]$ зима'!w1719+'[2]$ зима'!ac1719+'[2]$ зима'!ai1719+'[2]$ зима'!ao1719+'[2]$ зима'!k1719</f>
        <v>0</v>
      </c>
      <c r="I1719" s="191" t="n">
        <f aca="false">'[2]$ зима'!ay1719*1.1</f>
        <v>2030.6</v>
      </c>
    </row>
    <row r="1720" customFormat="false" ht="15" hidden="false" customHeight="false" outlineLevel="0" collapsed="false">
      <c r="A1720" s="196" t="s">
        <v>295</v>
      </c>
      <c r="B1720" s="149" t="s">
        <v>677</v>
      </c>
      <c r="C1720" s="148" t="s">
        <v>3256</v>
      </c>
      <c r="D1720" s="148" t="s">
        <v>3127</v>
      </c>
      <c r="E1720" s="211"/>
      <c r="F1720" s="211"/>
      <c r="G1720" s="203"/>
      <c r="H1720" s="105" t="n">
        <f aca="false">'[2]$ зима'!j1720-'[2]$ зима'!au1720-'[2]$ зима'!at1720-'[2]$ зима'!as1720-'[2]$ зима'!ar1720-'[2]$ зима'!aq1720-'[2]$ зима'!ap1720-'[2]$ зима'!an1720-'[2]$ зима'!am1720-'[2]$ зима'!al1720-'[2]$ зима'!ak1720-'[2]$ зима'!aj1720-'[2]$ зима'!ah1720-'[2]$ зима'!ag1720-'[2]$ зима'!af1720-'[2]$ зима'!ae1720-'[2]$ зима'!ad1720-'[2]$ зима'!ab1720-'[2]$ зима'!aa1720-'[2]$ зима'!z1720-'[2]$ зима'!y1720-'[2]$ зима'!x1720-'[2]$ зима'!v1720-'[2]$ зима'!u1720-'[2]$ зима'!t1720-'[2]$ зима'!s1720-'[2]$ зима'!r1720-'[2]$ зима'!p1720-'[2]$ зима'!o1720-'[2]$ зима'!n1720-'[2]$ зима'!m1720-'[2]$ зима'!l1720+'[2]$ зима'!q1720+'[2]$ зима'!w1720+'[2]$ зима'!ac1720+'[2]$ зима'!ai1720+'[2]$ зима'!ao1720+'[2]$ зима'!k1720</f>
        <v>1</v>
      </c>
      <c r="I1720" s="191" t="n">
        <f aca="false">'[2]$ зима'!ay1720*1.1</f>
        <v>1780.68</v>
      </c>
      <c r="J1720" s="171" t="n">
        <v>2016</v>
      </c>
    </row>
    <row r="1721" customFormat="false" ht="15" hidden="true" customHeight="false" outlineLevel="0" collapsed="false">
      <c r="A1721" s="196" t="s">
        <v>295</v>
      </c>
      <c r="B1721" s="149" t="s">
        <v>652</v>
      </c>
      <c r="C1721" s="148" t="s">
        <v>3956</v>
      </c>
      <c r="D1721" s="202"/>
      <c r="E1721" s="202"/>
      <c r="F1721" s="202"/>
      <c r="G1721" s="203" t="s">
        <v>1240</v>
      </c>
      <c r="H1721" s="105" t="n">
        <f aca="false">'[2]$ зима'!j1721-'[2]$ зима'!au1721-'[2]$ зима'!at1721-'[2]$ зима'!as1721-'[2]$ зима'!ar1721-'[2]$ зима'!aq1721-'[2]$ зима'!ap1721-'[2]$ зима'!an1721-'[2]$ зима'!am1721-'[2]$ зима'!al1721-'[2]$ зима'!ak1721-'[2]$ зима'!aj1721-'[2]$ зима'!ah1721-'[2]$ зима'!ag1721-'[2]$ зима'!af1721-'[2]$ зима'!ae1721-'[2]$ зима'!ad1721-'[2]$ зима'!ab1721-'[2]$ зима'!aa1721-'[2]$ зима'!z1721-'[2]$ зима'!y1721-'[2]$ зима'!x1721-'[2]$ зима'!v1721-'[2]$ зима'!u1721-'[2]$ зима'!t1721-'[2]$ зима'!s1721-'[2]$ зима'!r1721-'[2]$ зима'!p1721-'[2]$ зима'!o1721-'[2]$ зима'!n1721-'[2]$ зима'!m1721-'[2]$ зима'!l1721+'[2]$ зима'!q1721+'[2]$ зима'!w1721+'[2]$ зима'!ac1721+'[2]$ зима'!ai1721+'[2]$ зима'!ao1721+'[2]$ зима'!k1721</f>
        <v>0</v>
      </c>
      <c r="I1721" s="191" t="n">
        <f aca="false">'[2]$ зима'!ay1721*1.1</f>
        <v>2186.8</v>
      </c>
    </row>
    <row r="1722" customFormat="false" ht="15" hidden="true" customHeight="false" outlineLevel="0" collapsed="false">
      <c r="A1722" s="196" t="s">
        <v>295</v>
      </c>
      <c r="B1722" s="149" t="s">
        <v>833</v>
      </c>
      <c r="C1722" s="148" t="s">
        <v>3957</v>
      </c>
      <c r="D1722" s="202"/>
      <c r="E1722" s="202"/>
      <c r="F1722" s="202"/>
      <c r="G1722" s="203"/>
      <c r="H1722" s="105" t="n">
        <f aca="false">'[2]$ зима'!j1722-'[2]$ зима'!au1722-'[2]$ зима'!at1722-'[2]$ зима'!as1722-'[2]$ зима'!ar1722-'[2]$ зима'!aq1722-'[2]$ зима'!ap1722-'[2]$ зима'!an1722-'[2]$ зима'!am1722-'[2]$ зима'!al1722-'[2]$ зима'!ak1722-'[2]$ зима'!aj1722-'[2]$ зима'!ah1722-'[2]$ зима'!ag1722-'[2]$ зима'!af1722-'[2]$ зима'!ae1722-'[2]$ зима'!ad1722-'[2]$ зима'!ab1722-'[2]$ зима'!aa1722-'[2]$ зима'!z1722-'[2]$ зима'!y1722-'[2]$ зима'!x1722-'[2]$ зима'!v1722-'[2]$ зима'!u1722-'[2]$ зима'!t1722-'[2]$ зима'!s1722-'[2]$ зима'!r1722-'[2]$ зима'!p1722-'[2]$ зима'!o1722-'[2]$ зима'!n1722-'[2]$ зима'!m1722-'[2]$ зима'!l1722+'[2]$ зима'!q1722+'[2]$ зима'!w1722+'[2]$ зима'!ac1722+'[2]$ зима'!ai1722+'[2]$ зима'!ao1722+'[2]$ зима'!k1722</f>
        <v>0</v>
      </c>
      <c r="I1722" s="191" t="n">
        <f aca="false">'[2]$ зима'!ay1722*1.1</f>
        <v>1718.2</v>
      </c>
    </row>
    <row r="1723" customFormat="false" ht="15" hidden="false" customHeight="false" outlineLevel="0" collapsed="false">
      <c r="A1723" s="196" t="s">
        <v>295</v>
      </c>
      <c r="B1723" s="149" t="s">
        <v>623</v>
      </c>
      <c r="C1723" s="148" t="s">
        <v>3958</v>
      </c>
      <c r="D1723" s="202"/>
      <c r="E1723" s="211"/>
      <c r="F1723" s="211"/>
      <c r="G1723" s="203"/>
      <c r="H1723" s="105" t="n">
        <f aca="false">'[2]$ зима'!j1723-'[2]$ зима'!au1723-'[2]$ зима'!at1723-'[2]$ зима'!as1723-'[2]$ зима'!ar1723-'[2]$ зима'!aq1723-'[2]$ зима'!ap1723-'[2]$ зима'!an1723-'[2]$ зима'!am1723-'[2]$ зима'!al1723-'[2]$ зима'!ak1723-'[2]$ зима'!aj1723-'[2]$ зима'!ah1723-'[2]$ зима'!ag1723-'[2]$ зима'!af1723-'[2]$ зима'!ae1723-'[2]$ зима'!ad1723-'[2]$ зима'!ab1723-'[2]$ зима'!aa1723-'[2]$ зима'!z1723-'[2]$ зима'!y1723-'[2]$ зима'!x1723-'[2]$ зима'!v1723-'[2]$ зима'!u1723-'[2]$ зима'!t1723-'[2]$ зима'!s1723-'[2]$ зима'!r1723-'[2]$ зима'!p1723-'[2]$ зима'!o1723-'[2]$ зима'!n1723-'[2]$ зима'!m1723-'[2]$ зима'!l1723+'[2]$ зима'!q1723+'[2]$ зима'!w1723+'[2]$ зима'!ac1723+'[2]$ зима'!ai1723+'[2]$ зима'!ao1723+'[2]$ зима'!k1723</f>
        <v>6</v>
      </c>
      <c r="I1723" s="191" t="n">
        <f aca="false">'[2]$ зима'!ay1723*1.1</f>
        <v>2155.56</v>
      </c>
    </row>
    <row r="1724" customFormat="false" ht="15" hidden="false" customHeight="false" outlineLevel="0" collapsed="false">
      <c r="A1724" s="196" t="s">
        <v>295</v>
      </c>
      <c r="B1724" s="149" t="s">
        <v>589</v>
      </c>
      <c r="C1724" s="148" t="s">
        <v>3912</v>
      </c>
      <c r="D1724" s="148"/>
      <c r="E1724" s="192"/>
      <c r="F1724" s="192"/>
      <c r="G1724" s="193" t="s">
        <v>626</v>
      </c>
      <c r="H1724" s="105" t="n">
        <f aca="false">'[2]$ зима'!j1724-'[2]$ зима'!au1724-'[2]$ зима'!at1724-'[2]$ зима'!as1724-'[2]$ зима'!ar1724-'[2]$ зима'!aq1724-'[2]$ зима'!ap1724-'[2]$ зима'!an1724-'[2]$ зима'!am1724-'[2]$ зима'!al1724-'[2]$ зима'!ak1724-'[2]$ зима'!aj1724-'[2]$ зима'!ah1724-'[2]$ зима'!ag1724-'[2]$ зима'!af1724-'[2]$ зима'!ae1724-'[2]$ зима'!ad1724-'[2]$ зима'!ab1724-'[2]$ зима'!aa1724-'[2]$ зима'!z1724-'[2]$ зима'!y1724-'[2]$ зима'!x1724-'[2]$ зима'!v1724-'[2]$ зима'!u1724-'[2]$ зима'!t1724-'[2]$ зима'!s1724-'[2]$ зима'!r1724-'[2]$ зима'!p1724-'[2]$ зима'!o1724-'[2]$ зима'!n1724-'[2]$ зима'!m1724-'[2]$ зима'!l1724+'[2]$ зима'!q1724+'[2]$ зима'!w1724+'[2]$ зима'!ac1724+'[2]$ зима'!ai1724+'[2]$ зима'!ao1724+'[2]$ зима'!k1724</f>
        <v>12</v>
      </c>
      <c r="I1724" s="191" t="n">
        <f aca="false">'[2]$ зима'!ay1724*1.1</f>
        <v>2499.2</v>
      </c>
      <c r="J1724" s="171" t="s">
        <v>3959</v>
      </c>
    </row>
    <row r="1725" customFormat="false" ht="15" hidden="true" customHeight="false" outlineLevel="0" collapsed="false">
      <c r="A1725" s="196" t="s">
        <v>295</v>
      </c>
      <c r="B1725" s="149" t="s">
        <v>1176</v>
      </c>
      <c r="C1725" s="148" t="s">
        <v>3960</v>
      </c>
      <c r="D1725" s="202"/>
      <c r="E1725" s="202"/>
      <c r="F1725" s="202"/>
      <c r="G1725" s="203"/>
      <c r="H1725" s="105" t="n">
        <f aca="false">'[2]$ зима'!j1725-'[2]$ зима'!au1725-'[2]$ зима'!at1725-'[2]$ зима'!as1725-'[2]$ зима'!ar1725-'[2]$ зима'!aq1725-'[2]$ зима'!ap1725-'[2]$ зима'!an1725-'[2]$ зима'!am1725-'[2]$ зима'!al1725-'[2]$ зима'!ak1725-'[2]$ зима'!aj1725-'[2]$ зима'!ah1725-'[2]$ зима'!ag1725-'[2]$ зима'!af1725-'[2]$ зима'!ae1725-'[2]$ зима'!ad1725-'[2]$ зима'!ab1725-'[2]$ зима'!aa1725-'[2]$ зима'!z1725-'[2]$ зима'!y1725-'[2]$ зима'!x1725-'[2]$ зима'!v1725-'[2]$ зима'!u1725-'[2]$ зима'!t1725-'[2]$ зима'!s1725-'[2]$ зима'!r1725-'[2]$ зима'!p1725-'[2]$ зима'!o1725-'[2]$ зима'!n1725-'[2]$ зима'!m1725-'[2]$ зима'!l1725+'[2]$ зима'!q1725+'[2]$ зима'!w1725+'[2]$ зима'!ac1725+'[2]$ зима'!ai1725+'[2]$ зима'!ao1725+'[2]$ зима'!k1725</f>
        <v>0</v>
      </c>
      <c r="I1725" s="191" t="n">
        <f aca="false">'[2]$ зима'!ay1725*1.1</f>
        <v>1874.4</v>
      </c>
    </row>
    <row r="1726" customFormat="false" ht="15.75" hidden="false" customHeight="false" outlineLevel="0" collapsed="false">
      <c r="A1726" s="183" t="s">
        <v>302</v>
      </c>
      <c r="B1726" s="207"/>
      <c r="C1726" s="207"/>
      <c r="D1726" s="235"/>
      <c r="E1726" s="236"/>
      <c r="F1726" s="236"/>
      <c r="G1726" s="186"/>
      <c r="H1726" s="105"/>
      <c r="I1726" s="187" t="n">
        <f aca="false">'[2]$ зима'!ay1726*1.1</f>
        <v>0</v>
      </c>
    </row>
    <row r="1727" customFormat="false" ht="15" hidden="true" customHeight="false" outlineLevel="0" collapsed="false">
      <c r="A1727" s="188" t="s">
        <v>308</v>
      </c>
      <c r="B1727" s="149" t="s">
        <v>574</v>
      </c>
      <c r="C1727" s="148" t="s">
        <v>3894</v>
      </c>
      <c r="D1727" s="148"/>
      <c r="E1727" s="148"/>
      <c r="F1727" s="148"/>
      <c r="G1727" s="193" t="s">
        <v>576</v>
      </c>
      <c r="H1727" s="105" t="n">
        <f aca="false">'[2]$ зима'!j1727-'[2]$ зима'!au1727-'[2]$ зима'!at1727-'[2]$ зима'!as1727-'[2]$ зима'!ar1727-'[2]$ зима'!aq1727-'[2]$ зима'!ap1727-'[2]$ зима'!an1727-'[2]$ зима'!am1727-'[2]$ зима'!al1727-'[2]$ зима'!ak1727-'[2]$ зима'!aj1727-'[2]$ зима'!ah1727-'[2]$ зима'!ag1727-'[2]$ зима'!af1727-'[2]$ зима'!ae1727-'[2]$ зима'!ad1727-'[2]$ зима'!ab1727-'[2]$ зима'!aa1727-'[2]$ зима'!z1727-'[2]$ зима'!y1727-'[2]$ зима'!x1727-'[2]$ зима'!v1727-'[2]$ зима'!u1727-'[2]$ зима'!t1727-'[2]$ зима'!s1727-'[2]$ зима'!r1727-'[2]$ зима'!p1727-'[2]$ зима'!o1727-'[2]$ зима'!n1727-'[2]$ зима'!m1727-'[2]$ зима'!l1727+'[2]$ зима'!q1727+'[2]$ зима'!w1727+'[2]$ зима'!ac1727+'[2]$ зима'!ai1727+'[2]$ зима'!ao1727+'[2]$ зима'!k1727</f>
        <v>0</v>
      </c>
      <c r="I1727" s="191" t="n">
        <f aca="false">'[2]$ зима'!ay1727*1.1</f>
        <v>1562</v>
      </c>
    </row>
    <row r="1728" customFormat="false" ht="15" hidden="false" customHeight="false" outlineLevel="0" collapsed="false">
      <c r="A1728" s="188" t="s">
        <v>308</v>
      </c>
      <c r="B1728" s="149" t="s">
        <v>613</v>
      </c>
      <c r="C1728" s="148" t="s">
        <v>3961</v>
      </c>
      <c r="D1728" s="202"/>
      <c r="E1728" s="211" t="s">
        <v>2475</v>
      </c>
      <c r="F1728" s="211" t="s">
        <v>3220</v>
      </c>
      <c r="G1728" s="203"/>
      <c r="H1728" s="105" t="n">
        <f aca="false">'[2]$ зима'!j1728-'[2]$ зима'!au1728-'[2]$ зима'!at1728-'[2]$ зима'!as1728-'[2]$ зима'!ar1728-'[2]$ зима'!aq1728-'[2]$ зима'!ap1728-'[2]$ зима'!an1728-'[2]$ зима'!am1728-'[2]$ зима'!al1728-'[2]$ зима'!ak1728-'[2]$ зима'!aj1728-'[2]$ зима'!ah1728-'[2]$ зима'!ag1728-'[2]$ зима'!af1728-'[2]$ зима'!ae1728-'[2]$ зима'!ad1728-'[2]$ зима'!ab1728-'[2]$ зима'!aa1728-'[2]$ зима'!z1728-'[2]$ зима'!y1728-'[2]$ зима'!x1728-'[2]$ зима'!v1728-'[2]$ зима'!u1728-'[2]$ зима'!t1728-'[2]$ зима'!s1728-'[2]$ зима'!r1728-'[2]$ зима'!p1728-'[2]$ зима'!o1728-'[2]$ зима'!n1728-'[2]$ зима'!m1728-'[2]$ зима'!l1728+'[2]$ зима'!q1728+'[2]$ зима'!w1728+'[2]$ зима'!ac1728+'[2]$ зима'!ai1728+'[2]$ зима'!ao1728+'[2]$ зима'!k1728</f>
        <v>1</v>
      </c>
      <c r="I1728" s="191" t="n">
        <f aca="false">'[2]$ зима'!ay1728*1.1</f>
        <v>1562</v>
      </c>
    </row>
    <row r="1729" customFormat="false" ht="15" hidden="true" customHeight="false" outlineLevel="0" collapsed="false">
      <c r="A1729" s="188" t="s">
        <v>308</v>
      </c>
      <c r="B1729" s="149" t="s">
        <v>593</v>
      </c>
      <c r="C1729" s="148" t="s">
        <v>3962</v>
      </c>
      <c r="D1729" s="202"/>
      <c r="E1729" s="202"/>
      <c r="F1729" s="202"/>
      <c r="G1729" s="203"/>
      <c r="H1729" s="105" t="n">
        <f aca="false">'[2]$ зима'!j1729-'[2]$ зима'!au1729-'[2]$ зима'!at1729-'[2]$ зима'!as1729-'[2]$ зима'!ar1729-'[2]$ зима'!aq1729-'[2]$ зима'!ap1729-'[2]$ зима'!an1729-'[2]$ зима'!am1729-'[2]$ зима'!al1729-'[2]$ зима'!ak1729-'[2]$ зима'!aj1729-'[2]$ зима'!ah1729-'[2]$ зима'!ag1729-'[2]$ зима'!af1729-'[2]$ зима'!ae1729-'[2]$ зима'!ad1729-'[2]$ зима'!ab1729-'[2]$ зима'!aa1729-'[2]$ зима'!z1729-'[2]$ зима'!y1729-'[2]$ зима'!x1729-'[2]$ зима'!v1729-'[2]$ зима'!u1729-'[2]$ зима'!t1729-'[2]$ зима'!s1729-'[2]$ зима'!r1729-'[2]$ зима'!p1729-'[2]$ зима'!o1729-'[2]$ зима'!n1729-'[2]$ зима'!m1729-'[2]$ зима'!l1729+'[2]$ зима'!q1729+'[2]$ зима'!w1729+'[2]$ зима'!ac1729+'[2]$ зима'!ai1729+'[2]$ зима'!ao1729+'[2]$ зима'!k1729</f>
        <v>0</v>
      </c>
      <c r="I1729" s="191" t="n">
        <f aca="false">'[2]$ зима'!ay1729*1.1</f>
        <v>1562</v>
      </c>
    </row>
    <row r="1730" customFormat="false" ht="15" hidden="false" customHeight="false" outlineLevel="0" collapsed="false">
      <c r="A1730" s="188" t="s">
        <v>308</v>
      </c>
      <c r="B1730" s="149" t="s">
        <v>564</v>
      </c>
      <c r="C1730" s="148" t="s">
        <v>3963</v>
      </c>
      <c r="D1730" s="202"/>
      <c r="E1730" s="211" t="s">
        <v>2475</v>
      </c>
      <c r="F1730" s="211"/>
      <c r="G1730" s="203" t="s">
        <v>520</v>
      </c>
      <c r="H1730" s="105" t="n">
        <f aca="false">'[2]$ зима'!j1730-'[2]$ зима'!au1730-'[2]$ зима'!at1730-'[2]$ зима'!as1730-'[2]$ зима'!ar1730-'[2]$ зима'!aq1730-'[2]$ зима'!ap1730-'[2]$ зима'!an1730-'[2]$ зима'!am1730-'[2]$ зима'!al1730-'[2]$ зима'!ak1730-'[2]$ зима'!aj1730-'[2]$ зима'!ah1730-'[2]$ зима'!ag1730-'[2]$ зима'!af1730-'[2]$ зима'!ae1730-'[2]$ зима'!ad1730-'[2]$ зима'!ab1730-'[2]$ зима'!aa1730-'[2]$ зима'!z1730-'[2]$ зима'!y1730-'[2]$ зима'!x1730-'[2]$ зима'!v1730-'[2]$ зима'!u1730-'[2]$ зима'!t1730-'[2]$ зима'!s1730-'[2]$ зима'!r1730-'[2]$ зима'!p1730-'[2]$ зима'!o1730-'[2]$ зима'!n1730-'[2]$ зима'!m1730-'[2]$ зима'!l1730+'[2]$ зима'!q1730+'[2]$ зима'!w1730+'[2]$ зима'!ac1730+'[2]$ зима'!ai1730+'[2]$ зима'!ao1730+'[2]$ зима'!k1730</f>
        <v>12</v>
      </c>
      <c r="I1730" s="191" t="n">
        <f aca="false">'[2]$ зима'!ay1730*1.1</f>
        <v>1540</v>
      </c>
      <c r="J1730" s="171" t="n">
        <v>2017</v>
      </c>
    </row>
    <row r="1731" customFormat="false" ht="15" hidden="true" customHeight="false" outlineLevel="0" collapsed="false">
      <c r="A1731" s="210" t="s">
        <v>2576</v>
      </c>
      <c r="B1731" s="198" t="s">
        <v>666</v>
      </c>
      <c r="C1731" s="194" t="s">
        <v>3893</v>
      </c>
      <c r="D1731" s="237"/>
      <c r="E1731" s="237"/>
      <c r="F1731" s="237"/>
      <c r="G1731" s="239"/>
      <c r="H1731" s="105" t="n">
        <f aca="false">'[2]$ зима'!j1731-'[2]$ зима'!au1731-'[2]$ зима'!at1731-'[2]$ зима'!as1731-'[2]$ зима'!ar1731-'[2]$ зима'!aq1731-'[2]$ зима'!ap1731-'[2]$ зима'!an1731-'[2]$ зима'!am1731-'[2]$ зима'!al1731-'[2]$ зима'!ak1731-'[2]$ зима'!aj1731-'[2]$ зима'!ah1731-'[2]$ зима'!ag1731-'[2]$ зима'!af1731-'[2]$ зима'!ae1731-'[2]$ зима'!ad1731-'[2]$ зима'!ab1731-'[2]$ зима'!aa1731-'[2]$ зима'!z1731-'[2]$ зима'!y1731-'[2]$ зима'!x1731-'[2]$ зима'!v1731-'[2]$ зима'!u1731-'[2]$ зима'!t1731-'[2]$ зима'!s1731-'[2]$ зима'!r1731-'[2]$ зима'!p1731-'[2]$ зима'!o1731-'[2]$ зима'!n1731-'[2]$ зима'!m1731-'[2]$ зима'!l1731+'[2]$ зима'!q1731+'[2]$ зима'!w1731+'[2]$ зима'!ac1731+'[2]$ зима'!ai1731+'[2]$ зима'!ao1731+'[2]$ зима'!k1731</f>
        <v>0</v>
      </c>
      <c r="I1731" s="191" t="n">
        <f aca="false">'[2]$ зима'!ay1731*1.1</f>
        <v>1874.4</v>
      </c>
      <c r="J1731" s="201"/>
    </row>
    <row r="1732" customFormat="false" ht="15" hidden="false" customHeight="false" outlineLevel="0" collapsed="false">
      <c r="A1732" s="210" t="s">
        <v>2576</v>
      </c>
      <c r="B1732" s="149" t="s">
        <v>583</v>
      </c>
      <c r="C1732" s="148" t="s">
        <v>3964</v>
      </c>
      <c r="D1732" s="202"/>
      <c r="E1732" s="211"/>
      <c r="F1732" s="211"/>
      <c r="G1732" s="239"/>
      <c r="H1732" s="105" t="n">
        <f aca="false">'[2]$ зима'!j1732-'[2]$ зима'!au1732-'[2]$ зима'!at1732-'[2]$ зима'!as1732-'[2]$ зима'!ar1732-'[2]$ зима'!aq1732-'[2]$ зима'!ap1732-'[2]$ зима'!an1732-'[2]$ зима'!am1732-'[2]$ зима'!al1732-'[2]$ зима'!ak1732-'[2]$ зима'!aj1732-'[2]$ зима'!ah1732-'[2]$ зима'!ag1732-'[2]$ зима'!af1732-'[2]$ зима'!ae1732-'[2]$ зима'!ad1732-'[2]$ зима'!ab1732-'[2]$ зима'!aa1732-'[2]$ зима'!z1732-'[2]$ зима'!y1732-'[2]$ зима'!x1732-'[2]$ зима'!v1732-'[2]$ зима'!u1732-'[2]$ зима'!t1732-'[2]$ зима'!s1732-'[2]$ зима'!r1732-'[2]$ зима'!p1732-'[2]$ зима'!o1732-'[2]$ зима'!n1732-'[2]$ зима'!m1732-'[2]$ зима'!l1732+'[2]$ зима'!q1732+'[2]$ зима'!w1732+'[2]$ зима'!ac1732+'[2]$ зима'!ai1732+'[2]$ зима'!ao1732+'[2]$ зима'!k1732</f>
        <v>2</v>
      </c>
      <c r="I1732" s="191" t="n">
        <f aca="false">'[2]$ зима'!ay1732*1.1</f>
        <v>2030.6</v>
      </c>
      <c r="J1732" s="201"/>
    </row>
    <row r="1733" customFormat="false" ht="15" hidden="false" customHeight="false" outlineLevel="0" collapsed="false">
      <c r="A1733" s="210" t="s">
        <v>2576</v>
      </c>
      <c r="B1733" s="149" t="s">
        <v>3142</v>
      </c>
      <c r="C1733" s="148" t="s">
        <v>3911</v>
      </c>
      <c r="D1733" s="202"/>
      <c r="E1733" s="211"/>
      <c r="F1733" s="211"/>
      <c r="G1733" s="239"/>
      <c r="H1733" s="105" t="n">
        <f aca="false">'[2]$ зима'!j1733-'[2]$ зима'!au1733-'[2]$ зима'!at1733-'[2]$ зима'!as1733-'[2]$ зима'!ar1733-'[2]$ зима'!aq1733-'[2]$ зима'!ap1733-'[2]$ зима'!an1733-'[2]$ зима'!am1733-'[2]$ зима'!al1733-'[2]$ зима'!ak1733-'[2]$ зима'!aj1733-'[2]$ зима'!ah1733-'[2]$ зима'!ag1733-'[2]$ зима'!af1733-'[2]$ зима'!ae1733-'[2]$ зима'!ad1733-'[2]$ зима'!ab1733-'[2]$ зима'!aa1733-'[2]$ зима'!z1733-'[2]$ зима'!y1733-'[2]$ зима'!x1733-'[2]$ зима'!v1733-'[2]$ зима'!u1733-'[2]$ зима'!t1733-'[2]$ зима'!s1733-'[2]$ зима'!r1733-'[2]$ зима'!p1733-'[2]$ зима'!o1733-'[2]$ зима'!n1733-'[2]$ зима'!m1733-'[2]$ зима'!l1733+'[2]$ зима'!q1733+'[2]$ зима'!w1733+'[2]$ зима'!ac1733+'[2]$ зима'!ai1733+'[2]$ зима'!ao1733+'[2]$ зима'!k1733</f>
        <v>4</v>
      </c>
      <c r="I1733" s="191" t="n">
        <f aca="false">'[2]$ зима'!ay1733*1.1</f>
        <v>1936.88</v>
      </c>
      <c r="J1733" s="201"/>
    </row>
    <row r="1734" customFormat="false" ht="15" hidden="false" customHeight="false" outlineLevel="0" collapsed="false">
      <c r="A1734" s="210" t="s">
        <v>2576</v>
      </c>
      <c r="B1734" s="149" t="s">
        <v>833</v>
      </c>
      <c r="C1734" s="149" t="s">
        <v>3965</v>
      </c>
      <c r="D1734" s="213"/>
      <c r="E1734" s="211"/>
      <c r="F1734" s="211"/>
      <c r="G1734" s="239"/>
      <c r="H1734" s="105" t="n">
        <f aca="false">'[2]$ зима'!j1734-'[2]$ зима'!au1734-'[2]$ зима'!at1734-'[2]$ зима'!as1734-'[2]$ зима'!ar1734-'[2]$ зима'!aq1734-'[2]$ зима'!ap1734-'[2]$ зима'!an1734-'[2]$ зима'!am1734-'[2]$ зима'!al1734-'[2]$ зима'!ak1734-'[2]$ зима'!aj1734-'[2]$ зима'!ah1734-'[2]$ зима'!ag1734-'[2]$ зима'!af1734-'[2]$ зима'!ae1734-'[2]$ зима'!ad1734-'[2]$ зима'!ab1734-'[2]$ зима'!aa1734-'[2]$ зима'!z1734-'[2]$ зима'!y1734-'[2]$ зима'!x1734-'[2]$ зима'!v1734-'[2]$ зима'!u1734-'[2]$ зима'!t1734-'[2]$ зима'!s1734-'[2]$ зима'!r1734-'[2]$ зима'!p1734-'[2]$ зима'!o1734-'[2]$ зима'!n1734-'[2]$ зима'!m1734-'[2]$ зима'!l1734+'[2]$ зима'!q1734+'[2]$ зима'!w1734+'[2]$ зима'!ac1734+'[2]$ зима'!ai1734+'[2]$ зима'!ao1734+'[2]$ зима'!k1734</f>
        <v>4</v>
      </c>
      <c r="I1734" s="191" t="n">
        <f aca="false">'[2]$ зима'!ay1734*1.1</f>
        <v>1936.88</v>
      </c>
      <c r="J1734" s="201"/>
    </row>
    <row r="1735" customFormat="false" ht="15" hidden="false" customHeight="false" outlineLevel="0" collapsed="false">
      <c r="A1735" s="196" t="s">
        <v>321</v>
      </c>
      <c r="B1735" s="198" t="s">
        <v>568</v>
      </c>
      <c r="C1735" s="194" t="s">
        <v>3904</v>
      </c>
      <c r="D1735" s="237"/>
      <c r="E1735" s="238"/>
      <c r="F1735" s="238"/>
      <c r="G1735" s="239" t="s">
        <v>631</v>
      </c>
      <c r="H1735" s="105" t="n">
        <f aca="false">'[2]$ зима'!j1735-'[2]$ зима'!au1735-'[2]$ зима'!at1735-'[2]$ зима'!as1735-'[2]$ зима'!ar1735-'[2]$ зима'!aq1735-'[2]$ зима'!ap1735-'[2]$ зима'!an1735-'[2]$ зима'!am1735-'[2]$ зима'!al1735-'[2]$ зима'!ak1735-'[2]$ зима'!aj1735-'[2]$ зима'!ah1735-'[2]$ зима'!ag1735-'[2]$ зима'!af1735-'[2]$ зима'!ae1735-'[2]$ зима'!ad1735-'[2]$ зима'!ab1735-'[2]$ зима'!aa1735-'[2]$ зима'!z1735-'[2]$ зима'!y1735-'[2]$ зима'!x1735-'[2]$ зима'!v1735-'[2]$ зима'!u1735-'[2]$ зима'!t1735-'[2]$ зима'!s1735-'[2]$ зима'!r1735-'[2]$ зима'!p1735-'[2]$ зима'!o1735-'[2]$ зима'!n1735-'[2]$ зима'!m1735-'[2]$ зима'!l1735+'[2]$ зима'!q1735+'[2]$ зима'!w1735+'[2]$ зима'!ac1735+'[2]$ зима'!ai1735+'[2]$ зима'!ao1735+'[2]$ зима'!k1735</f>
        <v>4</v>
      </c>
      <c r="I1735" s="191" t="n">
        <f aca="false">'[2]$ зима'!ay1735*1.1</f>
        <v>1562</v>
      </c>
      <c r="J1735" s="201" t="n">
        <v>2012</v>
      </c>
    </row>
    <row r="1736" customFormat="false" ht="15" hidden="true" customHeight="false" outlineLevel="0" collapsed="false">
      <c r="A1736" s="196" t="s">
        <v>321</v>
      </c>
      <c r="B1736" s="198" t="s">
        <v>568</v>
      </c>
      <c r="C1736" s="194" t="s">
        <v>3966</v>
      </c>
      <c r="D1736" s="237"/>
      <c r="E1736" s="238"/>
      <c r="F1736" s="238"/>
      <c r="G1736" s="239" t="s">
        <v>631</v>
      </c>
      <c r="H1736" s="105" t="n">
        <f aca="false">'[2]$ зима'!j1736-'[2]$ зима'!au1736-'[2]$ зима'!at1736-'[2]$ зима'!as1736-'[2]$ зима'!ar1736-'[2]$ зима'!aq1736-'[2]$ зима'!ap1736-'[2]$ зима'!an1736-'[2]$ зима'!am1736-'[2]$ зима'!al1736-'[2]$ зима'!ak1736-'[2]$ зима'!aj1736-'[2]$ зима'!ah1736-'[2]$ зима'!ag1736-'[2]$ зима'!af1736-'[2]$ зима'!ae1736-'[2]$ зима'!ad1736-'[2]$ зима'!ab1736-'[2]$ зима'!aa1736-'[2]$ зима'!z1736-'[2]$ зима'!y1736-'[2]$ зима'!x1736-'[2]$ зима'!v1736-'[2]$ зима'!u1736-'[2]$ зима'!t1736-'[2]$ зима'!s1736-'[2]$ зима'!r1736-'[2]$ зима'!p1736-'[2]$ зима'!o1736-'[2]$ зима'!n1736-'[2]$ зима'!m1736-'[2]$ зима'!l1736+'[2]$ зима'!q1736+'[2]$ зима'!w1736+'[2]$ зима'!ac1736+'[2]$ зима'!ai1736+'[2]$ зима'!ao1736+'[2]$ зима'!k1736</f>
        <v>0</v>
      </c>
      <c r="I1736" s="191" t="n">
        <f aca="false">'[2]$ зима'!ay1736*1.1</f>
        <v>1843.16</v>
      </c>
      <c r="J1736" s="201" t="n">
        <v>2016</v>
      </c>
    </row>
    <row r="1737" customFormat="false" ht="15" hidden="false" customHeight="false" outlineLevel="0" collapsed="false">
      <c r="A1737" s="196" t="s">
        <v>321</v>
      </c>
      <c r="B1737" s="198" t="s">
        <v>741</v>
      </c>
      <c r="C1737" s="148" t="s">
        <v>3890</v>
      </c>
      <c r="D1737" s="237"/>
      <c r="E1737" s="238"/>
      <c r="F1737" s="238"/>
      <c r="G1737" s="203"/>
      <c r="H1737" s="105" t="n">
        <f aca="false">'[2]$ зима'!j1737-'[2]$ зима'!au1737-'[2]$ зима'!at1737-'[2]$ зима'!as1737-'[2]$ зима'!ar1737-'[2]$ зима'!aq1737-'[2]$ зима'!ap1737-'[2]$ зима'!an1737-'[2]$ зима'!am1737-'[2]$ зима'!al1737-'[2]$ зима'!ak1737-'[2]$ зима'!aj1737-'[2]$ зима'!ah1737-'[2]$ зима'!ag1737-'[2]$ зима'!af1737-'[2]$ зима'!ae1737-'[2]$ зима'!ad1737-'[2]$ зима'!ab1737-'[2]$ зима'!aa1737-'[2]$ зима'!z1737-'[2]$ зима'!y1737-'[2]$ зима'!x1737-'[2]$ зима'!v1737-'[2]$ зима'!u1737-'[2]$ зима'!t1737-'[2]$ зима'!s1737-'[2]$ зима'!r1737-'[2]$ зима'!p1737-'[2]$ зима'!o1737-'[2]$ зима'!n1737-'[2]$ зима'!m1737-'[2]$ зима'!l1737+'[2]$ зима'!q1737+'[2]$ зима'!w1737+'[2]$ зима'!ac1737+'[2]$ зима'!ai1737+'[2]$ зима'!ao1737+'[2]$ зима'!k1737</f>
        <v>10</v>
      </c>
      <c r="I1737" s="191" t="n">
        <f aca="false">'[2]$ зима'!ay1737*1.1</f>
        <v>2030.6</v>
      </c>
    </row>
    <row r="1738" customFormat="false" ht="15" hidden="false" customHeight="false" outlineLevel="0" collapsed="false">
      <c r="A1738" s="196" t="s">
        <v>321</v>
      </c>
      <c r="B1738" s="198" t="s">
        <v>604</v>
      </c>
      <c r="C1738" s="194" t="s">
        <v>3967</v>
      </c>
      <c r="D1738" s="237" t="s">
        <v>582</v>
      </c>
      <c r="E1738" s="238"/>
      <c r="F1738" s="238"/>
      <c r="G1738" s="239" t="s">
        <v>933</v>
      </c>
      <c r="H1738" s="105" t="n">
        <f aca="false">'[2]$ зима'!j1738-'[2]$ зима'!au1738-'[2]$ зима'!at1738-'[2]$ зима'!as1738-'[2]$ зима'!ar1738-'[2]$ зима'!aq1738-'[2]$ зима'!ap1738-'[2]$ зима'!an1738-'[2]$ зима'!am1738-'[2]$ зима'!al1738-'[2]$ зима'!ak1738-'[2]$ зима'!aj1738-'[2]$ зима'!ah1738-'[2]$ зима'!ag1738-'[2]$ зима'!af1738-'[2]$ зима'!ae1738-'[2]$ зима'!ad1738-'[2]$ зима'!ab1738-'[2]$ зима'!aa1738-'[2]$ зима'!z1738-'[2]$ зима'!y1738-'[2]$ зима'!x1738-'[2]$ зима'!v1738-'[2]$ зима'!u1738-'[2]$ зима'!t1738-'[2]$ зима'!s1738-'[2]$ зима'!r1738-'[2]$ зима'!p1738-'[2]$ зима'!o1738-'[2]$ зима'!n1738-'[2]$ зима'!m1738-'[2]$ зима'!l1738+'[2]$ зима'!q1738+'[2]$ зима'!w1738+'[2]$ зима'!ac1738+'[2]$ зима'!ai1738+'[2]$ зима'!ao1738+'[2]$ зима'!k1738</f>
        <v>4</v>
      </c>
      <c r="I1738" s="191" t="n">
        <f aca="false">'[2]$ зима'!ay1738*1.1</f>
        <v>2186.8</v>
      </c>
      <c r="J1738" s="201" t="n">
        <v>2014</v>
      </c>
    </row>
    <row r="1739" customFormat="false" ht="15" hidden="false" customHeight="false" outlineLevel="0" collapsed="false">
      <c r="A1739" s="196" t="s">
        <v>321</v>
      </c>
      <c r="B1739" s="149" t="s">
        <v>2480</v>
      </c>
      <c r="C1739" s="148" t="s">
        <v>3968</v>
      </c>
      <c r="D1739" s="202" t="s">
        <v>3147</v>
      </c>
      <c r="E1739" s="211"/>
      <c r="F1739" s="211"/>
      <c r="G1739" s="239"/>
      <c r="H1739" s="105" t="n">
        <f aca="false">'[2]$ зима'!j1739-'[2]$ зима'!au1739-'[2]$ зима'!at1739-'[2]$ зима'!as1739-'[2]$ зима'!ar1739-'[2]$ зима'!aq1739-'[2]$ зима'!ap1739-'[2]$ зима'!an1739-'[2]$ зима'!am1739-'[2]$ зима'!al1739-'[2]$ зима'!ak1739-'[2]$ зима'!aj1739-'[2]$ зима'!ah1739-'[2]$ зима'!ag1739-'[2]$ зима'!af1739-'[2]$ зима'!ae1739-'[2]$ зима'!ad1739-'[2]$ зима'!ab1739-'[2]$ зима'!aa1739-'[2]$ зима'!z1739-'[2]$ зима'!y1739-'[2]$ зима'!x1739-'[2]$ зима'!v1739-'[2]$ зима'!u1739-'[2]$ зима'!t1739-'[2]$ зима'!s1739-'[2]$ зима'!r1739-'[2]$ зима'!p1739-'[2]$ зима'!o1739-'[2]$ зима'!n1739-'[2]$ зима'!m1739-'[2]$ зима'!l1739+'[2]$ зима'!q1739+'[2]$ зима'!w1739+'[2]$ зима'!ac1739+'[2]$ зима'!ai1739+'[2]$ зима'!ao1739+'[2]$ зима'!k1739</f>
        <v>2</v>
      </c>
      <c r="I1739" s="191" t="n">
        <f aca="false">'[2]$ зима'!ay1739*1.1</f>
        <v>2343</v>
      </c>
      <c r="J1739" s="201"/>
    </row>
    <row r="1740" customFormat="false" ht="15" hidden="false" customHeight="false" outlineLevel="0" collapsed="false">
      <c r="A1740" s="196" t="s">
        <v>321</v>
      </c>
      <c r="B1740" s="149" t="s">
        <v>2480</v>
      </c>
      <c r="C1740" s="148" t="s">
        <v>3968</v>
      </c>
      <c r="D1740" s="221"/>
      <c r="E1740" s="222"/>
      <c r="F1740" s="222"/>
      <c r="G1740" s="193"/>
      <c r="H1740" s="105" t="n">
        <f aca="false">'[2]$ зима'!j1740-'[2]$ зима'!au1740-'[2]$ зима'!at1740-'[2]$ зима'!as1740-'[2]$ зима'!ar1740-'[2]$ зима'!aq1740-'[2]$ зима'!ap1740-'[2]$ зима'!an1740-'[2]$ зима'!am1740-'[2]$ зима'!al1740-'[2]$ зима'!ak1740-'[2]$ зима'!aj1740-'[2]$ зима'!ah1740-'[2]$ зима'!ag1740-'[2]$ зима'!af1740-'[2]$ зима'!ae1740-'[2]$ зима'!ad1740-'[2]$ зима'!ab1740-'[2]$ зима'!aa1740-'[2]$ зима'!z1740-'[2]$ зима'!y1740-'[2]$ зима'!x1740-'[2]$ зима'!v1740-'[2]$ зима'!u1740-'[2]$ зима'!t1740-'[2]$ зима'!s1740-'[2]$ зима'!r1740-'[2]$ зима'!p1740-'[2]$ зима'!o1740-'[2]$ зима'!n1740-'[2]$ зима'!m1740-'[2]$ зима'!l1740+'[2]$ зима'!q1740+'[2]$ зима'!w1740+'[2]$ зима'!ac1740+'[2]$ зима'!ai1740+'[2]$ зима'!ao1740+'[2]$ зима'!k1740</f>
        <v>16</v>
      </c>
      <c r="I1740" s="191" t="n">
        <f aca="false">'[2]$ зима'!ay1740*1.1</f>
        <v>2030.6</v>
      </c>
      <c r="J1740" s="171" t="n">
        <v>2014</v>
      </c>
    </row>
    <row r="1741" customFormat="false" ht="15" hidden="false" customHeight="false" outlineLevel="0" collapsed="false">
      <c r="A1741" s="196" t="s">
        <v>321</v>
      </c>
      <c r="B1741" s="149" t="s">
        <v>666</v>
      </c>
      <c r="C1741" s="148" t="s">
        <v>3926</v>
      </c>
      <c r="D1741" s="202"/>
      <c r="E1741" s="211" t="n">
        <v>107</v>
      </c>
      <c r="F1741" s="211" t="s">
        <v>3220</v>
      </c>
      <c r="G1741" s="203" t="s">
        <v>631</v>
      </c>
      <c r="H1741" s="105" t="n">
        <f aca="false">'[2]$ зима'!j1741-'[2]$ зима'!au1741-'[2]$ зима'!at1741-'[2]$ зима'!as1741-'[2]$ зима'!ar1741-'[2]$ зима'!aq1741-'[2]$ зима'!ap1741-'[2]$ зима'!an1741-'[2]$ зима'!am1741-'[2]$ зима'!al1741-'[2]$ зима'!ak1741-'[2]$ зима'!aj1741-'[2]$ зима'!ah1741-'[2]$ зима'!ag1741-'[2]$ зима'!af1741-'[2]$ зима'!ae1741-'[2]$ зима'!ad1741-'[2]$ зима'!ab1741-'[2]$ зима'!aa1741-'[2]$ зима'!z1741-'[2]$ зима'!y1741-'[2]$ зима'!x1741-'[2]$ зима'!v1741-'[2]$ зима'!u1741-'[2]$ зима'!t1741-'[2]$ зима'!s1741-'[2]$ зима'!r1741-'[2]$ зима'!p1741-'[2]$ зима'!o1741-'[2]$ зима'!n1741-'[2]$ зима'!m1741-'[2]$ зима'!l1741+'[2]$ зима'!q1741+'[2]$ зима'!w1741+'[2]$ зима'!ac1741+'[2]$ зима'!ai1741+'[2]$ зима'!ao1741+'[2]$ зима'!k1741</f>
        <v>12</v>
      </c>
      <c r="I1741" s="191" t="n">
        <f aca="false">'[2]$ зима'!ay1741*1.1</f>
        <v>2467.96</v>
      </c>
      <c r="J1741" s="171" t="n">
        <v>2017</v>
      </c>
    </row>
    <row r="1742" customFormat="false" ht="15" hidden="false" customHeight="false" outlineLevel="0" collapsed="false">
      <c r="A1742" s="196" t="s">
        <v>321</v>
      </c>
      <c r="B1742" s="149" t="s">
        <v>668</v>
      </c>
      <c r="C1742" s="148" t="s">
        <v>3927</v>
      </c>
      <c r="D1742" s="202"/>
      <c r="E1742" s="211"/>
      <c r="F1742" s="211"/>
      <c r="G1742" s="203"/>
      <c r="H1742" s="105" t="n">
        <f aca="false">'[2]$ зима'!j1742-'[2]$ зима'!au1742-'[2]$ зима'!at1742-'[2]$ зима'!as1742-'[2]$ зима'!ar1742-'[2]$ зима'!aq1742-'[2]$ зима'!ap1742-'[2]$ зима'!an1742-'[2]$ зима'!am1742-'[2]$ зима'!al1742-'[2]$ зима'!ak1742-'[2]$ зима'!aj1742-'[2]$ зима'!ah1742-'[2]$ зима'!ag1742-'[2]$ зима'!af1742-'[2]$ зима'!ae1742-'[2]$ зима'!ad1742-'[2]$ зима'!ab1742-'[2]$ зима'!aa1742-'[2]$ зима'!z1742-'[2]$ зима'!y1742-'[2]$ зима'!x1742-'[2]$ зима'!v1742-'[2]$ зима'!u1742-'[2]$ зима'!t1742-'[2]$ зима'!s1742-'[2]$ зима'!r1742-'[2]$ зима'!p1742-'[2]$ зима'!o1742-'[2]$ зима'!n1742-'[2]$ зима'!m1742-'[2]$ зима'!l1742+'[2]$ зима'!q1742+'[2]$ зима'!w1742+'[2]$ зима'!ac1742+'[2]$ зима'!ai1742+'[2]$ зима'!ao1742+'[2]$ зима'!k1742</f>
        <v>8</v>
      </c>
      <c r="I1742" s="191" t="n">
        <f aca="false">'[2]$ зима'!ay1742*1.1</f>
        <v>1562</v>
      </c>
      <c r="J1742" s="171" t="n">
        <v>2012</v>
      </c>
    </row>
    <row r="1743" customFormat="false" ht="15" hidden="false" customHeight="false" outlineLevel="0" collapsed="false">
      <c r="A1743" s="196" t="s">
        <v>321</v>
      </c>
      <c r="B1743" s="149" t="s">
        <v>574</v>
      </c>
      <c r="C1743" s="148" t="s">
        <v>3894</v>
      </c>
      <c r="D1743" s="148"/>
      <c r="E1743" s="192"/>
      <c r="F1743" s="192"/>
      <c r="G1743" s="193" t="s">
        <v>576</v>
      </c>
      <c r="H1743" s="105" t="n">
        <f aca="false">'[2]$ зима'!j1743-'[2]$ зима'!au1743-'[2]$ зима'!at1743-'[2]$ зима'!as1743-'[2]$ зима'!ar1743-'[2]$ зима'!aq1743-'[2]$ зима'!ap1743-'[2]$ зима'!an1743-'[2]$ зима'!am1743-'[2]$ зима'!al1743-'[2]$ зима'!ak1743-'[2]$ зима'!aj1743-'[2]$ зима'!ah1743-'[2]$ зима'!ag1743-'[2]$ зима'!af1743-'[2]$ зима'!ae1743-'[2]$ зима'!ad1743-'[2]$ зима'!ab1743-'[2]$ зима'!aa1743-'[2]$ зима'!z1743-'[2]$ зима'!y1743-'[2]$ зима'!x1743-'[2]$ зима'!v1743-'[2]$ зима'!u1743-'[2]$ зима'!t1743-'[2]$ зима'!s1743-'[2]$ зима'!r1743-'[2]$ зима'!p1743-'[2]$ зима'!o1743-'[2]$ зима'!n1743-'[2]$ зима'!m1743-'[2]$ зима'!l1743+'[2]$ зима'!q1743+'[2]$ зима'!w1743+'[2]$ зима'!ac1743+'[2]$ зима'!ai1743+'[2]$ зима'!ao1743+'[2]$ зима'!k1743</f>
        <v>8</v>
      </c>
      <c r="I1743" s="191" t="n">
        <f aca="false">'[2]$ зима'!ay1743*1.1</f>
        <v>2436.72</v>
      </c>
      <c r="J1743" s="171" t="n">
        <v>2018</v>
      </c>
    </row>
    <row r="1744" customFormat="false" ht="15" hidden="false" customHeight="false" outlineLevel="0" collapsed="false">
      <c r="A1744" s="196" t="s">
        <v>321</v>
      </c>
      <c r="B1744" s="149" t="s">
        <v>574</v>
      </c>
      <c r="C1744" s="148" t="s">
        <v>3895</v>
      </c>
      <c r="D1744" s="148"/>
      <c r="E1744" s="192" t="s">
        <v>2609</v>
      </c>
      <c r="F1744" s="192"/>
      <c r="G1744" s="193" t="s">
        <v>576</v>
      </c>
      <c r="H1744" s="105" t="n">
        <f aca="false">'[2]$ зима'!j1744-'[2]$ зима'!au1744-'[2]$ зима'!at1744-'[2]$ зима'!as1744-'[2]$ зима'!ar1744-'[2]$ зима'!aq1744-'[2]$ зима'!ap1744-'[2]$ зима'!an1744-'[2]$ зима'!am1744-'[2]$ зима'!al1744-'[2]$ зима'!ak1744-'[2]$ зима'!aj1744-'[2]$ зима'!ah1744-'[2]$ зима'!ag1744-'[2]$ зима'!af1744-'[2]$ зима'!ae1744-'[2]$ зима'!ad1744-'[2]$ зима'!ab1744-'[2]$ зима'!aa1744-'[2]$ зима'!z1744-'[2]$ зима'!y1744-'[2]$ зима'!x1744-'[2]$ зима'!v1744-'[2]$ зима'!u1744-'[2]$ зима'!t1744-'[2]$ зима'!s1744-'[2]$ зима'!r1744-'[2]$ зима'!p1744-'[2]$ зима'!o1744-'[2]$ зима'!n1744-'[2]$ зима'!m1744-'[2]$ зима'!l1744+'[2]$ зима'!q1744+'[2]$ зима'!w1744+'[2]$ зима'!ac1744+'[2]$ зима'!ai1744+'[2]$ зима'!ao1744+'[2]$ зима'!k1744</f>
        <v>8</v>
      </c>
      <c r="I1744" s="191" t="n">
        <f aca="false">'[2]$ зима'!ay1744*1.1</f>
        <v>2436.72</v>
      </c>
      <c r="J1744" s="171" t="n">
        <v>2018</v>
      </c>
    </row>
    <row r="1745" customFormat="false" ht="15" hidden="false" customHeight="false" outlineLevel="0" collapsed="false">
      <c r="A1745" s="196" t="s">
        <v>321</v>
      </c>
      <c r="B1745" s="149" t="s">
        <v>583</v>
      </c>
      <c r="C1745" s="148" t="s">
        <v>3928</v>
      </c>
      <c r="D1745" s="202"/>
      <c r="E1745" s="211"/>
      <c r="F1745" s="211"/>
      <c r="G1745" s="203" t="s">
        <v>864</v>
      </c>
      <c r="H1745" s="105" t="n">
        <f aca="false">'[2]$ зима'!j1745-'[2]$ зима'!au1745-'[2]$ зима'!at1745-'[2]$ зима'!as1745-'[2]$ зима'!ar1745-'[2]$ зима'!aq1745-'[2]$ зима'!ap1745-'[2]$ зима'!an1745-'[2]$ зима'!am1745-'[2]$ зима'!al1745-'[2]$ зима'!ak1745-'[2]$ зима'!aj1745-'[2]$ зима'!ah1745-'[2]$ зима'!ag1745-'[2]$ зима'!af1745-'[2]$ зима'!ae1745-'[2]$ зима'!ad1745-'[2]$ зима'!ab1745-'[2]$ зима'!aa1745-'[2]$ зима'!z1745-'[2]$ зима'!y1745-'[2]$ зима'!x1745-'[2]$ зима'!v1745-'[2]$ зима'!u1745-'[2]$ зима'!t1745-'[2]$ зима'!s1745-'[2]$ зима'!r1745-'[2]$ зима'!p1745-'[2]$ зима'!o1745-'[2]$ зима'!n1745-'[2]$ зима'!m1745-'[2]$ зима'!l1745+'[2]$ зима'!q1745+'[2]$ зима'!w1745+'[2]$ зима'!ac1745+'[2]$ зима'!ai1745+'[2]$ зима'!ao1745+'[2]$ зима'!k1745</f>
        <v>1</v>
      </c>
      <c r="I1745" s="191" t="n">
        <f aca="false">'[2]$ зима'!ay1745*1.1</f>
        <v>1999.36</v>
      </c>
      <c r="J1745" s="171" t="n">
        <v>2017</v>
      </c>
    </row>
    <row r="1746" customFormat="false" ht="15" hidden="false" customHeight="false" outlineLevel="0" collapsed="false">
      <c r="A1746" s="196" t="s">
        <v>321</v>
      </c>
      <c r="B1746" s="149" t="s">
        <v>583</v>
      </c>
      <c r="C1746" s="148" t="s">
        <v>3897</v>
      </c>
      <c r="D1746" s="202"/>
      <c r="E1746" s="211"/>
      <c r="F1746" s="211"/>
      <c r="G1746" s="203" t="s">
        <v>864</v>
      </c>
      <c r="H1746" s="105" t="n">
        <f aca="false">'[2]$ зима'!j1746-'[2]$ зима'!au1746-'[2]$ зима'!at1746-'[2]$ зима'!as1746-'[2]$ зима'!ar1746-'[2]$ зима'!aq1746-'[2]$ зима'!ap1746-'[2]$ зима'!an1746-'[2]$ зима'!am1746-'[2]$ зима'!al1746-'[2]$ зима'!ak1746-'[2]$ зима'!aj1746-'[2]$ зима'!ah1746-'[2]$ зима'!ag1746-'[2]$ зима'!af1746-'[2]$ зима'!ae1746-'[2]$ зима'!ad1746-'[2]$ зима'!ab1746-'[2]$ зима'!aa1746-'[2]$ зима'!z1746-'[2]$ зима'!y1746-'[2]$ зима'!x1746-'[2]$ зима'!v1746-'[2]$ зима'!u1746-'[2]$ зима'!t1746-'[2]$ зима'!s1746-'[2]$ зима'!r1746-'[2]$ зима'!p1746-'[2]$ зима'!o1746-'[2]$ зима'!n1746-'[2]$ зима'!m1746-'[2]$ зима'!l1746+'[2]$ зима'!q1746+'[2]$ зима'!w1746+'[2]$ зима'!ac1746+'[2]$ зима'!ai1746+'[2]$ зима'!ao1746+'[2]$ зима'!k1746</f>
        <v>14</v>
      </c>
      <c r="I1746" s="191" t="n">
        <f aca="false">'[2]$ зима'!ay1746*1.1</f>
        <v>1999.36</v>
      </c>
      <c r="J1746" s="171" t="s">
        <v>3969</v>
      </c>
    </row>
    <row r="1747" customFormat="false" ht="15" hidden="true" customHeight="false" outlineLevel="0" collapsed="false">
      <c r="A1747" s="196" t="s">
        <v>321</v>
      </c>
      <c r="B1747" s="149" t="s">
        <v>613</v>
      </c>
      <c r="C1747" s="148" t="s">
        <v>3970</v>
      </c>
      <c r="D1747" s="202"/>
      <c r="E1747" s="202"/>
      <c r="F1747" s="202"/>
      <c r="G1747" s="203"/>
      <c r="H1747" s="105" t="n">
        <f aca="false">'[2]$ зима'!j1747-'[2]$ зима'!au1747-'[2]$ зима'!at1747-'[2]$ зима'!as1747-'[2]$ зима'!ar1747-'[2]$ зима'!aq1747-'[2]$ зима'!ap1747-'[2]$ зима'!an1747-'[2]$ зима'!am1747-'[2]$ зима'!al1747-'[2]$ зима'!ak1747-'[2]$ зима'!aj1747-'[2]$ зима'!ah1747-'[2]$ зима'!ag1747-'[2]$ зима'!af1747-'[2]$ зима'!ae1747-'[2]$ зима'!ad1747-'[2]$ зима'!ab1747-'[2]$ зима'!aa1747-'[2]$ зима'!z1747-'[2]$ зима'!y1747-'[2]$ зима'!x1747-'[2]$ зима'!v1747-'[2]$ зима'!u1747-'[2]$ зима'!t1747-'[2]$ зима'!s1747-'[2]$ зима'!r1747-'[2]$ зима'!p1747-'[2]$ зима'!o1747-'[2]$ зима'!n1747-'[2]$ зима'!m1747-'[2]$ зима'!l1747+'[2]$ зима'!q1747+'[2]$ зима'!w1747+'[2]$ зима'!ac1747+'[2]$ зима'!ai1747+'[2]$ зима'!ao1747+'[2]$ зима'!k1747</f>
        <v>0</v>
      </c>
      <c r="I1747" s="191" t="n">
        <f aca="false">'[2]$ зима'!ay1747*1.1</f>
        <v>1468.28</v>
      </c>
    </row>
    <row r="1748" customFormat="false" ht="15" hidden="false" customHeight="false" outlineLevel="0" collapsed="false">
      <c r="A1748" s="196" t="s">
        <v>321</v>
      </c>
      <c r="B1748" s="149" t="s">
        <v>593</v>
      </c>
      <c r="C1748" s="148" t="s">
        <v>3930</v>
      </c>
      <c r="D1748" s="202"/>
      <c r="E1748" s="211" t="s">
        <v>2609</v>
      </c>
      <c r="F1748" s="211"/>
      <c r="G1748" s="203" t="s">
        <v>933</v>
      </c>
      <c r="H1748" s="105" t="n">
        <f aca="false">'[2]$ зима'!j1748-'[2]$ зима'!au1748-'[2]$ зима'!at1748-'[2]$ зима'!as1748-'[2]$ зима'!ar1748-'[2]$ зима'!aq1748-'[2]$ зима'!ap1748-'[2]$ зима'!an1748-'[2]$ зима'!am1748-'[2]$ зима'!al1748-'[2]$ зима'!ak1748-'[2]$ зима'!aj1748-'[2]$ зима'!ah1748-'[2]$ зима'!ag1748-'[2]$ зима'!af1748-'[2]$ зима'!ae1748-'[2]$ зима'!ad1748-'[2]$ зима'!ab1748-'[2]$ зима'!aa1748-'[2]$ зима'!z1748-'[2]$ зима'!y1748-'[2]$ зима'!x1748-'[2]$ зима'!v1748-'[2]$ зима'!u1748-'[2]$ зима'!t1748-'[2]$ зима'!s1748-'[2]$ зима'!r1748-'[2]$ зима'!p1748-'[2]$ зима'!o1748-'[2]$ зима'!n1748-'[2]$ зима'!m1748-'[2]$ зима'!l1748+'[2]$ зима'!q1748+'[2]$ зима'!w1748+'[2]$ зима'!ac1748+'[2]$ зима'!ai1748+'[2]$ зима'!ao1748+'[2]$ зима'!k1748</f>
        <v>7</v>
      </c>
      <c r="I1748" s="191" t="n">
        <f aca="false">'[2]$ зима'!ay1748*1.1</f>
        <v>2999.04</v>
      </c>
      <c r="J1748" s="171" t="n">
        <v>2018</v>
      </c>
    </row>
    <row r="1749" customFormat="false" ht="15" hidden="false" customHeight="false" outlineLevel="0" collapsed="false">
      <c r="A1749" s="196" t="s">
        <v>321</v>
      </c>
      <c r="B1749" s="149" t="s">
        <v>762</v>
      </c>
      <c r="C1749" s="148" t="s">
        <v>3934</v>
      </c>
      <c r="D1749" s="148"/>
      <c r="E1749" s="192" t="s">
        <v>2609</v>
      </c>
      <c r="F1749" s="192"/>
      <c r="G1749" s="193" t="s">
        <v>631</v>
      </c>
      <c r="H1749" s="105" t="n">
        <f aca="false">'[2]$ зима'!j1749-'[2]$ зима'!au1749-'[2]$ зима'!at1749-'[2]$ зима'!as1749-'[2]$ зима'!ar1749-'[2]$ зима'!aq1749-'[2]$ зима'!ap1749-'[2]$ зима'!an1749-'[2]$ зима'!am1749-'[2]$ зима'!al1749-'[2]$ зима'!ak1749-'[2]$ зима'!aj1749-'[2]$ зима'!ah1749-'[2]$ зима'!ag1749-'[2]$ зима'!af1749-'[2]$ зима'!ae1749-'[2]$ зима'!ad1749-'[2]$ зима'!ab1749-'[2]$ зима'!aa1749-'[2]$ зима'!z1749-'[2]$ зима'!y1749-'[2]$ зима'!x1749-'[2]$ зима'!v1749-'[2]$ зима'!u1749-'[2]$ зима'!t1749-'[2]$ зима'!s1749-'[2]$ зима'!r1749-'[2]$ зима'!p1749-'[2]$ зима'!o1749-'[2]$ зима'!n1749-'[2]$ зима'!m1749-'[2]$ зима'!l1749+'[2]$ зима'!q1749+'[2]$ зима'!w1749+'[2]$ зима'!ac1749+'[2]$ зима'!ai1749+'[2]$ зима'!ao1749+'[2]$ зима'!k1749</f>
        <v>6</v>
      </c>
      <c r="I1749" s="191" t="n">
        <f aca="false">'[2]$ зима'!ay1749*1.1</f>
        <v>1718.2</v>
      </c>
      <c r="J1749" s="171" t="n">
        <v>2017</v>
      </c>
    </row>
    <row r="1750" customFormat="false" ht="15" hidden="false" customHeight="false" outlineLevel="0" collapsed="false">
      <c r="A1750" s="196" t="s">
        <v>321</v>
      </c>
      <c r="B1750" s="149" t="s">
        <v>801</v>
      </c>
      <c r="C1750" s="148" t="s">
        <v>3971</v>
      </c>
      <c r="D1750" s="202"/>
      <c r="E1750" s="211"/>
      <c r="F1750" s="211"/>
      <c r="G1750" s="203"/>
      <c r="H1750" s="105" t="n">
        <f aca="false">'[2]$ зима'!j1750-'[2]$ зима'!au1750-'[2]$ зима'!at1750-'[2]$ зима'!as1750-'[2]$ зима'!ar1750-'[2]$ зима'!aq1750-'[2]$ зима'!ap1750-'[2]$ зима'!an1750-'[2]$ зима'!am1750-'[2]$ зима'!al1750-'[2]$ зима'!ak1750-'[2]$ зима'!aj1750-'[2]$ зима'!ah1750-'[2]$ зима'!ag1750-'[2]$ зима'!af1750-'[2]$ зима'!ae1750-'[2]$ зима'!ad1750-'[2]$ зима'!ab1750-'[2]$ зима'!aa1750-'[2]$ зима'!z1750-'[2]$ зима'!y1750-'[2]$ зима'!x1750-'[2]$ зима'!v1750-'[2]$ зима'!u1750-'[2]$ зима'!t1750-'[2]$ зима'!s1750-'[2]$ зима'!r1750-'[2]$ зима'!p1750-'[2]$ зима'!o1750-'[2]$ зима'!n1750-'[2]$ зима'!m1750-'[2]$ зима'!l1750+'[2]$ зима'!q1750+'[2]$ зима'!w1750+'[2]$ зима'!ac1750+'[2]$ зима'!ai1750+'[2]$ зима'!ao1750+'[2]$ зима'!k1750</f>
        <v>2</v>
      </c>
      <c r="I1750" s="191" t="n">
        <f aca="false">'[2]$ зима'!ay1750*1.1</f>
        <v>1718.2</v>
      </c>
    </row>
    <row r="1751" customFormat="false" ht="15" hidden="false" customHeight="false" outlineLevel="0" collapsed="false">
      <c r="A1751" s="196" t="s">
        <v>321</v>
      </c>
      <c r="B1751" s="149" t="s">
        <v>617</v>
      </c>
      <c r="C1751" s="148" t="s">
        <v>3900</v>
      </c>
      <c r="D1751" s="202"/>
      <c r="E1751" s="211"/>
      <c r="F1751" s="211"/>
      <c r="G1751" s="203"/>
      <c r="H1751" s="105" t="n">
        <f aca="false">'[2]$ зима'!j1751-'[2]$ зима'!au1751-'[2]$ зима'!at1751-'[2]$ зима'!as1751-'[2]$ зима'!ar1751-'[2]$ зима'!aq1751-'[2]$ зима'!ap1751-'[2]$ зима'!an1751-'[2]$ зима'!am1751-'[2]$ зима'!al1751-'[2]$ зима'!ak1751-'[2]$ зима'!aj1751-'[2]$ зима'!ah1751-'[2]$ зима'!ag1751-'[2]$ зима'!af1751-'[2]$ зима'!ae1751-'[2]$ зима'!ad1751-'[2]$ зима'!ab1751-'[2]$ зима'!aa1751-'[2]$ зима'!z1751-'[2]$ зима'!y1751-'[2]$ зима'!x1751-'[2]$ зима'!v1751-'[2]$ зима'!u1751-'[2]$ зима'!t1751-'[2]$ зима'!s1751-'[2]$ зима'!r1751-'[2]$ зима'!p1751-'[2]$ зима'!o1751-'[2]$ зима'!n1751-'[2]$ зима'!m1751-'[2]$ зима'!l1751+'[2]$ зима'!q1751+'[2]$ зима'!w1751+'[2]$ зима'!ac1751+'[2]$ зима'!ai1751+'[2]$ зима'!ao1751+'[2]$ зима'!k1751</f>
        <v>3</v>
      </c>
      <c r="I1751" s="191" t="n">
        <f aca="false">'[2]$ зима'!ay1751*1.1</f>
        <v>1562</v>
      </c>
    </row>
    <row r="1752" customFormat="false" ht="15" hidden="false" customHeight="false" outlineLevel="0" collapsed="false">
      <c r="A1752" s="196" t="s">
        <v>321</v>
      </c>
      <c r="B1752" s="149" t="s">
        <v>677</v>
      </c>
      <c r="C1752" s="148" t="s">
        <v>3136</v>
      </c>
      <c r="D1752" s="148" t="s">
        <v>3127</v>
      </c>
      <c r="E1752" s="211"/>
      <c r="F1752" s="211"/>
      <c r="G1752" s="203"/>
      <c r="H1752" s="105" t="n">
        <f aca="false">'[2]$ зима'!j1752-'[2]$ зима'!au1752-'[2]$ зима'!at1752-'[2]$ зима'!as1752-'[2]$ зима'!ar1752-'[2]$ зима'!aq1752-'[2]$ зима'!ap1752-'[2]$ зима'!an1752-'[2]$ зима'!am1752-'[2]$ зима'!al1752-'[2]$ зима'!ak1752-'[2]$ зима'!aj1752-'[2]$ зима'!ah1752-'[2]$ зима'!ag1752-'[2]$ зима'!af1752-'[2]$ зима'!ae1752-'[2]$ зима'!ad1752-'[2]$ зима'!ab1752-'[2]$ зима'!aa1752-'[2]$ зима'!z1752-'[2]$ зима'!y1752-'[2]$ зима'!x1752-'[2]$ зима'!v1752-'[2]$ зима'!u1752-'[2]$ зима'!t1752-'[2]$ зима'!s1752-'[2]$ зима'!r1752-'[2]$ зима'!p1752-'[2]$ зима'!o1752-'[2]$ зима'!n1752-'[2]$ зима'!m1752-'[2]$ зима'!l1752+'[2]$ зима'!q1752+'[2]$ зима'!w1752+'[2]$ зима'!ac1752+'[2]$ зима'!ai1752+'[2]$ зима'!ao1752+'[2]$ зима'!k1752</f>
        <v>2</v>
      </c>
      <c r="I1752" s="191" t="n">
        <f aca="false">'[2]$ зима'!ay1752*1.1</f>
        <v>1499.52</v>
      </c>
    </row>
    <row r="1753" customFormat="false" ht="15" hidden="false" customHeight="false" outlineLevel="0" collapsed="false">
      <c r="A1753" s="196" t="s">
        <v>321</v>
      </c>
      <c r="B1753" s="149" t="s">
        <v>652</v>
      </c>
      <c r="C1753" s="148" t="s">
        <v>3903</v>
      </c>
      <c r="D1753" s="202" t="s">
        <v>582</v>
      </c>
      <c r="E1753" s="211"/>
      <c r="F1753" s="211"/>
      <c r="G1753" s="203"/>
      <c r="H1753" s="105" t="n">
        <f aca="false">'[2]$ зима'!j1753-'[2]$ зима'!au1753-'[2]$ зима'!at1753-'[2]$ зима'!as1753-'[2]$ зима'!ar1753-'[2]$ зима'!aq1753-'[2]$ зима'!ap1753-'[2]$ зима'!an1753-'[2]$ зима'!am1753-'[2]$ зима'!al1753-'[2]$ зима'!ak1753-'[2]$ зима'!aj1753-'[2]$ зима'!ah1753-'[2]$ зима'!ag1753-'[2]$ зима'!af1753-'[2]$ зима'!ae1753-'[2]$ зима'!ad1753-'[2]$ зима'!ab1753-'[2]$ зима'!aa1753-'[2]$ зима'!z1753-'[2]$ зима'!y1753-'[2]$ зима'!x1753-'[2]$ зима'!v1753-'[2]$ зима'!u1753-'[2]$ зима'!t1753-'[2]$ зима'!s1753-'[2]$ зима'!r1753-'[2]$ зима'!p1753-'[2]$ зима'!o1753-'[2]$ зима'!n1753-'[2]$ зима'!m1753-'[2]$ зима'!l1753+'[2]$ зима'!q1753+'[2]$ зима'!w1753+'[2]$ зима'!ac1753+'[2]$ зима'!ai1753+'[2]$ зима'!ao1753+'[2]$ зима'!k1753</f>
        <v>2</v>
      </c>
      <c r="I1753" s="191" t="n">
        <f aca="false">'[2]$ зима'!ay1753*1.1</f>
        <v>1874.4</v>
      </c>
    </row>
    <row r="1754" customFormat="false" ht="15" hidden="false" customHeight="false" outlineLevel="0" collapsed="false">
      <c r="A1754" s="217" t="s">
        <v>326</v>
      </c>
      <c r="B1754" s="157" t="s">
        <v>844</v>
      </c>
      <c r="C1754" s="158"/>
      <c r="D1754" s="240"/>
      <c r="E1754" s="241"/>
      <c r="F1754" s="241"/>
      <c r="G1754" s="242"/>
      <c r="H1754" s="105" t="n">
        <f aca="false">'[2]$ зима'!j1754-'[2]$ зима'!au1754-'[2]$ зима'!at1754-'[2]$ зима'!as1754-'[2]$ зима'!ar1754-'[2]$ зима'!aq1754-'[2]$ зима'!ap1754-'[2]$ зима'!an1754-'[2]$ зима'!am1754-'[2]$ зима'!al1754-'[2]$ зима'!ak1754-'[2]$ зима'!aj1754-'[2]$ зима'!ah1754-'[2]$ зима'!ag1754-'[2]$ зима'!af1754-'[2]$ зима'!ae1754-'[2]$ зима'!ad1754-'[2]$ зима'!ab1754-'[2]$ зима'!aa1754-'[2]$ зима'!z1754-'[2]$ зима'!y1754-'[2]$ зима'!x1754-'[2]$ зима'!v1754-'[2]$ зима'!u1754-'[2]$ зима'!t1754-'[2]$ зима'!s1754-'[2]$ зима'!r1754-'[2]$ зима'!p1754-'[2]$ зима'!o1754-'[2]$ зима'!n1754-'[2]$ зима'!m1754-'[2]$ зима'!l1754+'[2]$ зима'!q1754+'[2]$ зима'!w1754+'[2]$ зима'!ac1754+'[2]$ зима'!ai1754+'[2]$ зима'!ao1754+'[2]$ зима'!k1754</f>
        <v>4</v>
      </c>
      <c r="I1754" s="219" t="n">
        <f aca="false">'[2]$ зима'!ay1754*1.1</f>
        <v>1540</v>
      </c>
    </row>
    <row r="1755" customFormat="false" ht="15" hidden="false" customHeight="false" outlineLevel="0" collapsed="false">
      <c r="A1755" s="188" t="s">
        <v>326</v>
      </c>
      <c r="B1755" s="149" t="s">
        <v>741</v>
      </c>
      <c r="C1755" s="148" t="s">
        <v>3890</v>
      </c>
      <c r="D1755" s="202"/>
      <c r="E1755" s="211"/>
      <c r="F1755" s="211"/>
      <c r="G1755" s="203"/>
      <c r="H1755" s="105" t="n">
        <f aca="false">'[2]$ зима'!j1755-'[2]$ зима'!au1755-'[2]$ зима'!at1755-'[2]$ зима'!as1755-'[2]$ зима'!ar1755-'[2]$ зима'!aq1755-'[2]$ зима'!ap1755-'[2]$ зима'!an1755-'[2]$ зима'!am1755-'[2]$ зима'!al1755-'[2]$ зима'!ak1755-'[2]$ зима'!aj1755-'[2]$ зима'!ah1755-'[2]$ зима'!ag1755-'[2]$ зима'!af1755-'[2]$ зима'!ae1755-'[2]$ зима'!ad1755-'[2]$ зима'!ab1755-'[2]$ зима'!aa1755-'[2]$ зима'!z1755-'[2]$ зима'!y1755-'[2]$ зима'!x1755-'[2]$ зима'!v1755-'[2]$ зима'!u1755-'[2]$ зима'!t1755-'[2]$ зима'!s1755-'[2]$ зима'!r1755-'[2]$ зима'!p1755-'[2]$ зима'!o1755-'[2]$ зима'!n1755-'[2]$ зима'!m1755-'[2]$ зима'!l1755+'[2]$ зима'!q1755+'[2]$ зима'!w1755+'[2]$ зима'!ac1755+'[2]$ зима'!ai1755+'[2]$ зима'!ao1755+'[2]$ зима'!k1755</f>
        <v>4</v>
      </c>
      <c r="I1755" s="191" t="n">
        <f aca="false">'[2]$ зима'!ay1755*1.1</f>
        <v>2186.8</v>
      </c>
      <c r="J1755" s="171" t="n">
        <v>2012</v>
      </c>
    </row>
    <row r="1756" customFormat="false" ht="15" hidden="false" customHeight="false" outlineLevel="0" collapsed="false">
      <c r="A1756" s="196" t="s">
        <v>326</v>
      </c>
      <c r="B1756" s="149" t="s">
        <v>604</v>
      </c>
      <c r="C1756" s="148" t="s">
        <v>3967</v>
      </c>
      <c r="D1756" s="202"/>
      <c r="E1756" s="211"/>
      <c r="F1756" s="211"/>
      <c r="G1756" s="203"/>
      <c r="H1756" s="105" t="n">
        <f aca="false">'[2]$ зима'!j1756-'[2]$ зима'!au1756-'[2]$ зима'!at1756-'[2]$ зима'!as1756-'[2]$ зима'!ar1756-'[2]$ зима'!aq1756-'[2]$ зима'!ap1756-'[2]$ зима'!an1756-'[2]$ зима'!am1756-'[2]$ зима'!al1756-'[2]$ зима'!ak1756-'[2]$ зима'!aj1756-'[2]$ зима'!ah1756-'[2]$ зима'!ag1756-'[2]$ зима'!af1756-'[2]$ зима'!ae1756-'[2]$ зима'!ad1756-'[2]$ зима'!ab1756-'[2]$ зима'!aa1756-'[2]$ зима'!z1756-'[2]$ зима'!y1756-'[2]$ зима'!x1756-'[2]$ зима'!v1756-'[2]$ зима'!u1756-'[2]$ зима'!t1756-'[2]$ зима'!s1756-'[2]$ зима'!r1756-'[2]$ зима'!p1756-'[2]$ зима'!o1756-'[2]$ зима'!n1756-'[2]$ зима'!m1756-'[2]$ зима'!l1756+'[2]$ зима'!q1756+'[2]$ зима'!w1756+'[2]$ зима'!ac1756+'[2]$ зима'!ai1756+'[2]$ зима'!ao1756+'[2]$ зима'!k1756</f>
        <v>8</v>
      </c>
      <c r="I1756" s="191" t="n">
        <f aca="false">'[2]$ зима'!ay1756*1.1</f>
        <v>2343</v>
      </c>
    </row>
    <row r="1757" customFormat="false" ht="15" hidden="true" customHeight="false" outlineLevel="0" collapsed="false">
      <c r="A1757" s="196" t="s">
        <v>326</v>
      </c>
      <c r="B1757" s="149" t="s">
        <v>606</v>
      </c>
      <c r="C1757" s="148" t="s">
        <v>3939</v>
      </c>
      <c r="D1757" s="202"/>
      <c r="E1757" s="202"/>
      <c r="F1757" s="202"/>
      <c r="G1757" s="203"/>
      <c r="H1757" s="105" t="n">
        <f aca="false">'[2]$ зима'!j1757-'[2]$ зима'!au1757-'[2]$ зима'!at1757-'[2]$ зима'!as1757-'[2]$ зима'!ar1757-'[2]$ зима'!aq1757-'[2]$ зима'!ap1757-'[2]$ зима'!an1757-'[2]$ зима'!am1757-'[2]$ зима'!al1757-'[2]$ зима'!ak1757-'[2]$ зима'!aj1757-'[2]$ зима'!ah1757-'[2]$ зима'!ag1757-'[2]$ зима'!af1757-'[2]$ зима'!ae1757-'[2]$ зима'!ad1757-'[2]$ зима'!ab1757-'[2]$ зима'!aa1757-'[2]$ зима'!z1757-'[2]$ зима'!y1757-'[2]$ зима'!x1757-'[2]$ зима'!v1757-'[2]$ зима'!u1757-'[2]$ зима'!t1757-'[2]$ зима'!s1757-'[2]$ зима'!r1757-'[2]$ зима'!p1757-'[2]$ зима'!o1757-'[2]$ зима'!n1757-'[2]$ зима'!m1757-'[2]$ зима'!l1757+'[2]$ зима'!q1757+'[2]$ зима'!w1757+'[2]$ зима'!ac1757+'[2]$ зима'!ai1757+'[2]$ зима'!ao1757+'[2]$ зима'!k1757</f>
        <v>0</v>
      </c>
      <c r="I1757" s="191" t="n">
        <f aca="false">'[2]$ зима'!ay1757*1.1</f>
        <v>3436.4</v>
      </c>
    </row>
    <row r="1758" customFormat="false" ht="15" hidden="false" customHeight="false" outlineLevel="0" collapsed="false">
      <c r="A1758" s="197" t="s">
        <v>326</v>
      </c>
      <c r="B1758" s="198" t="s">
        <v>666</v>
      </c>
      <c r="C1758" s="148" t="s">
        <v>3926</v>
      </c>
      <c r="D1758" s="202"/>
      <c r="E1758" s="211"/>
      <c r="F1758" s="211"/>
      <c r="G1758" s="203" t="s">
        <v>631</v>
      </c>
      <c r="H1758" s="105" t="n">
        <f aca="false">'[2]$ зима'!j1758-'[2]$ зима'!au1758-'[2]$ зима'!at1758-'[2]$ зима'!as1758-'[2]$ зима'!ar1758-'[2]$ зима'!aq1758-'[2]$ зима'!ap1758-'[2]$ зима'!an1758-'[2]$ зима'!am1758-'[2]$ зима'!al1758-'[2]$ зима'!ak1758-'[2]$ зима'!aj1758-'[2]$ зима'!ah1758-'[2]$ зима'!ag1758-'[2]$ зима'!af1758-'[2]$ зима'!ae1758-'[2]$ зима'!ad1758-'[2]$ зима'!ab1758-'[2]$ зима'!aa1758-'[2]$ зима'!z1758-'[2]$ зима'!y1758-'[2]$ зима'!x1758-'[2]$ зима'!v1758-'[2]$ зима'!u1758-'[2]$ зима'!t1758-'[2]$ зима'!s1758-'[2]$ зима'!r1758-'[2]$ зима'!p1758-'[2]$ зима'!o1758-'[2]$ зима'!n1758-'[2]$ зима'!m1758-'[2]$ зима'!l1758+'[2]$ зима'!q1758+'[2]$ зима'!w1758+'[2]$ зима'!ac1758+'[2]$ зима'!ai1758+'[2]$ зима'!ao1758+'[2]$ зима'!k1758</f>
        <v>4</v>
      </c>
      <c r="I1758" s="191" t="n">
        <f aca="false">'[2]$ зима'!ay1758*1.1</f>
        <v>2686.64</v>
      </c>
      <c r="J1758" s="171" t="n">
        <v>2017</v>
      </c>
    </row>
    <row r="1759" customFormat="false" ht="15" hidden="false" customHeight="false" outlineLevel="0" collapsed="false">
      <c r="A1759" s="196" t="s">
        <v>326</v>
      </c>
      <c r="B1759" s="149" t="s">
        <v>574</v>
      </c>
      <c r="C1759" s="148" t="s">
        <v>3972</v>
      </c>
      <c r="D1759" s="148"/>
      <c r="E1759" s="192"/>
      <c r="F1759" s="192"/>
      <c r="G1759" s="193" t="s">
        <v>576</v>
      </c>
      <c r="H1759" s="105" t="n">
        <f aca="false">'[2]$ зима'!j1759-'[2]$ зима'!au1759-'[2]$ зима'!at1759-'[2]$ зима'!as1759-'[2]$ зима'!ar1759-'[2]$ зима'!aq1759-'[2]$ зима'!ap1759-'[2]$ зима'!an1759-'[2]$ зима'!am1759-'[2]$ зима'!al1759-'[2]$ зима'!ak1759-'[2]$ зима'!aj1759-'[2]$ зима'!ah1759-'[2]$ зима'!ag1759-'[2]$ зима'!af1759-'[2]$ зима'!ae1759-'[2]$ зима'!ad1759-'[2]$ зима'!ab1759-'[2]$ зима'!aa1759-'[2]$ зима'!z1759-'[2]$ зима'!y1759-'[2]$ зима'!x1759-'[2]$ зима'!v1759-'[2]$ зима'!u1759-'[2]$ зима'!t1759-'[2]$ зима'!s1759-'[2]$ зима'!r1759-'[2]$ зима'!p1759-'[2]$ зима'!o1759-'[2]$ зима'!n1759-'[2]$ зима'!m1759-'[2]$ зима'!l1759+'[2]$ зима'!q1759+'[2]$ зима'!w1759+'[2]$ зима'!ac1759+'[2]$ зима'!ai1759+'[2]$ зима'!ao1759+'[2]$ зима'!k1759</f>
        <v>2</v>
      </c>
      <c r="I1759" s="191" t="n">
        <f aca="false">'[2]$ зима'!ay1759*1.1</f>
        <v>2093.08</v>
      </c>
    </row>
    <row r="1760" customFormat="false" ht="15" hidden="false" customHeight="false" outlineLevel="0" collapsed="false">
      <c r="A1760" s="196" t="s">
        <v>326</v>
      </c>
      <c r="B1760" s="149" t="s">
        <v>574</v>
      </c>
      <c r="C1760" s="148" t="s">
        <v>3910</v>
      </c>
      <c r="D1760" s="148"/>
      <c r="E1760" s="192" t="s">
        <v>2609</v>
      </c>
      <c r="F1760" s="192"/>
      <c r="G1760" s="193" t="s">
        <v>576</v>
      </c>
      <c r="H1760" s="105" t="n">
        <f aca="false">'[2]$ зима'!j1760-'[2]$ зима'!au1760-'[2]$ зима'!at1760-'[2]$ зима'!as1760-'[2]$ зима'!ar1760-'[2]$ зима'!aq1760-'[2]$ зима'!ap1760-'[2]$ зима'!an1760-'[2]$ зима'!am1760-'[2]$ зима'!al1760-'[2]$ зима'!ak1760-'[2]$ зима'!aj1760-'[2]$ зима'!ah1760-'[2]$ зима'!ag1760-'[2]$ зима'!af1760-'[2]$ зима'!ae1760-'[2]$ зима'!ad1760-'[2]$ зима'!ab1760-'[2]$ зима'!aa1760-'[2]$ зима'!z1760-'[2]$ зима'!y1760-'[2]$ зима'!x1760-'[2]$ зима'!v1760-'[2]$ зима'!u1760-'[2]$ зима'!t1760-'[2]$ зима'!s1760-'[2]$ зима'!r1760-'[2]$ зима'!p1760-'[2]$ зима'!o1760-'[2]$ зима'!n1760-'[2]$ зима'!m1760-'[2]$ зима'!l1760+'[2]$ зима'!q1760+'[2]$ зима'!w1760+'[2]$ зима'!ac1760+'[2]$ зима'!ai1760+'[2]$ зима'!ao1760+'[2]$ зима'!k1760</f>
        <v>8</v>
      </c>
      <c r="I1760" s="191" t="n">
        <f aca="false">'[2]$ зима'!ay1760*1.1</f>
        <v>2311.76</v>
      </c>
    </row>
    <row r="1761" customFormat="false" ht="15" hidden="true" customHeight="false" outlineLevel="0" collapsed="false">
      <c r="A1761" s="196" t="s">
        <v>326</v>
      </c>
      <c r="B1761" s="149" t="s">
        <v>583</v>
      </c>
      <c r="C1761" s="148" t="s">
        <v>3897</v>
      </c>
      <c r="D1761" s="202"/>
      <c r="E1761" s="202"/>
      <c r="F1761" s="202"/>
      <c r="G1761" s="203"/>
      <c r="H1761" s="105" t="n">
        <f aca="false">'[2]$ зима'!j1761-'[2]$ зима'!au1761-'[2]$ зима'!at1761-'[2]$ зима'!as1761-'[2]$ зима'!ar1761-'[2]$ зима'!aq1761-'[2]$ зима'!ap1761-'[2]$ зима'!an1761-'[2]$ зима'!am1761-'[2]$ зима'!al1761-'[2]$ зима'!ak1761-'[2]$ зима'!aj1761-'[2]$ зима'!ah1761-'[2]$ зима'!ag1761-'[2]$ зима'!af1761-'[2]$ зима'!ae1761-'[2]$ зима'!ad1761-'[2]$ зима'!ab1761-'[2]$ зима'!aa1761-'[2]$ зима'!z1761-'[2]$ зима'!y1761-'[2]$ зима'!x1761-'[2]$ зима'!v1761-'[2]$ зима'!u1761-'[2]$ зима'!t1761-'[2]$ зима'!s1761-'[2]$ зима'!r1761-'[2]$ зима'!p1761-'[2]$ зима'!o1761-'[2]$ зима'!n1761-'[2]$ зима'!m1761-'[2]$ зима'!l1761+'[2]$ зима'!q1761+'[2]$ зима'!w1761+'[2]$ зима'!ac1761+'[2]$ зима'!ai1761+'[2]$ зима'!ao1761+'[2]$ зима'!k1761</f>
        <v>0</v>
      </c>
      <c r="I1761" s="191" t="n">
        <f aca="false">'[2]$ зима'!ay1761*1.1</f>
        <v>2155.56</v>
      </c>
    </row>
    <row r="1762" customFormat="false" ht="15" hidden="true" customHeight="false" outlineLevel="0" collapsed="false">
      <c r="A1762" s="196" t="s">
        <v>326</v>
      </c>
      <c r="B1762" s="149" t="s">
        <v>3973</v>
      </c>
      <c r="C1762" s="148" t="s">
        <v>3974</v>
      </c>
      <c r="D1762" s="202"/>
      <c r="E1762" s="202"/>
      <c r="F1762" s="202"/>
      <c r="G1762" s="203"/>
      <c r="H1762" s="105" t="n">
        <f aca="false">'[2]$ зима'!j1762-'[2]$ зима'!au1762-'[2]$ зима'!at1762-'[2]$ зима'!as1762-'[2]$ зима'!ar1762-'[2]$ зима'!aq1762-'[2]$ зима'!ap1762-'[2]$ зима'!an1762-'[2]$ зима'!am1762-'[2]$ зима'!al1762-'[2]$ зима'!ak1762-'[2]$ зима'!aj1762-'[2]$ зима'!ah1762-'[2]$ зима'!ag1762-'[2]$ зима'!af1762-'[2]$ зима'!ae1762-'[2]$ зима'!ad1762-'[2]$ зима'!ab1762-'[2]$ зима'!aa1762-'[2]$ зима'!z1762-'[2]$ зима'!y1762-'[2]$ зима'!x1762-'[2]$ зима'!v1762-'[2]$ зима'!u1762-'[2]$ зима'!t1762-'[2]$ зима'!s1762-'[2]$ зима'!r1762-'[2]$ зима'!p1762-'[2]$ зима'!o1762-'[2]$ зима'!n1762-'[2]$ зима'!m1762-'[2]$ зима'!l1762+'[2]$ зима'!q1762+'[2]$ зима'!w1762+'[2]$ зима'!ac1762+'[2]$ зима'!ai1762+'[2]$ зима'!ao1762+'[2]$ зима'!k1762</f>
        <v>0</v>
      </c>
      <c r="I1762" s="191" t="n">
        <f aca="false">'[2]$ зима'!ay1762*1.1</f>
        <v>1718.2</v>
      </c>
    </row>
    <row r="1763" customFormat="false" ht="15" hidden="false" customHeight="false" outlineLevel="0" collapsed="false">
      <c r="A1763" s="196" t="s">
        <v>326</v>
      </c>
      <c r="B1763" s="149" t="s">
        <v>593</v>
      </c>
      <c r="C1763" s="148" t="s">
        <v>3930</v>
      </c>
      <c r="D1763" s="202"/>
      <c r="E1763" s="211"/>
      <c r="F1763" s="211"/>
      <c r="G1763" s="203" t="s">
        <v>933</v>
      </c>
      <c r="H1763" s="105" t="n">
        <f aca="false">'[2]$ зима'!j1763-'[2]$ зима'!au1763-'[2]$ зима'!at1763-'[2]$ зима'!as1763-'[2]$ зима'!ar1763-'[2]$ зима'!aq1763-'[2]$ зима'!ap1763-'[2]$ зима'!an1763-'[2]$ зима'!am1763-'[2]$ зима'!al1763-'[2]$ зима'!ak1763-'[2]$ зима'!aj1763-'[2]$ зима'!ah1763-'[2]$ зима'!ag1763-'[2]$ зима'!af1763-'[2]$ зима'!ae1763-'[2]$ зима'!ad1763-'[2]$ зима'!ab1763-'[2]$ зима'!aa1763-'[2]$ зима'!z1763-'[2]$ зима'!y1763-'[2]$ зима'!x1763-'[2]$ зима'!v1763-'[2]$ зима'!u1763-'[2]$ зима'!t1763-'[2]$ зима'!s1763-'[2]$ зима'!r1763-'[2]$ зима'!p1763-'[2]$ зима'!o1763-'[2]$ зима'!n1763-'[2]$ зима'!m1763-'[2]$ зима'!l1763+'[2]$ зима'!q1763+'[2]$ зима'!w1763+'[2]$ зима'!ac1763+'[2]$ зима'!ai1763+'[2]$ зима'!ao1763+'[2]$ зима'!k1763</f>
        <v>4</v>
      </c>
      <c r="I1763" s="191" t="n">
        <f aca="false">'[2]$ зима'!ay1763*1.1</f>
        <v>3530.12</v>
      </c>
      <c r="J1763" s="171" t="n">
        <v>2018</v>
      </c>
    </row>
    <row r="1764" customFormat="false" ht="15" hidden="false" customHeight="false" outlineLevel="0" collapsed="false">
      <c r="A1764" s="196" t="s">
        <v>326</v>
      </c>
      <c r="B1764" s="149" t="s">
        <v>586</v>
      </c>
      <c r="C1764" s="148" t="s">
        <v>3931</v>
      </c>
      <c r="D1764" s="202"/>
      <c r="E1764" s="211"/>
      <c r="F1764" s="211"/>
      <c r="G1764" s="203"/>
      <c r="H1764" s="105" t="n">
        <f aca="false">'[2]$ зима'!j1764-'[2]$ зима'!au1764-'[2]$ зима'!at1764-'[2]$ зима'!as1764-'[2]$ зима'!ar1764-'[2]$ зима'!aq1764-'[2]$ зима'!ap1764-'[2]$ зима'!an1764-'[2]$ зима'!am1764-'[2]$ зима'!al1764-'[2]$ зима'!ak1764-'[2]$ зима'!aj1764-'[2]$ зима'!ah1764-'[2]$ зима'!ag1764-'[2]$ зима'!af1764-'[2]$ зима'!ae1764-'[2]$ зима'!ad1764-'[2]$ зима'!ab1764-'[2]$ зима'!aa1764-'[2]$ зима'!z1764-'[2]$ зима'!y1764-'[2]$ зима'!x1764-'[2]$ зима'!v1764-'[2]$ зима'!u1764-'[2]$ зима'!t1764-'[2]$ зима'!s1764-'[2]$ зима'!r1764-'[2]$ зима'!p1764-'[2]$ зима'!o1764-'[2]$ зима'!n1764-'[2]$ зима'!m1764-'[2]$ зима'!l1764+'[2]$ зима'!q1764+'[2]$ зима'!w1764+'[2]$ зима'!ac1764+'[2]$ зима'!ai1764+'[2]$ зима'!ao1764+'[2]$ зима'!k1764</f>
        <v>4</v>
      </c>
      <c r="I1764" s="191" t="n">
        <f aca="false">'[2]$ зима'!ay1764*1.1</f>
        <v>1562</v>
      </c>
    </row>
    <row r="1765" customFormat="false" ht="15" hidden="false" customHeight="false" outlineLevel="0" collapsed="false">
      <c r="A1765" s="196" t="s">
        <v>326</v>
      </c>
      <c r="B1765" s="149" t="s">
        <v>1149</v>
      </c>
      <c r="C1765" s="148" t="s">
        <v>3933</v>
      </c>
      <c r="D1765" s="202"/>
      <c r="E1765" s="211"/>
      <c r="F1765" s="211"/>
      <c r="G1765" s="203"/>
      <c r="H1765" s="105" t="n">
        <f aca="false">'[2]$ зима'!j1765-'[2]$ зима'!au1765-'[2]$ зима'!at1765-'[2]$ зима'!as1765-'[2]$ зима'!ar1765-'[2]$ зима'!aq1765-'[2]$ зима'!ap1765-'[2]$ зима'!an1765-'[2]$ зима'!am1765-'[2]$ зима'!al1765-'[2]$ зима'!ak1765-'[2]$ зима'!aj1765-'[2]$ зима'!ah1765-'[2]$ зима'!ag1765-'[2]$ зима'!af1765-'[2]$ зима'!ae1765-'[2]$ зима'!ad1765-'[2]$ зима'!ab1765-'[2]$ зима'!aa1765-'[2]$ зима'!z1765-'[2]$ зима'!y1765-'[2]$ зима'!x1765-'[2]$ зима'!v1765-'[2]$ зима'!u1765-'[2]$ зима'!t1765-'[2]$ зима'!s1765-'[2]$ зима'!r1765-'[2]$ зима'!p1765-'[2]$ зима'!o1765-'[2]$ зима'!n1765-'[2]$ зима'!m1765-'[2]$ зима'!l1765+'[2]$ зима'!q1765+'[2]$ зима'!w1765+'[2]$ зима'!ac1765+'[2]$ зима'!ai1765+'[2]$ зима'!ao1765+'[2]$ зима'!k1765</f>
        <v>12</v>
      </c>
      <c r="I1765" s="191" t="n">
        <f aca="false">'[2]$ зима'!ay1765*1.1</f>
        <v>1874.4</v>
      </c>
      <c r="J1765" s="171" t="n">
        <v>2012</v>
      </c>
    </row>
    <row r="1766" customFormat="false" ht="15" hidden="false" customHeight="false" outlineLevel="0" collapsed="false">
      <c r="A1766" s="196" t="s">
        <v>326</v>
      </c>
      <c r="B1766" s="149" t="s">
        <v>762</v>
      </c>
      <c r="C1766" s="148" t="s">
        <v>3934</v>
      </c>
      <c r="D1766" s="202"/>
      <c r="E1766" s="211"/>
      <c r="F1766" s="211"/>
      <c r="G1766" s="203"/>
      <c r="H1766" s="105" t="n">
        <f aca="false">'[2]$ зима'!j1766-'[2]$ зима'!au1766-'[2]$ зима'!at1766-'[2]$ зима'!as1766-'[2]$ зима'!ar1766-'[2]$ зима'!aq1766-'[2]$ зима'!ap1766-'[2]$ зима'!an1766-'[2]$ зима'!am1766-'[2]$ зима'!al1766-'[2]$ зима'!ak1766-'[2]$ зима'!aj1766-'[2]$ зима'!ah1766-'[2]$ зима'!ag1766-'[2]$ зима'!af1766-'[2]$ зима'!ae1766-'[2]$ зима'!ad1766-'[2]$ зима'!ab1766-'[2]$ зима'!aa1766-'[2]$ зима'!z1766-'[2]$ зима'!y1766-'[2]$ зима'!x1766-'[2]$ зима'!v1766-'[2]$ зима'!u1766-'[2]$ зима'!t1766-'[2]$ зима'!s1766-'[2]$ зима'!r1766-'[2]$ зима'!p1766-'[2]$ зима'!o1766-'[2]$ зима'!n1766-'[2]$ зима'!m1766-'[2]$ зима'!l1766+'[2]$ зима'!q1766+'[2]$ зима'!w1766+'[2]$ зима'!ac1766+'[2]$ зима'!ai1766+'[2]$ зима'!ao1766+'[2]$ зима'!k1766</f>
        <v>4</v>
      </c>
      <c r="I1766" s="191" t="n">
        <f aca="false">'[2]$ зима'!ay1766*1.1</f>
        <v>2061.84</v>
      </c>
    </row>
    <row r="1767" customFormat="false" ht="15" hidden="true" customHeight="false" outlineLevel="0" collapsed="false">
      <c r="A1767" s="196" t="s">
        <v>326</v>
      </c>
      <c r="B1767" s="149" t="s">
        <v>677</v>
      </c>
      <c r="C1767" s="148" t="s">
        <v>3454</v>
      </c>
      <c r="D1767" s="148" t="s">
        <v>3127</v>
      </c>
      <c r="E1767" s="148"/>
      <c r="F1767" s="148"/>
      <c r="G1767" s="193"/>
      <c r="H1767" s="105" t="n">
        <f aca="false">'[2]$ зима'!j1767-'[2]$ зима'!au1767-'[2]$ зима'!at1767-'[2]$ зима'!as1767-'[2]$ зима'!ar1767-'[2]$ зима'!aq1767-'[2]$ зима'!ap1767-'[2]$ зима'!an1767-'[2]$ зима'!am1767-'[2]$ зима'!al1767-'[2]$ зима'!ak1767-'[2]$ зима'!aj1767-'[2]$ зима'!ah1767-'[2]$ зима'!ag1767-'[2]$ зима'!af1767-'[2]$ зима'!ae1767-'[2]$ зима'!ad1767-'[2]$ зима'!ab1767-'[2]$ зима'!aa1767-'[2]$ зима'!z1767-'[2]$ зима'!y1767-'[2]$ зима'!x1767-'[2]$ зима'!v1767-'[2]$ зима'!u1767-'[2]$ зима'!t1767-'[2]$ зима'!s1767-'[2]$ зима'!r1767-'[2]$ зима'!p1767-'[2]$ зима'!o1767-'[2]$ зима'!n1767-'[2]$ зима'!m1767-'[2]$ зима'!l1767+'[2]$ зима'!q1767+'[2]$ зима'!w1767+'[2]$ зима'!ac1767+'[2]$ зима'!ai1767+'[2]$ зима'!ao1767+'[2]$ зима'!k1767</f>
        <v>0</v>
      </c>
      <c r="I1767" s="191" t="n">
        <f aca="false">'[2]$ зима'!ay1767*1.1</f>
        <v>1562</v>
      </c>
    </row>
    <row r="1768" customFormat="false" ht="15" hidden="true" customHeight="false" outlineLevel="0" collapsed="false">
      <c r="A1768" s="188" t="s">
        <v>327</v>
      </c>
      <c r="B1768" s="149" t="s">
        <v>568</v>
      </c>
      <c r="C1768" s="148" t="s">
        <v>3915</v>
      </c>
      <c r="D1768" s="202"/>
      <c r="E1768" s="202"/>
      <c r="F1768" s="202"/>
      <c r="G1768" s="203"/>
      <c r="H1768" s="105" t="n">
        <f aca="false">'[2]$ зима'!j1768-'[2]$ зима'!au1768-'[2]$ зима'!at1768-'[2]$ зима'!as1768-'[2]$ зима'!ar1768-'[2]$ зима'!aq1768-'[2]$ зима'!ap1768-'[2]$ зима'!an1768-'[2]$ зима'!am1768-'[2]$ зима'!al1768-'[2]$ зима'!ak1768-'[2]$ зима'!aj1768-'[2]$ зима'!ah1768-'[2]$ зима'!ag1768-'[2]$ зима'!af1768-'[2]$ зима'!ae1768-'[2]$ зима'!ad1768-'[2]$ зима'!ab1768-'[2]$ зима'!aa1768-'[2]$ зима'!z1768-'[2]$ зима'!y1768-'[2]$ зима'!x1768-'[2]$ зима'!v1768-'[2]$ зима'!u1768-'[2]$ зима'!t1768-'[2]$ зима'!s1768-'[2]$ зима'!r1768-'[2]$ зима'!p1768-'[2]$ зима'!o1768-'[2]$ зима'!n1768-'[2]$ зима'!m1768-'[2]$ зима'!l1768+'[2]$ зима'!q1768+'[2]$ зима'!w1768+'[2]$ зима'!ac1768+'[2]$ зима'!ai1768+'[2]$ зима'!ao1768+'[2]$ зима'!k1768</f>
        <v>0</v>
      </c>
      <c r="I1768" s="191" t="n">
        <f aca="false">'[2]$ зима'!ay1768*1.1</f>
        <v>2967.8</v>
      </c>
    </row>
    <row r="1769" customFormat="false" ht="15" hidden="false" customHeight="false" outlineLevel="0" collapsed="false">
      <c r="A1769" s="196" t="s">
        <v>327</v>
      </c>
      <c r="B1769" s="149" t="s">
        <v>741</v>
      </c>
      <c r="C1769" s="148" t="s">
        <v>3890</v>
      </c>
      <c r="D1769" s="202"/>
      <c r="E1769" s="211"/>
      <c r="F1769" s="211"/>
      <c r="G1769" s="203"/>
      <c r="H1769" s="105" t="n">
        <f aca="false">'[2]$ зима'!j1769-'[2]$ зима'!au1769-'[2]$ зима'!at1769-'[2]$ зима'!as1769-'[2]$ зима'!ar1769-'[2]$ зима'!aq1769-'[2]$ зима'!ap1769-'[2]$ зима'!an1769-'[2]$ зима'!am1769-'[2]$ зима'!al1769-'[2]$ зима'!ak1769-'[2]$ зима'!aj1769-'[2]$ зима'!ah1769-'[2]$ зима'!ag1769-'[2]$ зима'!af1769-'[2]$ зима'!ae1769-'[2]$ зима'!ad1769-'[2]$ зима'!ab1769-'[2]$ зима'!aa1769-'[2]$ зима'!z1769-'[2]$ зима'!y1769-'[2]$ зима'!x1769-'[2]$ зима'!v1769-'[2]$ зима'!u1769-'[2]$ зима'!t1769-'[2]$ зима'!s1769-'[2]$ зима'!r1769-'[2]$ зима'!p1769-'[2]$ зима'!o1769-'[2]$ зима'!n1769-'[2]$ зима'!m1769-'[2]$ зима'!l1769+'[2]$ зима'!q1769+'[2]$ зима'!w1769+'[2]$ зима'!ac1769+'[2]$ зима'!ai1769+'[2]$ зима'!ao1769+'[2]$ зима'!k1769</f>
        <v>2</v>
      </c>
      <c r="I1769" s="191" t="n">
        <f aca="false">'[2]$ зима'!ay1769*1.1</f>
        <v>2343</v>
      </c>
    </row>
    <row r="1770" customFormat="false" ht="15" hidden="true" customHeight="false" outlineLevel="0" collapsed="false">
      <c r="A1770" s="196" t="s">
        <v>327</v>
      </c>
      <c r="B1770" s="149" t="s">
        <v>604</v>
      </c>
      <c r="C1770" s="148" t="s">
        <v>3905</v>
      </c>
      <c r="D1770" s="202"/>
      <c r="E1770" s="202"/>
      <c r="F1770" s="202"/>
      <c r="G1770" s="203" t="s">
        <v>1240</v>
      </c>
      <c r="H1770" s="105" t="n">
        <f aca="false">'[2]$ зима'!j1770-'[2]$ зима'!au1770-'[2]$ зима'!at1770-'[2]$ зима'!as1770-'[2]$ зима'!ar1770-'[2]$ зима'!aq1770-'[2]$ зима'!ap1770-'[2]$ зима'!an1770-'[2]$ зима'!am1770-'[2]$ зима'!al1770-'[2]$ зима'!ak1770-'[2]$ зима'!aj1770-'[2]$ зима'!ah1770-'[2]$ зима'!ag1770-'[2]$ зима'!af1770-'[2]$ зима'!ae1770-'[2]$ зима'!ad1770-'[2]$ зима'!ab1770-'[2]$ зима'!aa1770-'[2]$ зима'!z1770-'[2]$ зима'!y1770-'[2]$ зима'!x1770-'[2]$ зима'!v1770-'[2]$ зима'!u1770-'[2]$ зима'!t1770-'[2]$ зима'!s1770-'[2]$ зима'!r1770-'[2]$ зима'!p1770-'[2]$ зима'!o1770-'[2]$ зима'!n1770-'[2]$ зима'!m1770-'[2]$ зима'!l1770+'[2]$ зима'!q1770+'[2]$ зима'!w1770+'[2]$ зима'!ac1770+'[2]$ зима'!ai1770+'[2]$ зима'!ao1770+'[2]$ зима'!k1770</f>
        <v>0</v>
      </c>
      <c r="I1770" s="191" t="n">
        <f aca="false">'[2]$ зима'!ay1770*1.1</f>
        <v>2343</v>
      </c>
    </row>
    <row r="1771" customFormat="false" ht="15" hidden="false" customHeight="false" outlineLevel="0" collapsed="false">
      <c r="A1771" s="196" t="s">
        <v>327</v>
      </c>
      <c r="B1771" s="149" t="s">
        <v>606</v>
      </c>
      <c r="C1771" s="148" t="s">
        <v>3892</v>
      </c>
      <c r="D1771" s="202"/>
      <c r="E1771" s="211" t="s">
        <v>3975</v>
      </c>
      <c r="F1771" s="211"/>
      <c r="G1771" s="203"/>
      <c r="H1771" s="105" t="n">
        <f aca="false">'[2]$ зима'!j1771-'[2]$ зима'!au1771-'[2]$ зима'!at1771-'[2]$ зима'!as1771-'[2]$ зима'!ar1771-'[2]$ зима'!aq1771-'[2]$ зима'!ap1771-'[2]$ зима'!an1771-'[2]$ зима'!am1771-'[2]$ зима'!al1771-'[2]$ зима'!ak1771-'[2]$ зима'!aj1771-'[2]$ зима'!ah1771-'[2]$ зима'!ag1771-'[2]$ зима'!af1771-'[2]$ зима'!ae1771-'[2]$ зима'!ad1771-'[2]$ зима'!ab1771-'[2]$ зима'!aa1771-'[2]$ зима'!z1771-'[2]$ зима'!y1771-'[2]$ зима'!x1771-'[2]$ зима'!v1771-'[2]$ зима'!u1771-'[2]$ зима'!t1771-'[2]$ зима'!s1771-'[2]$ зима'!r1771-'[2]$ зима'!p1771-'[2]$ зима'!o1771-'[2]$ зима'!n1771-'[2]$ зима'!m1771-'[2]$ зима'!l1771+'[2]$ зима'!q1771+'[2]$ зима'!w1771+'[2]$ зима'!ac1771+'[2]$ зима'!ai1771+'[2]$ зима'!ao1771+'[2]$ зима'!k1771</f>
        <v>4</v>
      </c>
      <c r="I1771" s="191" t="n">
        <f aca="false">'[2]$ зима'!ay1771*1.1</f>
        <v>2343</v>
      </c>
    </row>
    <row r="1772" customFormat="false" ht="15" hidden="true" customHeight="false" outlineLevel="0" collapsed="false">
      <c r="A1772" s="196" t="s">
        <v>327</v>
      </c>
      <c r="B1772" s="149" t="s">
        <v>606</v>
      </c>
      <c r="C1772" s="148" t="s">
        <v>3939</v>
      </c>
      <c r="D1772" s="202"/>
      <c r="E1772" s="202"/>
      <c r="F1772" s="202"/>
      <c r="G1772" s="203"/>
      <c r="H1772" s="105" t="n">
        <f aca="false">'[2]$ зима'!j1772-'[2]$ зима'!au1772-'[2]$ зима'!at1772-'[2]$ зима'!as1772-'[2]$ зима'!ar1772-'[2]$ зима'!aq1772-'[2]$ зима'!ap1772-'[2]$ зима'!an1772-'[2]$ зима'!am1772-'[2]$ зима'!al1772-'[2]$ зима'!ak1772-'[2]$ зима'!aj1772-'[2]$ зима'!ah1772-'[2]$ зима'!ag1772-'[2]$ зима'!af1772-'[2]$ зима'!ae1772-'[2]$ зима'!ad1772-'[2]$ зима'!ab1772-'[2]$ зима'!aa1772-'[2]$ зима'!z1772-'[2]$ зима'!y1772-'[2]$ зима'!x1772-'[2]$ зима'!v1772-'[2]$ зима'!u1772-'[2]$ зима'!t1772-'[2]$ зима'!s1772-'[2]$ зима'!r1772-'[2]$ зима'!p1772-'[2]$ зима'!o1772-'[2]$ зима'!n1772-'[2]$ зима'!m1772-'[2]$ зима'!l1772+'[2]$ зима'!q1772+'[2]$ зима'!w1772+'[2]$ зима'!ac1772+'[2]$ зима'!ai1772+'[2]$ зима'!ao1772+'[2]$ зима'!k1772</f>
        <v>0</v>
      </c>
      <c r="I1772" s="191" t="n">
        <f aca="false">'[2]$ зима'!ay1772*1.1</f>
        <v>2499.2</v>
      </c>
    </row>
    <row r="1773" customFormat="false" ht="15" hidden="false" customHeight="false" outlineLevel="0" collapsed="false">
      <c r="A1773" s="196" t="s">
        <v>327</v>
      </c>
      <c r="B1773" s="149" t="s">
        <v>666</v>
      </c>
      <c r="C1773" s="148" t="s">
        <v>3926</v>
      </c>
      <c r="D1773" s="202"/>
      <c r="E1773" s="211"/>
      <c r="F1773" s="211"/>
      <c r="G1773" s="203" t="s">
        <v>631</v>
      </c>
      <c r="H1773" s="105" t="n">
        <f aca="false">'[2]$ зима'!j1773-'[2]$ зима'!au1773-'[2]$ зима'!at1773-'[2]$ зима'!as1773-'[2]$ зима'!ar1773-'[2]$ зима'!aq1773-'[2]$ зима'!ap1773-'[2]$ зима'!an1773-'[2]$ зима'!am1773-'[2]$ зима'!al1773-'[2]$ зима'!ak1773-'[2]$ зима'!aj1773-'[2]$ зима'!ah1773-'[2]$ зима'!ag1773-'[2]$ зима'!af1773-'[2]$ зима'!ae1773-'[2]$ зима'!ad1773-'[2]$ зима'!ab1773-'[2]$ зима'!aa1773-'[2]$ зима'!z1773-'[2]$ зима'!y1773-'[2]$ зима'!x1773-'[2]$ зима'!v1773-'[2]$ зима'!u1773-'[2]$ зима'!t1773-'[2]$ зима'!s1773-'[2]$ зима'!r1773-'[2]$ зима'!p1773-'[2]$ зима'!o1773-'[2]$ зима'!n1773-'[2]$ зима'!m1773-'[2]$ зима'!l1773+'[2]$ зима'!q1773+'[2]$ зима'!w1773+'[2]$ зима'!ac1773+'[2]$ зима'!ai1773+'[2]$ зима'!ao1773+'[2]$ зима'!k1773</f>
        <v>2</v>
      </c>
      <c r="I1773" s="191" t="n">
        <f aca="false">'[2]$ зима'!ay1773*1.1</f>
        <v>2655.4</v>
      </c>
      <c r="J1773" s="171" t="n">
        <v>2016</v>
      </c>
    </row>
    <row r="1774" customFormat="false" ht="15" hidden="true" customHeight="false" outlineLevel="0" collapsed="false">
      <c r="A1774" s="196" t="s">
        <v>327</v>
      </c>
      <c r="B1774" s="149" t="s">
        <v>572</v>
      </c>
      <c r="C1774" s="148" t="s">
        <v>3976</v>
      </c>
      <c r="D1774" s="202"/>
      <c r="E1774" s="202"/>
      <c r="F1774" s="202"/>
      <c r="G1774" s="203"/>
      <c r="H1774" s="105" t="n">
        <f aca="false">'[2]$ зима'!j1774-'[2]$ зима'!au1774-'[2]$ зима'!at1774-'[2]$ зима'!as1774-'[2]$ зима'!ar1774-'[2]$ зима'!aq1774-'[2]$ зима'!ap1774-'[2]$ зима'!an1774-'[2]$ зима'!am1774-'[2]$ зима'!al1774-'[2]$ зима'!ak1774-'[2]$ зима'!aj1774-'[2]$ зима'!ah1774-'[2]$ зима'!ag1774-'[2]$ зима'!af1774-'[2]$ зима'!ae1774-'[2]$ зима'!ad1774-'[2]$ зима'!ab1774-'[2]$ зима'!aa1774-'[2]$ зима'!z1774-'[2]$ зима'!y1774-'[2]$ зима'!x1774-'[2]$ зима'!v1774-'[2]$ зима'!u1774-'[2]$ зима'!t1774-'[2]$ зима'!s1774-'[2]$ зима'!r1774-'[2]$ зима'!p1774-'[2]$ зима'!o1774-'[2]$ зима'!n1774-'[2]$ зима'!m1774-'[2]$ зима'!l1774+'[2]$ зима'!q1774+'[2]$ зима'!w1774+'[2]$ зима'!ac1774+'[2]$ зима'!ai1774+'[2]$ зима'!ao1774+'[2]$ зима'!k1774</f>
        <v>0</v>
      </c>
      <c r="I1774" s="191" t="n">
        <f aca="false">'[2]$ зима'!ay1774*1.1</f>
        <v>1999.36</v>
      </c>
    </row>
    <row r="1775" customFormat="false" ht="15" hidden="false" customHeight="false" outlineLevel="0" collapsed="false">
      <c r="A1775" s="196" t="s">
        <v>327</v>
      </c>
      <c r="B1775" s="149" t="s">
        <v>574</v>
      </c>
      <c r="C1775" s="148" t="s">
        <v>3894</v>
      </c>
      <c r="D1775" s="148"/>
      <c r="E1775" s="192"/>
      <c r="F1775" s="192"/>
      <c r="G1775" s="193" t="s">
        <v>576</v>
      </c>
      <c r="H1775" s="105" t="n">
        <f aca="false">'[2]$ зима'!j1775-'[2]$ зима'!au1775-'[2]$ зима'!at1775-'[2]$ зима'!as1775-'[2]$ зима'!ar1775-'[2]$ зима'!aq1775-'[2]$ зима'!ap1775-'[2]$ зима'!an1775-'[2]$ зима'!am1775-'[2]$ зима'!al1775-'[2]$ зима'!ak1775-'[2]$ зима'!aj1775-'[2]$ зима'!ah1775-'[2]$ зима'!ag1775-'[2]$ зима'!af1775-'[2]$ зима'!ae1775-'[2]$ зима'!ad1775-'[2]$ зима'!ab1775-'[2]$ зима'!aa1775-'[2]$ зима'!z1775-'[2]$ зима'!y1775-'[2]$ зима'!x1775-'[2]$ зима'!v1775-'[2]$ зима'!u1775-'[2]$ зима'!t1775-'[2]$ зима'!s1775-'[2]$ зима'!r1775-'[2]$ зима'!p1775-'[2]$ зима'!o1775-'[2]$ зима'!n1775-'[2]$ зима'!m1775-'[2]$ зима'!l1775+'[2]$ зима'!q1775+'[2]$ зима'!w1775+'[2]$ зима'!ac1775+'[2]$ зима'!ai1775+'[2]$ зима'!ao1775+'[2]$ зима'!k1775</f>
        <v>8</v>
      </c>
      <c r="I1775" s="191" t="n">
        <f aca="false">'[2]$ зима'!ay1775*1.1</f>
        <v>2561.68</v>
      </c>
    </row>
    <row r="1776" customFormat="false" ht="15" hidden="false" customHeight="false" outlineLevel="0" collapsed="false">
      <c r="A1776" s="196" t="s">
        <v>327</v>
      </c>
      <c r="B1776" s="149" t="s">
        <v>574</v>
      </c>
      <c r="C1776" s="148" t="s">
        <v>3910</v>
      </c>
      <c r="D1776" s="148"/>
      <c r="E1776" s="192" t="s">
        <v>3977</v>
      </c>
      <c r="F1776" s="192"/>
      <c r="G1776" s="193" t="s">
        <v>576</v>
      </c>
      <c r="H1776" s="105" t="n">
        <f aca="false">'[2]$ зима'!j1776-'[2]$ зима'!au1776-'[2]$ зима'!at1776-'[2]$ зима'!as1776-'[2]$ зима'!ar1776-'[2]$ зима'!aq1776-'[2]$ зима'!ap1776-'[2]$ зима'!an1776-'[2]$ зима'!am1776-'[2]$ зима'!al1776-'[2]$ зима'!ak1776-'[2]$ зима'!aj1776-'[2]$ зима'!ah1776-'[2]$ зима'!ag1776-'[2]$ зима'!af1776-'[2]$ зима'!ae1776-'[2]$ зима'!ad1776-'[2]$ зима'!ab1776-'[2]$ зима'!aa1776-'[2]$ зима'!z1776-'[2]$ зима'!y1776-'[2]$ зима'!x1776-'[2]$ зима'!v1776-'[2]$ зима'!u1776-'[2]$ зима'!t1776-'[2]$ зима'!s1776-'[2]$ зима'!r1776-'[2]$ зима'!p1776-'[2]$ зима'!o1776-'[2]$ зима'!n1776-'[2]$ зима'!m1776-'[2]$ зима'!l1776+'[2]$ зима'!q1776+'[2]$ зима'!w1776+'[2]$ зима'!ac1776+'[2]$ зима'!ai1776+'[2]$ зима'!ao1776+'[2]$ зима'!k1776</f>
        <v>8</v>
      </c>
      <c r="I1776" s="191" t="n">
        <f aca="false">'[2]$ зима'!ay1776*1.1</f>
        <v>2655.4</v>
      </c>
    </row>
    <row r="1777" customFormat="false" ht="15" hidden="false" customHeight="false" outlineLevel="0" collapsed="false">
      <c r="A1777" s="196" t="s">
        <v>327</v>
      </c>
      <c r="B1777" s="149" t="s">
        <v>583</v>
      </c>
      <c r="C1777" s="148" t="s">
        <v>3897</v>
      </c>
      <c r="D1777" s="202"/>
      <c r="E1777" s="211"/>
      <c r="F1777" s="211"/>
      <c r="G1777" s="203"/>
      <c r="H1777" s="105" t="n">
        <f aca="false">'[2]$ зима'!j1777-'[2]$ зима'!au1777-'[2]$ зима'!at1777-'[2]$ зима'!as1777-'[2]$ зима'!ar1777-'[2]$ зима'!aq1777-'[2]$ зима'!ap1777-'[2]$ зима'!an1777-'[2]$ зима'!am1777-'[2]$ зима'!al1777-'[2]$ зима'!ak1777-'[2]$ зима'!aj1777-'[2]$ зима'!ah1777-'[2]$ зима'!ag1777-'[2]$ зима'!af1777-'[2]$ зима'!ae1777-'[2]$ зима'!ad1777-'[2]$ зима'!ab1777-'[2]$ зима'!aa1777-'[2]$ зима'!z1777-'[2]$ зима'!y1777-'[2]$ зима'!x1777-'[2]$ зима'!v1777-'[2]$ зима'!u1777-'[2]$ зима'!t1777-'[2]$ зима'!s1777-'[2]$ зима'!r1777-'[2]$ зима'!p1777-'[2]$ зима'!o1777-'[2]$ зима'!n1777-'[2]$ зима'!m1777-'[2]$ зима'!l1777+'[2]$ зима'!q1777+'[2]$ зима'!w1777+'[2]$ зима'!ac1777+'[2]$ зима'!ai1777+'[2]$ зима'!ao1777+'[2]$ зима'!k1777</f>
        <v>14</v>
      </c>
      <c r="I1777" s="191" t="n">
        <f aca="false">'[2]$ зима'!ay1777*1.1</f>
        <v>2124.32</v>
      </c>
    </row>
    <row r="1778" customFormat="false" ht="15" hidden="true" customHeight="false" outlineLevel="0" collapsed="false">
      <c r="A1778" s="196" t="s">
        <v>327</v>
      </c>
      <c r="B1778" s="149" t="s">
        <v>613</v>
      </c>
      <c r="C1778" s="148" t="s">
        <v>3978</v>
      </c>
      <c r="D1778" s="202"/>
      <c r="E1778" s="202"/>
      <c r="F1778" s="202"/>
      <c r="G1778" s="203"/>
      <c r="H1778" s="105" t="n">
        <f aca="false">'[2]$ зима'!j1778-'[2]$ зима'!au1778-'[2]$ зима'!at1778-'[2]$ зима'!as1778-'[2]$ зима'!ar1778-'[2]$ зима'!aq1778-'[2]$ зима'!ap1778-'[2]$ зима'!an1778-'[2]$ зима'!am1778-'[2]$ зима'!al1778-'[2]$ зима'!ak1778-'[2]$ зима'!aj1778-'[2]$ зима'!ah1778-'[2]$ зима'!ag1778-'[2]$ зима'!af1778-'[2]$ зима'!ae1778-'[2]$ зима'!ad1778-'[2]$ зима'!ab1778-'[2]$ зима'!aa1778-'[2]$ зима'!z1778-'[2]$ зима'!y1778-'[2]$ зима'!x1778-'[2]$ зима'!v1778-'[2]$ зима'!u1778-'[2]$ зима'!t1778-'[2]$ зима'!s1778-'[2]$ зима'!r1778-'[2]$ зима'!p1778-'[2]$ зима'!o1778-'[2]$ зима'!n1778-'[2]$ зима'!m1778-'[2]$ зима'!l1778+'[2]$ зима'!q1778+'[2]$ зима'!w1778+'[2]$ зима'!ac1778+'[2]$ зима'!ai1778+'[2]$ зима'!ao1778+'[2]$ зима'!k1778</f>
        <v>0</v>
      </c>
      <c r="I1778" s="191" t="n">
        <f aca="false">'[2]$ зима'!ay1778*1.1</f>
        <v>1874.4</v>
      </c>
    </row>
    <row r="1779" customFormat="false" ht="15" hidden="false" customHeight="false" outlineLevel="0" collapsed="false">
      <c r="A1779" s="196" t="s">
        <v>327</v>
      </c>
      <c r="B1779" s="149" t="s">
        <v>593</v>
      </c>
      <c r="C1779" s="148" t="s">
        <v>3930</v>
      </c>
      <c r="D1779" s="202"/>
      <c r="E1779" s="211"/>
      <c r="F1779" s="211"/>
      <c r="G1779" s="203" t="s">
        <v>933</v>
      </c>
      <c r="H1779" s="105" t="n">
        <f aca="false">'[2]$ зима'!j1779-'[2]$ зима'!au1779-'[2]$ зима'!at1779-'[2]$ зима'!as1779-'[2]$ зима'!ar1779-'[2]$ зима'!aq1779-'[2]$ зима'!ap1779-'[2]$ зима'!an1779-'[2]$ зима'!am1779-'[2]$ зима'!al1779-'[2]$ зима'!ak1779-'[2]$ зима'!aj1779-'[2]$ зима'!ah1779-'[2]$ зима'!ag1779-'[2]$ зима'!af1779-'[2]$ зима'!ae1779-'[2]$ зима'!ad1779-'[2]$ зима'!ab1779-'[2]$ зима'!aa1779-'[2]$ зима'!z1779-'[2]$ зима'!y1779-'[2]$ зима'!x1779-'[2]$ зима'!v1779-'[2]$ зима'!u1779-'[2]$ зима'!t1779-'[2]$ зима'!s1779-'[2]$ зима'!r1779-'[2]$ зима'!p1779-'[2]$ зима'!o1779-'[2]$ зима'!n1779-'[2]$ зима'!m1779-'[2]$ зима'!l1779+'[2]$ зима'!q1779+'[2]$ зима'!w1779+'[2]$ зима'!ac1779+'[2]$ зима'!ai1779+'[2]$ зима'!ao1779+'[2]$ зима'!k1779</f>
        <v>6</v>
      </c>
      <c r="I1779" s="191" t="n">
        <f aca="false">'[2]$ зима'!ay1779*1.1</f>
        <v>3311.44</v>
      </c>
    </row>
    <row r="1780" customFormat="false" ht="15" hidden="true" customHeight="false" outlineLevel="0" collapsed="false">
      <c r="A1780" s="188" t="s">
        <v>330</v>
      </c>
      <c r="B1780" s="149" t="s">
        <v>741</v>
      </c>
      <c r="C1780" s="148" t="s">
        <v>3890</v>
      </c>
      <c r="D1780" s="202"/>
      <c r="E1780" s="202"/>
      <c r="F1780" s="202"/>
      <c r="G1780" s="203"/>
      <c r="H1780" s="105" t="n">
        <f aca="false">'[2]$ зима'!j1780-'[2]$ зима'!au1780-'[2]$ зима'!at1780-'[2]$ зима'!as1780-'[2]$ зима'!ar1780-'[2]$ зима'!aq1780-'[2]$ зима'!ap1780-'[2]$ зима'!an1780-'[2]$ зима'!am1780-'[2]$ зима'!al1780-'[2]$ зима'!ak1780-'[2]$ зима'!aj1780-'[2]$ зима'!ah1780-'[2]$ зима'!ag1780-'[2]$ зима'!af1780-'[2]$ зима'!ae1780-'[2]$ зима'!ad1780-'[2]$ зима'!ab1780-'[2]$ зима'!aa1780-'[2]$ зима'!z1780-'[2]$ зима'!y1780-'[2]$ зима'!x1780-'[2]$ зима'!v1780-'[2]$ зима'!u1780-'[2]$ зима'!t1780-'[2]$ зима'!s1780-'[2]$ зима'!r1780-'[2]$ зима'!p1780-'[2]$ зима'!o1780-'[2]$ зима'!n1780-'[2]$ зима'!m1780-'[2]$ зима'!l1780+'[2]$ зима'!q1780+'[2]$ зима'!w1780+'[2]$ зима'!ac1780+'[2]$ зима'!ai1780+'[2]$ зима'!ao1780+'[2]$ зима'!k1780</f>
        <v>0</v>
      </c>
      <c r="I1780" s="191" t="n">
        <f aca="false">'[2]$ зима'!ay1780*1.1</f>
        <v>2561.68</v>
      </c>
    </row>
    <row r="1781" customFormat="false" ht="15" hidden="true" customHeight="false" outlineLevel="0" collapsed="false">
      <c r="A1781" s="188" t="s">
        <v>330</v>
      </c>
      <c r="B1781" s="149" t="s">
        <v>606</v>
      </c>
      <c r="C1781" s="148" t="s">
        <v>3939</v>
      </c>
      <c r="D1781" s="202"/>
      <c r="E1781" s="202"/>
      <c r="F1781" s="202"/>
      <c r="G1781" s="203"/>
      <c r="H1781" s="105" t="n">
        <f aca="false">'[2]$ зима'!j1781-'[2]$ зима'!au1781-'[2]$ зима'!at1781-'[2]$ зима'!as1781-'[2]$ зима'!ar1781-'[2]$ зима'!aq1781-'[2]$ зима'!ap1781-'[2]$ зима'!an1781-'[2]$ зима'!am1781-'[2]$ зима'!al1781-'[2]$ зима'!ak1781-'[2]$ зима'!aj1781-'[2]$ зима'!ah1781-'[2]$ зима'!ag1781-'[2]$ зима'!af1781-'[2]$ зима'!ae1781-'[2]$ зима'!ad1781-'[2]$ зима'!ab1781-'[2]$ зима'!aa1781-'[2]$ зима'!z1781-'[2]$ зима'!y1781-'[2]$ зима'!x1781-'[2]$ зима'!v1781-'[2]$ зима'!u1781-'[2]$ зима'!t1781-'[2]$ зима'!s1781-'[2]$ зима'!r1781-'[2]$ зима'!p1781-'[2]$ зима'!o1781-'[2]$ зима'!n1781-'[2]$ зима'!m1781-'[2]$ зима'!l1781+'[2]$ зима'!q1781+'[2]$ зима'!w1781+'[2]$ зима'!ac1781+'[2]$ зима'!ai1781+'[2]$ зима'!ao1781+'[2]$ зима'!k1781</f>
        <v>0</v>
      </c>
      <c r="I1781" s="191" t="n">
        <f aca="false">'[2]$ зима'!ay1781*1.1</f>
        <v>2592.92</v>
      </c>
      <c r="J1781" s="171" t="n">
        <v>2017</v>
      </c>
    </row>
    <row r="1782" customFormat="false" ht="15" hidden="true" customHeight="false" outlineLevel="0" collapsed="false">
      <c r="A1782" s="188" t="s">
        <v>330</v>
      </c>
      <c r="B1782" s="149" t="s">
        <v>666</v>
      </c>
      <c r="C1782" s="148" t="s">
        <v>3926</v>
      </c>
      <c r="D1782" s="202"/>
      <c r="E1782" s="202"/>
      <c r="F1782" s="202"/>
      <c r="G1782" s="203" t="s">
        <v>1240</v>
      </c>
      <c r="H1782" s="105" t="n">
        <f aca="false">'[2]$ зима'!j1782-'[2]$ зима'!au1782-'[2]$ зима'!at1782-'[2]$ зима'!as1782-'[2]$ зима'!ar1782-'[2]$ зима'!aq1782-'[2]$ зима'!ap1782-'[2]$ зима'!an1782-'[2]$ зима'!am1782-'[2]$ зима'!al1782-'[2]$ зима'!ak1782-'[2]$ зима'!aj1782-'[2]$ зима'!ah1782-'[2]$ зима'!ag1782-'[2]$ зима'!af1782-'[2]$ зима'!ae1782-'[2]$ зима'!ad1782-'[2]$ зима'!ab1782-'[2]$ зима'!aa1782-'[2]$ зима'!z1782-'[2]$ зима'!y1782-'[2]$ зима'!x1782-'[2]$ зима'!v1782-'[2]$ зима'!u1782-'[2]$ зима'!t1782-'[2]$ зима'!s1782-'[2]$ зима'!r1782-'[2]$ зима'!p1782-'[2]$ зима'!o1782-'[2]$ зима'!n1782-'[2]$ зима'!m1782-'[2]$ зима'!l1782+'[2]$ зима'!q1782+'[2]$ зима'!w1782+'[2]$ зима'!ac1782+'[2]$ зима'!ai1782+'[2]$ зима'!ao1782+'[2]$ зима'!k1782</f>
        <v>0</v>
      </c>
      <c r="I1782" s="191" t="n">
        <f aca="false">'[2]$ зима'!ay1782*1.1</f>
        <v>2499.2</v>
      </c>
    </row>
    <row r="1783" customFormat="false" ht="15" hidden="true" customHeight="false" outlineLevel="0" collapsed="false">
      <c r="A1783" s="188" t="s">
        <v>330</v>
      </c>
      <c r="B1783" s="149" t="s">
        <v>574</v>
      </c>
      <c r="C1783" s="148" t="s">
        <v>3972</v>
      </c>
      <c r="D1783" s="148"/>
      <c r="E1783" s="148"/>
      <c r="F1783" s="148"/>
      <c r="G1783" s="193" t="s">
        <v>576</v>
      </c>
      <c r="H1783" s="105" t="n">
        <f aca="false">'[2]$ зима'!j1783-'[2]$ зима'!au1783-'[2]$ зима'!at1783-'[2]$ зима'!as1783-'[2]$ зима'!ar1783-'[2]$ зима'!aq1783-'[2]$ зима'!ap1783-'[2]$ зима'!an1783-'[2]$ зима'!am1783-'[2]$ зима'!al1783-'[2]$ зима'!ak1783-'[2]$ зима'!aj1783-'[2]$ зима'!ah1783-'[2]$ зима'!ag1783-'[2]$ зима'!af1783-'[2]$ зима'!ae1783-'[2]$ зима'!ad1783-'[2]$ зима'!ab1783-'[2]$ зима'!aa1783-'[2]$ зима'!z1783-'[2]$ зима'!y1783-'[2]$ зима'!x1783-'[2]$ зима'!v1783-'[2]$ зима'!u1783-'[2]$ зима'!t1783-'[2]$ зима'!s1783-'[2]$ зима'!r1783-'[2]$ зима'!p1783-'[2]$ зима'!o1783-'[2]$ зима'!n1783-'[2]$ зима'!m1783-'[2]$ зима'!l1783+'[2]$ зима'!q1783+'[2]$ зима'!w1783+'[2]$ зима'!ac1783+'[2]$ зима'!ai1783+'[2]$ зима'!ao1783+'[2]$ зима'!k1783</f>
        <v>0</v>
      </c>
      <c r="I1783" s="191" t="n">
        <f aca="false">'[2]$ зима'!ay1783*1.1</f>
        <v>2499.2</v>
      </c>
    </row>
    <row r="1784" customFormat="false" ht="15" hidden="false" customHeight="false" outlineLevel="0" collapsed="false">
      <c r="A1784" s="188" t="s">
        <v>330</v>
      </c>
      <c r="B1784" s="149" t="s">
        <v>574</v>
      </c>
      <c r="C1784" s="148" t="s">
        <v>3910</v>
      </c>
      <c r="D1784" s="148"/>
      <c r="E1784" s="192" t="s">
        <v>3945</v>
      </c>
      <c r="F1784" s="192"/>
      <c r="G1784" s="193" t="s">
        <v>576</v>
      </c>
      <c r="H1784" s="105" t="n">
        <f aca="false">'[2]$ зима'!j1784-'[2]$ зима'!au1784-'[2]$ зима'!at1784-'[2]$ зима'!as1784-'[2]$ зима'!ar1784-'[2]$ зима'!aq1784-'[2]$ зима'!ap1784-'[2]$ зима'!an1784-'[2]$ зима'!am1784-'[2]$ зима'!al1784-'[2]$ зима'!ak1784-'[2]$ зима'!aj1784-'[2]$ зима'!ah1784-'[2]$ зима'!ag1784-'[2]$ зима'!af1784-'[2]$ зима'!ae1784-'[2]$ зима'!ad1784-'[2]$ зима'!ab1784-'[2]$ зима'!aa1784-'[2]$ зима'!z1784-'[2]$ зима'!y1784-'[2]$ зима'!x1784-'[2]$ зима'!v1784-'[2]$ зима'!u1784-'[2]$ зима'!t1784-'[2]$ зима'!s1784-'[2]$ зима'!r1784-'[2]$ зима'!p1784-'[2]$ зима'!o1784-'[2]$ зима'!n1784-'[2]$ зима'!m1784-'[2]$ зима'!l1784+'[2]$ зима'!q1784+'[2]$ зима'!w1784+'[2]$ зима'!ac1784+'[2]$ зима'!ai1784+'[2]$ зима'!ao1784+'[2]$ зима'!k1784</f>
        <v>8</v>
      </c>
      <c r="I1784" s="191" t="n">
        <f aca="false">'[2]$ зима'!ay1784*1.1</f>
        <v>2655.4</v>
      </c>
    </row>
    <row r="1785" customFormat="false" ht="15" hidden="false" customHeight="false" outlineLevel="0" collapsed="false">
      <c r="A1785" s="188" t="s">
        <v>330</v>
      </c>
      <c r="B1785" s="149" t="s">
        <v>577</v>
      </c>
      <c r="C1785" s="148" t="s">
        <v>3896</v>
      </c>
      <c r="D1785" s="148"/>
      <c r="E1785" s="192"/>
      <c r="F1785" s="192"/>
      <c r="G1785" s="193" t="s">
        <v>563</v>
      </c>
      <c r="H1785" s="105" t="n">
        <f aca="false">'[2]$ зима'!j1785-'[2]$ зима'!au1785-'[2]$ зима'!at1785-'[2]$ зима'!as1785-'[2]$ зима'!ar1785-'[2]$ зима'!aq1785-'[2]$ зима'!ap1785-'[2]$ зима'!an1785-'[2]$ зима'!am1785-'[2]$ зима'!al1785-'[2]$ зима'!ak1785-'[2]$ зима'!aj1785-'[2]$ зима'!ah1785-'[2]$ зима'!ag1785-'[2]$ зима'!af1785-'[2]$ зима'!ae1785-'[2]$ зима'!ad1785-'[2]$ зима'!ab1785-'[2]$ зима'!aa1785-'[2]$ зима'!z1785-'[2]$ зима'!y1785-'[2]$ зима'!x1785-'[2]$ зима'!v1785-'[2]$ зима'!u1785-'[2]$ зима'!t1785-'[2]$ зима'!s1785-'[2]$ зима'!r1785-'[2]$ зима'!p1785-'[2]$ зима'!o1785-'[2]$ зима'!n1785-'[2]$ зима'!m1785-'[2]$ зима'!l1785+'[2]$ зима'!q1785+'[2]$ зима'!w1785+'[2]$ зима'!ac1785+'[2]$ зима'!ai1785+'[2]$ зима'!ao1785+'[2]$ зима'!k1785</f>
        <v>8</v>
      </c>
      <c r="I1785" s="191" t="n">
        <f aca="false">'[2]$ зима'!ay1785*1.1</f>
        <v>2249.28</v>
      </c>
    </row>
    <row r="1786" customFormat="false" ht="15" hidden="false" customHeight="false" outlineLevel="0" collapsed="false">
      <c r="A1786" s="188" t="s">
        <v>330</v>
      </c>
      <c r="B1786" s="149" t="s">
        <v>583</v>
      </c>
      <c r="C1786" s="148" t="s">
        <v>3897</v>
      </c>
      <c r="D1786" s="202"/>
      <c r="E1786" s="211"/>
      <c r="F1786" s="211"/>
      <c r="G1786" s="203"/>
      <c r="H1786" s="105" t="n">
        <f aca="false">'[2]$ зима'!j1786-'[2]$ зима'!au1786-'[2]$ зима'!at1786-'[2]$ зима'!as1786-'[2]$ зима'!ar1786-'[2]$ зима'!aq1786-'[2]$ зима'!ap1786-'[2]$ зима'!an1786-'[2]$ зима'!am1786-'[2]$ зима'!al1786-'[2]$ зима'!ak1786-'[2]$ зима'!aj1786-'[2]$ зима'!ah1786-'[2]$ зима'!ag1786-'[2]$ зима'!af1786-'[2]$ зима'!ae1786-'[2]$ зима'!ad1786-'[2]$ зима'!ab1786-'[2]$ зима'!aa1786-'[2]$ зима'!z1786-'[2]$ зима'!y1786-'[2]$ зима'!x1786-'[2]$ зима'!v1786-'[2]$ зима'!u1786-'[2]$ зима'!t1786-'[2]$ зима'!s1786-'[2]$ зима'!r1786-'[2]$ зима'!p1786-'[2]$ зима'!o1786-'[2]$ зима'!n1786-'[2]$ зима'!m1786-'[2]$ зима'!l1786+'[2]$ зима'!q1786+'[2]$ зима'!w1786+'[2]$ зима'!ac1786+'[2]$ зима'!ai1786+'[2]$ зима'!ao1786+'[2]$ зима'!k1786</f>
        <v>10</v>
      </c>
      <c r="I1786" s="191" t="n">
        <f aca="false">'[2]$ зима'!ay1786*1.1</f>
        <v>2280.52</v>
      </c>
      <c r="J1786" s="171" t="s">
        <v>3979</v>
      </c>
    </row>
    <row r="1787" customFormat="false" ht="15" hidden="false" customHeight="false" outlineLevel="0" collapsed="false">
      <c r="A1787" s="188" t="s">
        <v>330</v>
      </c>
      <c r="B1787" s="149" t="s">
        <v>613</v>
      </c>
      <c r="C1787" s="148" t="s">
        <v>3980</v>
      </c>
      <c r="D1787" s="202"/>
      <c r="E1787" s="192" t="s">
        <v>3945</v>
      </c>
      <c r="F1787" s="211"/>
      <c r="G1787" s="203"/>
      <c r="H1787" s="105" t="n">
        <f aca="false">'[2]$ зима'!j1787-'[2]$ зима'!au1787-'[2]$ зима'!at1787-'[2]$ зима'!as1787-'[2]$ зима'!ar1787-'[2]$ зима'!aq1787-'[2]$ зима'!ap1787-'[2]$ зима'!an1787-'[2]$ зима'!am1787-'[2]$ зима'!al1787-'[2]$ зима'!ak1787-'[2]$ зима'!aj1787-'[2]$ зима'!ah1787-'[2]$ зима'!ag1787-'[2]$ зима'!af1787-'[2]$ зима'!ae1787-'[2]$ зима'!ad1787-'[2]$ зима'!ab1787-'[2]$ зима'!aa1787-'[2]$ зима'!z1787-'[2]$ зима'!y1787-'[2]$ зима'!x1787-'[2]$ зима'!v1787-'[2]$ зима'!u1787-'[2]$ зима'!t1787-'[2]$ зима'!s1787-'[2]$ зима'!r1787-'[2]$ зима'!p1787-'[2]$ зима'!o1787-'[2]$ зима'!n1787-'[2]$ зима'!m1787-'[2]$ зима'!l1787+'[2]$ зима'!q1787+'[2]$ зима'!w1787+'[2]$ зима'!ac1787+'[2]$ зима'!ai1787+'[2]$ зима'!ao1787+'[2]$ зима'!k1787</f>
        <v>4</v>
      </c>
      <c r="I1787" s="191" t="n">
        <f aca="false">'[2]$ зима'!ay1787*1.1</f>
        <v>2343</v>
      </c>
    </row>
    <row r="1788" customFormat="false" ht="15" hidden="true" customHeight="false" outlineLevel="0" collapsed="false">
      <c r="A1788" s="188" t="s">
        <v>330</v>
      </c>
      <c r="B1788" s="149" t="s">
        <v>593</v>
      </c>
      <c r="C1788" s="148" t="s">
        <v>3962</v>
      </c>
      <c r="D1788" s="202"/>
      <c r="E1788" s="202"/>
      <c r="F1788" s="202"/>
      <c r="G1788" s="203"/>
      <c r="H1788" s="105" t="n">
        <f aca="false">'[2]$ зима'!j1788-'[2]$ зима'!au1788-'[2]$ зима'!at1788-'[2]$ зима'!as1788-'[2]$ зима'!ar1788-'[2]$ зима'!aq1788-'[2]$ зима'!ap1788-'[2]$ зима'!an1788-'[2]$ зима'!am1788-'[2]$ зима'!al1788-'[2]$ зима'!ak1788-'[2]$ зима'!aj1788-'[2]$ зима'!ah1788-'[2]$ зима'!ag1788-'[2]$ зима'!af1788-'[2]$ зима'!ae1788-'[2]$ зима'!ad1788-'[2]$ зима'!ab1788-'[2]$ зима'!aa1788-'[2]$ зима'!z1788-'[2]$ зима'!y1788-'[2]$ зима'!x1788-'[2]$ зима'!v1788-'[2]$ зима'!u1788-'[2]$ зима'!t1788-'[2]$ зима'!s1788-'[2]$ зима'!r1788-'[2]$ зима'!p1788-'[2]$ зима'!o1788-'[2]$ зима'!n1788-'[2]$ зима'!m1788-'[2]$ зима'!l1788+'[2]$ зима'!q1788+'[2]$ зима'!w1788+'[2]$ зима'!ac1788+'[2]$ зима'!ai1788+'[2]$ зима'!ao1788+'[2]$ зима'!k1788</f>
        <v>0</v>
      </c>
      <c r="I1788" s="191" t="n">
        <f aca="false">'[2]$ зима'!ay1788*1.1</f>
        <v>3998.72</v>
      </c>
    </row>
    <row r="1789" customFormat="false" ht="15" hidden="false" customHeight="false" outlineLevel="0" collapsed="false">
      <c r="A1789" s="188" t="s">
        <v>330</v>
      </c>
      <c r="B1789" s="149" t="s">
        <v>586</v>
      </c>
      <c r="C1789" s="148" t="s">
        <v>3931</v>
      </c>
      <c r="D1789" s="202"/>
      <c r="E1789" s="211"/>
      <c r="F1789" s="211"/>
      <c r="G1789" s="203"/>
      <c r="H1789" s="105" t="n">
        <f aca="false">'[2]$ зима'!j1789-'[2]$ зима'!au1789-'[2]$ зима'!at1789-'[2]$ зима'!as1789-'[2]$ зима'!ar1789-'[2]$ зима'!aq1789-'[2]$ зима'!ap1789-'[2]$ зима'!an1789-'[2]$ зима'!am1789-'[2]$ зима'!al1789-'[2]$ зима'!ak1789-'[2]$ зима'!aj1789-'[2]$ зима'!ah1789-'[2]$ зима'!ag1789-'[2]$ зима'!af1789-'[2]$ зима'!ae1789-'[2]$ зима'!ad1789-'[2]$ зима'!ab1789-'[2]$ зима'!aa1789-'[2]$ зима'!z1789-'[2]$ зима'!y1789-'[2]$ зима'!x1789-'[2]$ зима'!v1789-'[2]$ зима'!u1789-'[2]$ зима'!t1789-'[2]$ зима'!s1789-'[2]$ зима'!r1789-'[2]$ зима'!p1789-'[2]$ зима'!o1789-'[2]$ зима'!n1789-'[2]$ зима'!m1789-'[2]$ зима'!l1789+'[2]$ зима'!q1789+'[2]$ зима'!w1789+'[2]$ зима'!ac1789+'[2]$ зима'!ai1789+'[2]$ зима'!ao1789+'[2]$ зима'!k1789</f>
        <v>2</v>
      </c>
      <c r="I1789" s="191" t="n">
        <f aca="false">'[2]$ зима'!ay1789*1.1</f>
        <v>1718.2</v>
      </c>
      <c r="J1789" s="171" t="n">
        <v>2017</v>
      </c>
    </row>
    <row r="1790" customFormat="false" ht="15" hidden="false" customHeight="false" outlineLevel="0" collapsed="false">
      <c r="A1790" s="188" t="s">
        <v>330</v>
      </c>
      <c r="B1790" s="149" t="s">
        <v>1149</v>
      </c>
      <c r="C1790" s="148" t="s">
        <v>3933</v>
      </c>
      <c r="D1790" s="202"/>
      <c r="E1790" s="211"/>
      <c r="F1790" s="211"/>
      <c r="G1790" s="203"/>
      <c r="H1790" s="105" t="n">
        <f aca="false">'[2]$ зима'!j1790-'[2]$ зима'!au1790-'[2]$ зима'!at1790-'[2]$ зима'!as1790-'[2]$ зима'!ar1790-'[2]$ зима'!aq1790-'[2]$ зима'!ap1790-'[2]$ зима'!an1790-'[2]$ зима'!am1790-'[2]$ зима'!al1790-'[2]$ зима'!ak1790-'[2]$ зима'!aj1790-'[2]$ зима'!ah1790-'[2]$ зима'!ag1790-'[2]$ зима'!af1790-'[2]$ зима'!ae1790-'[2]$ зима'!ad1790-'[2]$ зима'!ab1790-'[2]$ зима'!aa1790-'[2]$ зима'!z1790-'[2]$ зима'!y1790-'[2]$ зима'!x1790-'[2]$ зима'!v1790-'[2]$ зима'!u1790-'[2]$ зима'!t1790-'[2]$ зима'!s1790-'[2]$ зима'!r1790-'[2]$ зима'!p1790-'[2]$ зима'!o1790-'[2]$ зима'!n1790-'[2]$ зима'!m1790-'[2]$ зима'!l1790+'[2]$ зима'!q1790+'[2]$ зима'!w1790+'[2]$ зима'!ac1790+'[2]$ зима'!ai1790+'[2]$ зима'!ao1790+'[2]$ зима'!k1790</f>
        <v>2</v>
      </c>
      <c r="I1790" s="191" t="n">
        <f aca="false">'[2]$ зима'!ay1790*1.1</f>
        <v>2343</v>
      </c>
    </row>
    <row r="1791" customFormat="false" ht="15" hidden="false" customHeight="false" outlineLevel="0" collapsed="false">
      <c r="A1791" s="188" t="s">
        <v>330</v>
      </c>
      <c r="B1791" s="149" t="s">
        <v>623</v>
      </c>
      <c r="C1791" s="148" t="s">
        <v>3958</v>
      </c>
      <c r="D1791" s="202"/>
      <c r="E1791" s="211"/>
      <c r="F1791" s="211"/>
      <c r="G1791" s="203"/>
      <c r="H1791" s="105" t="n">
        <f aca="false">'[2]$ зима'!j1791-'[2]$ зима'!au1791-'[2]$ зима'!at1791-'[2]$ зима'!as1791-'[2]$ зима'!ar1791-'[2]$ зима'!aq1791-'[2]$ зима'!ap1791-'[2]$ зима'!an1791-'[2]$ зима'!am1791-'[2]$ зима'!al1791-'[2]$ зима'!ak1791-'[2]$ зима'!aj1791-'[2]$ зима'!ah1791-'[2]$ зима'!ag1791-'[2]$ зима'!af1791-'[2]$ зима'!ae1791-'[2]$ зима'!ad1791-'[2]$ зима'!ab1791-'[2]$ зима'!aa1791-'[2]$ зима'!z1791-'[2]$ зима'!y1791-'[2]$ зима'!x1791-'[2]$ зима'!v1791-'[2]$ зима'!u1791-'[2]$ зима'!t1791-'[2]$ зима'!s1791-'[2]$ зима'!r1791-'[2]$ зима'!p1791-'[2]$ зима'!o1791-'[2]$ зима'!n1791-'[2]$ зима'!m1791-'[2]$ зима'!l1791+'[2]$ зима'!q1791+'[2]$ зима'!w1791+'[2]$ зима'!ac1791+'[2]$ зима'!ai1791+'[2]$ зима'!ao1791+'[2]$ зима'!k1791</f>
        <v>8</v>
      </c>
      <c r="I1791" s="191" t="n">
        <f aca="false">'[2]$ зима'!ay1791*1.1</f>
        <v>2186.8</v>
      </c>
    </row>
    <row r="1792" customFormat="false" ht="15" hidden="false" customHeight="false" outlineLevel="0" collapsed="false">
      <c r="A1792" s="188" t="s">
        <v>330</v>
      </c>
      <c r="B1792" s="149" t="s">
        <v>564</v>
      </c>
      <c r="C1792" s="148" t="s">
        <v>3981</v>
      </c>
      <c r="D1792" s="202"/>
      <c r="E1792" s="211"/>
      <c r="F1792" s="211"/>
      <c r="G1792" s="203"/>
      <c r="H1792" s="105" t="n">
        <f aca="false">'[2]$ зима'!j1792-'[2]$ зима'!au1792-'[2]$ зима'!at1792-'[2]$ зима'!as1792-'[2]$ зима'!ar1792-'[2]$ зима'!aq1792-'[2]$ зима'!ap1792-'[2]$ зима'!an1792-'[2]$ зима'!am1792-'[2]$ зима'!al1792-'[2]$ зима'!ak1792-'[2]$ зима'!aj1792-'[2]$ зима'!ah1792-'[2]$ зима'!ag1792-'[2]$ зима'!af1792-'[2]$ зима'!ae1792-'[2]$ зима'!ad1792-'[2]$ зима'!ab1792-'[2]$ зима'!aa1792-'[2]$ зима'!z1792-'[2]$ зима'!y1792-'[2]$ зима'!x1792-'[2]$ зима'!v1792-'[2]$ зима'!u1792-'[2]$ зима'!t1792-'[2]$ зима'!s1792-'[2]$ зима'!r1792-'[2]$ зима'!p1792-'[2]$ зима'!o1792-'[2]$ зима'!n1792-'[2]$ зима'!m1792-'[2]$ зима'!l1792+'[2]$ зима'!q1792+'[2]$ зима'!w1792+'[2]$ зима'!ac1792+'[2]$ зима'!ai1792+'[2]$ зима'!ao1792+'[2]$ зима'!k1792</f>
        <v>2</v>
      </c>
      <c r="I1792" s="191" t="n">
        <f aca="false">'[2]$ зима'!ay1792*1.1</f>
        <v>1874.4</v>
      </c>
    </row>
    <row r="1793" customFormat="false" ht="15" hidden="true" customHeight="false" outlineLevel="0" collapsed="false">
      <c r="A1793" s="188" t="s">
        <v>331</v>
      </c>
      <c r="B1793" s="149" t="s">
        <v>741</v>
      </c>
      <c r="C1793" s="148" t="s">
        <v>3890</v>
      </c>
      <c r="D1793" s="202"/>
      <c r="E1793" s="202"/>
      <c r="F1793" s="202"/>
      <c r="G1793" s="203"/>
      <c r="H1793" s="105" t="n">
        <f aca="false">'[2]$ зима'!j1793-'[2]$ зима'!au1793-'[2]$ зима'!at1793-'[2]$ зима'!as1793-'[2]$ зима'!ar1793-'[2]$ зима'!aq1793-'[2]$ зима'!ap1793-'[2]$ зима'!an1793-'[2]$ зима'!am1793-'[2]$ зима'!al1793-'[2]$ зима'!ak1793-'[2]$ зима'!aj1793-'[2]$ зима'!ah1793-'[2]$ зима'!ag1793-'[2]$ зима'!af1793-'[2]$ зима'!ae1793-'[2]$ зима'!ad1793-'[2]$ зима'!ab1793-'[2]$ зима'!aa1793-'[2]$ зима'!z1793-'[2]$ зима'!y1793-'[2]$ зима'!x1793-'[2]$ зима'!v1793-'[2]$ зима'!u1793-'[2]$ зима'!t1793-'[2]$ зима'!s1793-'[2]$ зима'!r1793-'[2]$ зима'!p1793-'[2]$ зима'!o1793-'[2]$ зима'!n1793-'[2]$ зима'!m1793-'[2]$ зима'!l1793+'[2]$ зима'!q1793+'[2]$ зима'!w1793+'[2]$ зима'!ac1793+'[2]$ зима'!ai1793+'[2]$ зима'!ao1793+'[2]$ зима'!k1793</f>
        <v>0</v>
      </c>
      <c r="I1793" s="191" t="n">
        <f aca="false">'[2]$ зима'!ay1793*1.1</f>
        <v>2655.4</v>
      </c>
    </row>
    <row r="1794" customFormat="false" ht="15" hidden="false" customHeight="false" outlineLevel="0" collapsed="false">
      <c r="A1794" s="188" t="s">
        <v>331</v>
      </c>
      <c r="B1794" s="149" t="s">
        <v>2480</v>
      </c>
      <c r="C1794" s="148" t="s">
        <v>3924</v>
      </c>
      <c r="D1794" s="202"/>
      <c r="E1794" s="211"/>
      <c r="F1794" s="211"/>
      <c r="G1794" s="203"/>
      <c r="H1794" s="105" t="n">
        <f aca="false">'[2]$ зима'!j1794-'[2]$ зима'!au1794-'[2]$ зима'!at1794-'[2]$ зима'!as1794-'[2]$ зима'!ar1794-'[2]$ зима'!aq1794-'[2]$ зима'!ap1794-'[2]$ зима'!an1794-'[2]$ зима'!am1794-'[2]$ зима'!al1794-'[2]$ зима'!ak1794-'[2]$ зима'!aj1794-'[2]$ зима'!ah1794-'[2]$ зима'!ag1794-'[2]$ зима'!af1794-'[2]$ зима'!ae1794-'[2]$ зима'!ad1794-'[2]$ зима'!ab1794-'[2]$ зима'!aa1794-'[2]$ зима'!z1794-'[2]$ зима'!y1794-'[2]$ зима'!x1794-'[2]$ зима'!v1794-'[2]$ зима'!u1794-'[2]$ зима'!t1794-'[2]$ зима'!s1794-'[2]$ зима'!r1794-'[2]$ зима'!p1794-'[2]$ зима'!o1794-'[2]$ зима'!n1794-'[2]$ зима'!m1794-'[2]$ зима'!l1794+'[2]$ зима'!q1794+'[2]$ зима'!w1794+'[2]$ зима'!ac1794+'[2]$ зима'!ai1794+'[2]$ зима'!ao1794+'[2]$ зима'!k1794</f>
        <v>2</v>
      </c>
      <c r="I1794" s="191" t="n">
        <f aca="false">'[2]$ зима'!ay1794*1.1</f>
        <v>2686.64</v>
      </c>
    </row>
    <row r="1795" customFormat="false" ht="15" hidden="false" customHeight="false" outlineLevel="0" collapsed="false">
      <c r="A1795" s="188" t="s">
        <v>331</v>
      </c>
      <c r="B1795" s="149" t="s">
        <v>666</v>
      </c>
      <c r="C1795" s="148" t="s">
        <v>3893</v>
      </c>
      <c r="D1795" s="202"/>
      <c r="E1795" s="211"/>
      <c r="F1795" s="211"/>
      <c r="G1795" s="203"/>
      <c r="H1795" s="105" t="n">
        <f aca="false">'[2]$ зима'!j1795-'[2]$ зима'!au1795-'[2]$ зима'!at1795-'[2]$ зима'!as1795-'[2]$ зима'!ar1795-'[2]$ зима'!aq1795-'[2]$ зима'!ap1795-'[2]$ зима'!an1795-'[2]$ зима'!am1795-'[2]$ зима'!al1795-'[2]$ зима'!ak1795-'[2]$ зима'!aj1795-'[2]$ зима'!ah1795-'[2]$ зима'!ag1795-'[2]$ зима'!af1795-'[2]$ зима'!ae1795-'[2]$ зима'!ad1795-'[2]$ зима'!ab1795-'[2]$ зима'!aa1795-'[2]$ зима'!z1795-'[2]$ зима'!y1795-'[2]$ зима'!x1795-'[2]$ зима'!v1795-'[2]$ зима'!u1795-'[2]$ зима'!t1795-'[2]$ зима'!s1795-'[2]$ зима'!r1795-'[2]$ зима'!p1795-'[2]$ зима'!o1795-'[2]$ зима'!n1795-'[2]$ зима'!m1795-'[2]$ зима'!l1795+'[2]$ зима'!q1795+'[2]$ зима'!w1795+'[2]$ зима'!ac1795+'[2]$ зима'!ai1795+'[2]$ зима'!ao1795+'[2]$ зима'!k1795</f>
        <v>4</v>
      </c>
      <c r="I1795" s="191" t="n">
        <f aca="false">'[2]$ зима'!ay1795*1.1</f>
        <v>3217.72</v>
      </c>
    </row>
    <row r="1796" customFormat="false" ht="15" hidden="false" customHeight="false" outlineLevel="0" collapsed="false">
      <c r="A1796" s="188" t="s">
        <v>331</v>
      </c>
      <c r="B1796" s="149" t="s">
        <v>574</v>
      </c>
      <c r="C1796" s="148" t="s">
        <v>3895</v>
      </c>
      <c r="D1796" s="148"/>
      <c r="E1796" s="192"/>
      <c r="F1796" s="192"/>
      <c r="G1796" s="193" t="s">
        <v>576</v>
      </c>
      <c r="H1796" s="105" t="n">
        <f aca="false">'[2]$ зима'!j1796-'[2]$ зима'!au1796-'[2]$ зима'!at1796-'[2]$ зима'!as1796-'[2]$ зима'!ar1796-'[2]$ зима'!aq1796-'[2]$ зима'!ap1796-'[2]$ зима'!an1796-'[2]$ зима'!am1796-'[2]$ зима'!al1796-'[2]$ зима'!ak1796-'[2]$ зима'!aj1796-'[2]$ зима'!ah1796-'[2]$ зима'!ag1796-'[2]$ зима'!af1796-'[2]$ зима'!ae1796-'[2]$ зима'!ad1796-'[2]$ зима'!ab1796-'[2]$ зима'!aa1796-'[2]$ зима'!z1796-'[2]$ зима'!y1796-'[2]$ зима'!x1796-'[2]$ зима'!v1796-'[2]$ зима'!u1796-'[2]$ зима'!t1796-'[2]$ зима'!s1796-'[2]$ зима'!r1796-'[2]$ зима'!p1796-'[2]$ зима'!o1796-'[2]$ зима'!n1796-'[2]$ зима'!m1796-'[2]$ зима'!l1796+'[2]$ зима'!q1796+'[2]$ зима'!w1796+'[2]$ зима'!ac1796+'[2]$ зима'!ai1796+'[2]$ зима'!ao1796+'[2]$ зима'!k1796</f>
        <v>22</v>
      </c>
      <c r="I1796" s="191" t="n">
        <f aca="false">'[2]$ зима'!ay1796*1.1</f>
        <v>2686.64</v>
      </c>
    </row>
    <row r="1797" customFormat="false" ht="15" hidden="false" customHeight="false" outlineLevel="0" collapsed="false">
      <c r="A1797" s="188" t="s">
        <v>331</v>
      </c>
      <c r="B1797" s="149" t="s">
        <v>577</v>
      </c>
      <c r="C1797" s="148" t="s">
        <v>3896</v>
      </c>
      <c r="D1797" s="148"/>
      <c r="E1797" s="192"/>
      <c r="F1797" s="192"/>
      <c r="G1797" s="193" t="s">
        <v>563</v>
      </c>
      <c r="H1797" s="105" t="n">
        <f aca="false">'[2]$ зима'!j1797-'[2]$ зима'!au1797-'[2]$ зима'!at1797-'[2]$ зима'!as1797-'[2]$ зима'!ar1797-'[2]$ зима'!aq1797-'[2]$ зима'!ap1797-'[2]$ зима'!an1797-'[2]$ зима'!am1797-'[2]$ зима'!al1797-'[2]$ зима'!ak1797-'[2]$ зима'!aj1797-'[2]$ зима'!ah1797-'[2]$ зима'!ag1797-'[2]$ зима'!af1797-'[2]$ зима'!ae1797-'[2]$ зима'!ad1797-'[2]$ зима'!ab1797-'[2]$ зима'!aa1797-'[2]$ зима'!z1797-'[2]$ зима'!y1797-'[2]$ зима'!x1797-'[2]$ зима'!v1797-'[2]$ зима'!u1797-'[2]$ зима'!t1797-'[2]$ зима'!s1797-'[2]$ зима'!r1797-'[2]$ зима'!p1797-'[2]$ зима'!o1797-'[2]$ зима'!n1797-'[2]$ зима'!m1797-'[2]$ зима'!l1797+'[2]$ зима'!q1797+'[2]$ зима'!w1797+'[2]$ зима'!ac1797+'[2]$ зима'!ai1797+'[2]$ зима'!ao1797+'[2]$ зима'!k1797</f>
        <v>12</v>
      </c>
      <c r="I1797" s="191" t="n">
        <f aca="false">'[2]$ зима'!ay1797*1.1</f>
        <v>2374.24</v>
      </c>
      <c r="J1797" s="171" t="n">
        <v>2017</v>
      </c>
    </row>
    <row r="1798" customFormat="false" ht="15" hidden="false" customHeight="false" outlineLevel="0" collapsed="false">
      <c r="A1798" s="196" t="s">
        <v>331</v>
      </c>
      <c r="B1798" s="149" t="s">
        <v>583</v>
      </c>
      <c r="C1798" s="148" t="s">
        <v>3897</v>
      </c>
      <c r="D1798" s="221"/>
      <c r="E1798" s="222"/>
      <c r="F1798" s="222"/>
      <c r="G1798" s="223"/>
      <c r="H1798" s="105" t="n">
        <f aca="false">'[2]$ зима'!j1798-'[2]$ зима'!au1798-'[2]$ зима'!at1798-'[2]$ зима'!as1798-'[2]$ зима'!ar1798-'[2]$ зима'!aq1798-'[2]$ зима'!ap1798-'[2]$ зима'!an1798-'[2]$ зима'!am1798-'[2]$ зима'!al1798-'[2]$ зима'!ak1798-'[2]$ зима'!aj1798-'[2]$ зима'!ah1798-'[2]$ зима'!ag1798-'[2]$ зима'!af1798-'[2]$ зима'!ae1798-'[2]$ зима'!ad1798-'[2]$ зима'!ab1798-'[2]$ зима'!aa1798-'[2]$ зима'!z1798-'[2]$ зима'!y1798-'[2]$ зима'!x1798-'[2]$ зима'!v1798-'[2]$ зима'!u1798-'[2]$ зима'!t1798-'[2]$ зима'!s1798-'[2]$ зима'!r1798-'[2]$ зима'!p1798-'[2]$ зима'!o1798-'[2]$ зима'!n1798-'[2]$ зима'!m1798-'[2]$ зима'!l1798+'[2]$ зима'!q1798+'[2]$ зима'!w1798+'[2]$ зима'!ac1798+'[2]$ зима'!ai1798+'[2]$ зима'!ao1798+'[2]$ зима'!k1798</f>
        <v>12</v>
      </c>
      <c r="I1798" s="191" t="n">
        <f aca="false">'[2]$ зима'!ay1798*1.1</f>
        <v>2655.4</v>
      </c>
    </row>
    <row r="1799" customFormat="false" ht="15" hidden="false" customHeight="false" outlineLevel="0" collapsed="false">
      <c r="A1799" s="196" t="s">
        <v>331</v>
      </c>
      <c r="B1799" s="149" t="s">
        <v>613</v>
      </c>
      <c r="C1799" s="148" t="s">
        <v>3980</v>
      </c>
      <c r="D1799" s="148"/>
      <c r="E1799" s="192" t="s">
        <v>3982</v>
      </c>
      <c r="F1799" s="192"/>
      <c r="G1799" s="193"/>
      <c r="H1799" s="105" t="n">
        <f aca="false">'[2]$ зима'!j1799-'[2]$ зима'!au1799-'[2]$ зима'!at1799-'[2]$ зима'!as1799-'[2]$ зима'!ar1799-'[2]$ зима'!aq1799-'[2]$ зима'!ap1799-'[2]$ зима'!an1799-'[2]$ зима'!am1799-'[2]$ зима'!al1799-'[2]$ зима'!ak1799-'[2]$ зима'!aj1799-'[2]$ зима'!ah1799-'[2]$ зима'!ag1799-'[2]$ зима'!af1799-'[2]$ зима'!ae1799-'[2]$ зима'!ad1799-'[2]$ зима'!ab1799-'[2]$ зима'!aa1799-'[2]$ зима'!z1799-'[2]$ зима'!y1799-'[2]$ зима'!x1799-'[2]$ зима'!v1799-'[2]$ зима'!u1799-'[2]$ зима'!t1799-'[2]$ зима'!s1799-'[2]$ зима'!r1799-'[2]$ зима'!p1799-'[2]$ зима'!o1799-'[2]$ зима'!n1799-'[2]$ зима'!m1799-'[2]$ зима'!l1799+'[2]$ зима'!q1799+'[2]$ зима'!w1799+'[2]$ зима'!ac1799+'[2]$ зима'!ai1799+'[2]$ зима'!ao1799+'[2]$ зима'!k1799</f>
        <v>4</v>
      </c>
      <c r="I1799" s="191" t="n">
        <f aca="false">'[2]$ зима'!ay1799*1.1</f>
        <v>2561.68</v>
      </c>
    </row>
    <row r="1800" customFormat="false" ht="15" hidden="true" customHeight="false" outlineLevel="0" collapsed="false">
      <c r="A1800" s="196" t="s">
        <v>331</v>
      </c>
      <c r="B1800" s="149" t="s">
        <v>593</v>
      </c>
      <c r="C1800" s="148" t="s">
        <v>3983</v>
      </c>
      <c r="D1800" s="202"/>
      <c r="E1800" s="202" t="s">
        <v>3982</v>
      </c>
      <c r="F1800" s="202" t="s">
        <v>3220</v>
      </c>
      <c r="G1800" s="203" t="s">
        <v>1240</v>
      </c>
      <c r="H1800" s="105" t="n">
        <f aca="false">'[2]$ зима'!j1800-'[2]$ зима'!au1800-'[2]$ зима'!at1800-'[2]$ зима'!as1800-'[2]$ зима'!ar1800-'[2]$ зима'!aq1800-'[2]$ зима'!ap1800-'[2]$ зима'!an1800-'[2]$ зима'!am1800-'[2]$ зима'!al1800-'[2]$ зима'!ak1800-'[2]$ зима'!aj1800-'[2]$ зима'!ah1800-'[2]$ зима'!ag1800-'[2]$ зима'!af1800-'[2]$ зима'!ae1800-'[2]$ зима'!ad1800-'[2]$ зима'!ab1800-'[2]$ зима'!aa1800-'[2]$ зима'!z1800-'[2]$ зима'!y1800-'[2]$ зима'!x1800-'[2]$ зима'!v1800-'[2]$ зима'!u1800-'[2]$ зима'!t1800-'[2]$ зима'!s1800-'[2]$ зима'!r1800-'[2]$ зима'!p1800-'[2]$ зима'!o1800-'[2]$ зима'!n1800-'[2]$ зима'!m1800-'[2]$ зима'!l1800+'[2]$ зима'!q1800+'[2]$ зима'!w1800+'[2]$ зима'!ac1800+'[2]$ зима'!ai1800+'[2]$ зима'!ao1800+'[2]$ зима'!k1800</f>
        <v>0</v>
      </c>
      <c r="I1800" s="191" t="n">
        <f aca="false">'[2]$ зима'!ay1800*1.1</f>
        <v>3873.76</v>
      </c>
    </row>
    <row r="1801" customFormat="false" ht="15" hidden="false" customHeight="false" outlineLevel="0" collapsed="false">
      <c r="A1801" s="196" t="s">
        <v>331</v>
      </c>
      <c r="B1801" s="149" t="s">
        <v>586</v>
      </c>
      <c r="C1801" s="148" t="s">
        <v>3931</v>
      </c>
      <c r="D1801" s="202"/>
      <c r="E1801" s="211"/>
      <c r="F1801" s="211"/>
      <c r="G1801" s="203"/>
      <c r="H1801" s="105" t="n">
        <f aca="false">'[2]$ зима'!j1801-'[2]$ зима'!au1801-'[2]$ зима'!at1801-'[2]$ зима'!as1801-'[2]$ зима'!ar1801-'[2]$ зима'!aq1801-'[2]$ зима'!ap1801-'[2]$ зима'!an1801-'[2]$ зима'!am1801-'[2]$ зима'!al1801-'[2]$ зима'!ak1801-'[2]$ зима'!aj1801-'[2]$ зима'!ah1801-'[2]$ зима'!ag1801-'[2]$ зима'!af1801-'[2]$ зима'!ae1801-'[2]$ зима'!ad1801-'[2]$ зима'!ab1801-'[2]$ зима'!aa1801-'[2]$ зима'!z1801-'[2]$ зима'!y1801-'[2]$ зима'!x1801-'[2]$ зима'!v1801-'[2]$ зима'!u1801-'[2]$ зима'!t1801-'[2]$ зима'!s1801-'[2]$ зима'!r1801-'[2]$ зима'!p1801-'[2]$ зима'!o1801-'[2]$ зима'!n1801-'[2]$ зима'!m1801-'[2]$ зима'!l1801+'[2]$ зима'!q1801+'[2]$ зима'!w1801+'[2]$ зима'!ac1801+'[2]$ зима'!ai1801+'[2]$ зима'!ao1801+'[2]$ зима'!k1801</f>
        <v>10</v>
      </c>
      <c r="I1801" s="191" t="n">
        <f aca="false">'[2]$ зима'!ay1801*1.1</f>
        <v>1936.88</v>
      </c>
    </row>
    <row r="1802" customFormat="false" ht="15" hidden="false" customHeight="false" outlineLevel="0" collapsed="false">
      <c r="A1802" s="196" t="s">
        <v>331</v>
      </c>
      <c r="B1802" s="149" t="s">
        <v>833</v>
      </c>
      <c r="C1802" s="148" t="s">
        <v>3984</v>
      </c>
      <c r="D1802" s="148"/>
      <c r="E1802" s="192" t="s">
        <v>3977</v>
      </c>
      <c r="F1802" s="192"/>
      <c r="G1802" s="193"/>
      <c r="H1802" s="105" t="n">
        <f aca="false">'[2]$ зима'!j1802-'[2]$ зима'!au1802-'[2]$ зима'!at1802-'[2]$ зима'!as1802-'[2]$ зима'!ar1802-'[2]$ зима'!aq1802-'[2]$ зима'!ap1802-'[2]$ зима'!an1802-'[2]$ зима'!am1802-'[2]$ зима'!al1802-'[2]$ зима'!ak1802-'[2]$ зима'!aj1802-'[2]$ зима'!ah1802-'[2]$ зима'!ag1802-'[2]$ зима'!af1802-'[2]$ зима'!ae1802-'[2]$ зима'!ad1802-'[2]$ зима'!ab1802-'[2]$ зима'!aa1802-'[2]$ зима'!z1802-'[2]$ зима'!y1802-'[2]$ зима'!x1802-'[2]$ зима'!v1802-'[2]$ зима'!u1802-'[2]$ зима'!t1802-'[2]$ зима'!s1802-'[2]$ зима'!r1802-'[2]$ зима'!p1802-'[2]$ зима'!o1802-'[2]$ зима'!n1802-'[2]$ зима'!m1802-'[2]$ зима'!l1802+'[2]$ зима'!q1802+'[2]$ зима'!w1802+'[2]$ зима'!ac1802+'[2]$ зима'!ai1802+'[2]$ зима'!ao1802+'[2]$ зима'!k1802</f>
        <v>12</v>
      </c>
      <c r="I1802" s="191" t="n">
        <f aca="false">'[2]$ зима'!ay1802*1.1</f>
        <v>2280.52</v>
      </c>
      <c r="J1802" s="171" t="n">
        <v>2014</v>
      </c>
    </row>
    <row r="1803" customFormat="false" ht="15" hidden="false" customHeight="false" outlineLevel="0" collapsed="false">
      <c r="A1803" s="196" t="s">
        <v>331</v>
      </c>
      <c r="B1803" s="149" t="s">
        <v>623</v>
      </c>
      <c r="C1803" s="148" t="s">
        <v>3958</v>
      </c>
      <c r="D1803" s="202"/>
      <c r="E1803" s="211"/>
      <c r="F1803" s="211"/>
      <c r="G1803" s="203"/>
      <c r="H1803" s="105" t="n">
        <f aca="false">'[2]$ зима'!j1803-'[2]$ зима'!au1803-'[2]$ зима'!at1803-'[2]$ зима'!as1803-'[2]$ зима'!ar1803-'[2]$ зима'!aq1803-'[2]$ зима'!ap1803-'[2]$ зима'!an1803-'[2]$ зима'!am1803-'[2]$ зима'!al1803-'[2]$ зима'!ak1803-'[2]$ зима'!aj1803-'[2]$ зима'!ah1803-'[2]$ зима'!ag1803-'[2]$ зима'!af1803-'[2]$ зима'!ae1803-'[2]$ зима'!ad1803-'[2]$ зима'!ab1803-'[2]$ зима'!aa1803-'[2]$ зима'!z1803-'[2]$ зима'!y1803-'[2]$ зима'!x1803-'[2]$ зима'!v1803-'[2]$ зима'!u1803-'[2]$ зима'!t1803-'[2]$ зима'!s1803-'[2]$ зима'!r1803-'[2]$ зима'!p1803-'[2]$ зима'!o1803-'[2]$ зима'!n1803-'[2]$ зима'!m1803-'[2]$ зима'!l1803+'[2]$ зима'!q1803+'[2]$ зима'!w1803+'[2]$ зима'!ac1803+'[2]$ зима'!ai1803+'[2]$ зима'!ao1803+'[2]$ зима'!k1803</f>
        <v>12</v>
      </c>
      <c r="I1803" s="191" t="n">
        <f aca="false">'[2]$ зима'!ay1803*1.1</f>
        <v>2343</v>
      </c>
    </row>
    <row r="1804" customFormat="false" ht="15" hidden="false" customHeight="false" outlineLevel="0" collapsed="false">
      <c r="A1804" s="196" t="s">
        <v>331</v>
      </c>
      <c r="B1804" s="149" t="s">
        <v>1028</v>
      </c>
      <c r="C1804" s="148" t="s">
        <v>3938</v>
      </c>
      <c r="D1804" s="202"/>
      <c r="E1804" s="211"/>
      <c r="F1804" s="211"/>
      <c r="G1804" s="203" t="s">
        <v>626</v>
      </c>
      <c r="H1804" s="105" t="n">
        <f aca="false">'[2]$ зима'!j1804-'[2]$ зима'!au1804-'[2]$ зима'!at1804-'[2]$ зима'!as1804-'[2]$ зима'!ar1804-'[2]$ зима'!aq1804-'[2]$ зима'!ap1804-'[2]$ зима'!an1804-'[2]$ зима'!am1804-'[2]$ зима'!al1804-'[2]$ зима'!ak1804-'[2]$ зима'!aj1804-'[2]$ зима'!ah1804-'[2]$ зима'!ag1804-'[2]$ зима'!af1804-'[2]$ зима'!ae1804-'[2]$ зима'!ad1804-'[2]$ зима'!ab1804-'[2]$ зима'!aa1804-'[2]$ зима'!z1804-'[2]$ зима'!y1804-'[2]$ зима'!x1804-'[2]$ зима'!v1804-'[2]$ зима'!u1804-'[2]$ зима'!t1804-'[2]$ зима'!s1804-'[2]$ зима'!r1804-'[2]$ зима'!p1804-'[2]$ зима'!o1804-'[2]$ зима'!n1804-'[2]$ зима'!m1804-'[2]$ зима'!l1804+'[2]$ зима'!q1804+'[2]$ зима'!w1804+'[2]$ зима'!ac1804+'[2]$ зима'!ai1804+'[2]$ зима'!ao1804+'[2]$ зима'!k1804</f>
        <v>6</v>
      </c>
      <c r="I1804" s="191" t="n">
        <f aca="false">'[2]$ зима'!ay1804*1.1</f>
        <v>3124</v>
      </c>
      <c r="J1804" s="171" t="n">
        <v>2017</v>
      </c>
    </row>
    <row r="1805" customFormat="false" ht="15" hidden="true" customHeight="false" outlineLevel="0" collapsed="false">
      <c r="A1805" s="188" t="s">
        <v>334</v>
      </c>
      <c r="B1805" s="149" t="s">
        <v>568</v>
      </c>
      <c r="C1805" s="148" t="s">
        <v>3915</v>
      </c>
      <c r="D1805" s="202"/>
      <c r="E1805" s="202"/>
      <c r="F1805" s="202"/>
      <c r="G1805" s="203"/>
      <c r="H1805" s="105" t="n">
        <f aca="false">'[2]$ зима'!j1805-'[2]$ зима'!au1805-'[2]$ зима'!at1805-'[2]$ зима'!as1805-'[2]$ зима'!ar1805-'[2]$ зима'!aq1805-'[2]$ зима'!ap1805-'[2]$ зима'!an1805-'[2]$ зима'!am1805-'[2]$ зима'!al1805-'[2]$ зима'!ak1805-'[2]$ зима'!aj1805-'[2]$ зима'!ah1805-'[2]$ зима'!ag1805-'[2]$ зима'!af1805-'[2]$ зима'!ae1805-'[2]$ зима'!ad1805-'[2]$ зима'!ab1805-'[2]$ зима'!aa1805-'[2]$ зима'!z1805-'[2]$ зима'!y1805-'[2]$ зима'!x1805-'[2]$ зима'!v1805-'[2]$ зима'!u1805-'[2]$ зима'!t1805-'[2]$ зима'!s1805-'[2]$ зима'!r1805-'[2]$ зима'!p1805-'[2]$ зима'!o1805-'[2]$ зима'!n1805-'[2]$ зима'!m1805-'[2]$ зима'!l1805+'[2]$ зима'!q1805+'[2]$ зима'!w1805+'[2]$ зима'!ac1805+'[2]$ зима'!ai1805+'[2]$ зима'!ao1805+'[2]$ зима'!k1805</f>
        <v>0</v>
      </c>
      <c r="I1805" s="191" t="n">
        <f aca="false">'[2]$ зима'!ay1805*1.1</f>
        <v>3498.88</v>
      </c>
    </row>
    <row r="1806" customFormat="false" ht="15" hidden="false" customHeight="false" outlineLevel="0" collapsed="false">
      <c r="A1806" s="188" t="s">
        <v>334</v>
      </c>
      <c r="B1806" s="149" t="s">
        <v>604</v>
      </c>
      <c r="C1806" s="148" t="s">
        <v>3905</v>
      </c>
      <c r="D1806" s="202" t="s">
        <v>3127</v>
      </c>
      <c r="E1806" s="211"/>
      <c r="F1806" s="211"/>
      <c r="G1806" s="203"/>
      <c r="H1806" s="105" t="n">
        <f aca="false">'[2]$ зима'!j1806-'[2]$ зима'!au1806-'[2]$ зима'!at1806-'[2]$ зима'!as1806-'[2]$ зима'!ar1806-'[2]$ зима'!aq1806-'[2]$ зима'!ap1806-'[2]$ зима'!an1806-'[2]$ зима'!am1806-'[2]$ зима'!al1806-'[2]$ зима'!ak1806-'[2]$ зима'!aj1806-'[2]$ зима'!ah1806-'[2]$ зима'!ag1806-'[2]$ зима'!af1806-'[2]$ зима'!ae1806-'[2]$ зима'!ad1806-'[2]$ зима'!ab1806-'[2]$ зима'!aa1806-'[2]$ зима'!z1806-'[2]$ зима'!y1806-'[2]$ зима'!x1806-'[2]$ зима'!v1806-'[2]$ зима'!u1806-'[2]$ зима'!t1806-'[2]$ зима'!s1806-'[2]$ зима'!r1806-'[2]$ зима'!p1806-'[2]$ зима'!o1806-'[2]$ зима'!n1806-'[2]$ зима'!m1806-'[2]$ зима'!l1806+'[2]$ зима'!q1806+'[2]$ зима'!w1806+'[2]$ зима'!ac1806+'[2]$ зима'!ai1806+'[2]$ зима'!ao1806+'[2]$ зима'!k1806</f>
        <v>2</v>
      </c>
      <c r="I1806" s="191" t="n">
        <f aca="false">'[2]$ зима'!ay1806*1.1</f>
        <v>2811.6</v>
      </c>
    </row>
    <row r="1807" customFormat="false" ht="15" hidden="false" customHeight="false" outlineLevel="0" collapsed="false">
      <c r="A1807" s="217" t="s">
        <v>334</v>
      </c>
      <c r="B1807" s="157" t="s">
        <v>604</v>
      </c>
      <c r="C1807" s="158" t="s">
        <v>3905</v>
      </c>
      <c r="D1807" s="202" t="s">
        <v>3127</v>
      </c>
      <c r="E1807" s="241"/>
      <c r="F1807" s="241"/>
      <c r="G1807" s="242"/>
      <c r="H1807" s="105" t="n">
        <f aca="false">'[2]$ зима'!j1807-'[2]$ зима'!au1807-'[2]$ зима'!at1807-'[2]$ зима'!as1807-'[2]$ зима'!ar1807-'[2]$ зима'!aq1807-'[2]$ зима'!ap1807-'[2]$ зима'!an1807-'[2]$ зима'!am1807-'[2]$ зима'!al1807-'[2]$ зима'!ak1807-'[2]$ зима'!aj1807-'[2]$ зима'!ah1807-'[2]$ зима'!ag1807-'[2]$ зима'!af1807-'[2]$ зима'!ae1807-'[2]$ зима'!ad1807-'[2]$ зима'!ab1807-'[2]$ зима'!aa1807-'[2]$ зима'!z1807-'[2]$ зима'!y1807-'[2]$ зима'!x1807-'[2]$ зима'!v1807-'[2]$ зима'!u1807-'[2]$ зима'!t1807-'[2]$ зима'!s1807-'[2]$ зима'!r1807-'[2]$ зима'!p1807-'[2]$ зима'!o1807-'[2]$ зима'!n1807-'[2]$ зима'!m1807-'[2]$ зима'!l1807+'[2]$ зима'!q1807+'[2]$ зима'!w1807+'[2]$ зима'!ac1807+'[2]$ зима'!ai1807+'[2]$ зима'!ao1807+'[2]$ зима'!k1807</f>
        <v>2</v>
      </c>
      <c r="I1807" s="219" t="n">
        <f aca="false">'[2]$ зима'!ay1807*1.1</f>
        <v>1760</v>
      </c>
    </row>
    <row r="1808" customFormat="false" ht="15" hidden="true" customHeight="false" outlineLevel="0" collapsed="false">
      <c r="A1808" s="188" t="s">
        <v>334</v>
      </c>
      <c r="B1808" s="149" t="s">
        <v>606</v>
      </c>
      <c r="C1808" s="148" t="s">
        <v>3939</v>
      </c>
      <c r="D1808" s="202"/>
      <c r="E1808" s="202"/>
      <c r="F1808" s="202"/>
      <c r="G1808" s="203"/>
      <c r="H1808" s="105" t="n">
        <f aca="false">'[2]$ зима'!j1808-'[2]$ зима'!au1808-'[2]$ зима'!at1808-'[2]$ зима'!as1808-'[2]$ зима'!ar1808-'[2]$ зима'!aq1808-'[2]$ зима'!ap1808-'[2]$ зима'!an1808-'[2]$ зима'!am1808-'[2]$ зима'!al1808-'[2]$ зима'!ak1808-'[2]$ зима'!aj1808-'[2]$ зима'!ah1808-'[2]$ зима'!ag1808-'[2]$ зима'!af1808-'[2]$ зима'!ae1808-'[2]$ зима'!ad1808-'[2]$ зима'!ab1808-'[2]$ зима'!aa1808-'[2]$ зима'!z1808-'[2]$ зима'!y1808-'[2]$ зима'!x1808-'[2]$ зима'!v1808-'[2]$ зима'!u1808-'[2]$ зима'!t1808-'[2]$ зима'!s1808-'[2]$ зима'!r1808-'[2]$ зима'!p1808-'[2]$ зима'!o1808-'[2]$ зима'!n1808-'[2]$ зима'!m1808-'[2]$ зима'!l1808+'[2]$ зима'!q1808+'[2]$ зима'!w1808+'[2]$ зима'!ac1808+'[2]$ зима'!ai1808+'[2]$ зима'!ao1808+'[2]$ зима'!k1808</f>
        <v>0</v>
      </c>
      <c r="I1808" s="191" t="n">
        <f aca="false">'[2]$ зима'!ay1808*1.1</f>
        <v>2905.32</v>
      </c>
      <c r="J1808" s="171" t="n">
        <v>2017</v>
      </c>
    </row>
    <row r="1809" customFormat="false" ht="15" hidden="true" customHeight="false" outlineLevel="0" collapsed="false">
      <c r="A1809" s="188" t="s">
        <v>334</v>
      </c>
      <c r="B1809" s="149" t="s">
        <v>666</v>
      </c>
      <c r="C1809" s="148" t="s">
        <v>3893</v>
      </c>
      <c r="D1809" s="202"/>
      <c r="E1809" s="202"/>
      <c r="F1809" s="202"/>
      <c r="G1809" s="203"/>
      <c r="H1809" s="105" t="n">
        <f aca="false">'[2]$ зима'!j1809-'[2]$ зима'!au1809-'[2]$ зима'!at1809-'[2]$ зима'!as1809-'[2]$ зима'!ar1809-'[2]$ зима'!aq1809-'[2]$ зима'!ap1809-'[2]$ зима'!an1809-'[2]$ зима'!am1809-'[2]$ зима'!al1809-'[2]$ зима'!ak1809-'[2]$ зима'!aj1809-'[2]$ зима'!ah1809-'[2]$ зима'!ag1809-'[2]$ зима'!af1809-'[2]$ зима'!ae1809-'[2]$ зима'!ad1809-'[2]$ зима'!ab1809-'[2]$ зима'!aa1809-'[2]$ зима'!z1809-'[2]$ зима'!y1809-'[2]$ зима'!x1809-'[2]$ зима'!v1809-'[2]$ зима'!u1809-'[2]$ зима'!t1809-'[2]$ зима'!s1809-'[2]$ зима'!r1809-'[2]$ зима'!p1809-'[2]$ зима'!o1809-'[2]$ зима'!n1809-'[2]$ зима'!m1809-'[2]$ зима'!l1809+'[2]$ зима'!q1809+'[2]$ зима'!w1809+'[2]$ зима'!ac1809+'[2]$ зима'!ai1809+'[2]$ зима'!ao1809+'[2]$ зима'!k1809</f>
        <v>0</v>
      </c>
      <c r="I1809" s="191" t="n">
        <f aca="false">'[2]$ зима'!ay1809*1.1</f>
        <v>0</v>
      </c>
    </row>
    <row r="1810" customFormat="false" ht="15" hidden="false" customHeight="false" outlineLevel="0" collapsed="false">
      <c r="A1810" s="188" t="s">
        <v>334</v>
      </c>
      <c r="B1810" s="149" t="s">
        <v>574</v>
      </c>
      <c r="C1810" s="148" t="s">
        <v>3910</v>
      </c>
      <c r="D1810" s="148"/>
      <c r="E1810" s="192" t="s">
        <v>2546</v>
      </c>
      <c r="F1810" s="192"/>
      <c r="G1810" s="193" t="s">
        <v>576</v>
      </c>
      <c r="H1810" s="105" t="n">
        <f aca="false">'[2]$ зима'!j1810-'[2]$ зима'!au1810-'[2]$ зима'!at1810-'[2]$ зима'!as1810-'[2]$ зима'!ar1810-'[2]$ зима'!aq1810-'[2]$ зима'!ap1810-'[2]$ зима'!an1810-'[2]$ зима'!am1810-'[2]$ зима'!al1810-'[2]$ зима'!ak1810-'[2]$ зима'!aj1810-'[2]$ зима'!ah1810-'[2]$ зима'!ag1810-'[2]$ зима'!af1810-'[2]$ зима'!ae1810-'[2]$ зима'!ad1810-'[2]$ зима'!ab1810-'[2]$ зима'!aa1810-'[2]$ зима'!z1810-'[2]$ зима'!y1810-'[2]$ зима'!x1810-'[2]$ зима'!v1810-'[2]$ зима'!u1810-'[2]$ зима'!t1810-'[2]$ зима'!s1810-'[2]$ зима'!r1810-'[2]$ зима'!p1810-'[2]$ зима'!o1810-'[2]$ зима'!n1810-'[2]$ зима'!m1810-'[2]$ зима'!l1810+'[2]$ зима'!q1810+'[2]$ зима'!w1810+'[2]$ зима'!ac1810+'[2]$ зима'!ai1810+'[2]$ зима'!ao1810+'[2]$ зима'!k1810</f>
        <v>10</v>
      </c>
      <c r="I1810" s="191" t="n">
        <f aca="false">'[2]$ зима'!ay1810*1.1</f>
        <v>2811.6</v>
      </c>
      <c r="J1810" s="171" t="n">
        <v>2017</v>
      </c>
    </row>
    <row r="1811" customFormat="false" ht="15" hidden="false" customHeight="false" outlineLevel="0" collapsed="false">
      <c r="A1811" s="188" t="s">
        <v>334</v>
      </c>
      <c r="B1811" s="149" t="s">
        <v>577</v>
      </c>
      <c r="C1811" s="148" t="s">
        <v>3896</v>
      </c>
      <c r="D1811" s="148"/>
      <c r="E1811" s="192"/>
      <c r="F1811" s="192"/>
      <c r="G1811" s="193" t="s">
        <v>563</v>
      </c>
      <c r="H1811" s="105" t="n">
        <f aca="false">'[2]$ зима'!j1811-'[2]$ зима'!au1811-'[2]$ зима'!at1811-'[2]$ зима'!as1811-'[2]$ зима'!ar1811-'[2]$ зима'!aq1811-'[2]$ зима'!ap1811-'[2]$ зима'!an1811-'[2]$ зима'!am1811-'[2]$ зима'!al1811-'[2]$ зима'!ak1811-'[2]$ зима'!aj1811-'[2]$ зима'!ah1811-'[2]$ зима'!ag1811-'[2]$ зима'!af1811-'[2]$ зима'!ae1811-'[2]$ зима'!ad1811-'[2]$ зима'!ab1811-'[2]$ зима'!aa1811-'[2]$ зима'!z1811-'[2]$ зима'!y1811-'[2]$ зима'!x1811-'[2]$ зима'!v1811-'[2]$ зима'!u1811-'[2]$ зима'!t1811-'[2]$ зима'!s1811-'[2]$ зима'!r1811-'[2]$ зима'!p1811-'[2]$ зима'!o1811-'[2]$ зима'!n1811-'[2]$ зима'!m1811-'[2]$ зима'!l1811+'[2]$ зима'!q1811+'[2]$ зима'!w1811+'[2]$ зима'!ac1811+'[2]$ зима'!ai1811+'[2]$ зима'!ao1811+'[2]$ зима'!k1811</f>
        <v>4</v>
      </c>
      <c r="I1811" s="191" t="n">
        <f aca="false">'[2]$ зима'!ay1811*1.1</f>
        <v>2218.04</v>
      </c>
      <c r="J1811" s="171" t="n">
        <v>2017</v>
      </c>
    </row>
    <row r="1812" customFormat="false" ht="15" hidden="true" customHeight="false" outlineLevel="0" collapsed="false">
      <c r="A1812" s="188" t="s">
        <v>334</v>
      </c>
      <c r="B1812" s="149" t="s">
        <v>583</v>
      </c>
      <c r="C1812" s="148" t="s">
        <v>3943</v>
      </c>
      <c r="D1812" s="202"/>
      <c r="E1812" s="202"/>
      <c r="F1812" s="202"/>
      <c r="G1812" s="203"/>
      <c r="H1812" s="105" t="n">
        <f aca="false">'[2]$ зима'!j1812-'[2]$ зима'!au1812-'[2]$ зима'!at1812-'[2]$ зима'!as1812-'[2]$ зима'!ar1812-'[2]$ зима'!aq1812-'[2]$ зима'!ap1812-'[2]$ зима'!an1812-'[2]$ зима'!am1812-'[2]$ зима'!al1812-'[2]$ зима'!ak1812-'[2]$ зима'!aj1812-'[2]$ зима'!ah1812-'[2]$ зима'!ag1812-'[2]$ зима'!af1812-'[2]$ зима'!ae1812-'[2]$ зима'!ad1812-'[2]$ зима'!ab1812-'[2]$ зима'!aa1812-'[2]$ зима'!z1812-'[2]$ зима'!y1812-'[2]$ зима'!x1812-'[2]$ зима'!v1812-'[2]$ зима'!u1812-'[2]$ зима'!t1812-'[2]$ зима'!s1812-'[2]$ зима'!r1812-'[2]$ зима'!p1812-'[2]$ зима'!o1812-'[2]$ зима'!n1812-'[2]$ зима'!m1812-'[2]$ зима'!l1812+'[2]$ зима'!q1812+'[2]$ зима'!w1812+'[2]$ зима'!ac1812+'[2]$ зима'!ai1812+'[2]$ зима'!ao1812+'[2]$ зима'!k1812</f>
        <v>0</v>
      </c>
      <c r="I1812" s="191" t="n">
        <f aca="false">'[2]$ зима'!ay1812*1.1</f>
        <v>2343</v>
      </c>
    </row>
    <row r="1813" customFormat="false" ht="15" hidden="false" customHeight="false" outlineLevel="0" collapsed="false">
      <c r="A1813" s="188" t="s">
        <v>334</v>
      </c>
      <c r="B1813" s="149" t="s">
        <v>593</v>
      </c>
      <c r="C1813" s="148" t="s">
        <v>3930</v>
      </c>
      <c r="D1813" s="202"/>
      <c r="E1813" s="211"/>
      <c r="F1813" s="211"/>
      <c r="G1813" s="203" t="s">
        <v>663</v>
      </c>
      <c r="H1813" s="105" t="n">
        <f aca="false">'[2]$ зима'!j1813-'[2]$ зима'!au1813-'[2]$ зима'!at1813-'[2]$ зима'!as1813-'[2]$ зима'!ar1813-'[2]$ зима'!aq1813-'[2]$ зима'!ap1813-'[2]$ зима'!an1813-'[2]$ зима'!am1813-'[2]$ зима'!al1813-'[2]$ зима'!ak1813-'[2]$ зима'!aj1813-'[2]$ зима'!ah1813-'[2]$ зима'!ag1813-'[2]$ зима'!af1813-'[2]$ зима'!ae1813-'[2]$ зима'!ad1813-'[2]$ зима'!ab1813-'[2]$ зима'!aa1813-'[2]$ зима'!z1813-'[2]$ зима'!y1813-'[2]$ зима'!x1813-'[2]$ зима'!v1813-'[2]$ зима'!u1813-'[2]$ зима'!t1813-'[2]$ зима'!s1813-'[2]$ зима'!r1813-'[2]$ зима'!p1813-'[2]$ зима'!o1813-'[2]$ зима'!n1813-'[2]$ зима'!m1813-'[2]$ зима'!l1813+'[2]$ зима'!q1813+'[2]$ зима'!w1813+'[2]$ зима'!ac1813+'[2]$ зима'!ai1813+'[2]$ зима'!ao1813+'[2]$ зима'!k1813</f>
        <v>2</v>
      </c>
      <c r="I1813" s="191" t="n">
        <f aca="false">'[2]$ зима'!ay1813*1.1</f>
        <v>3748.8</v>
      </c>
    </row>
    <row r="1814" customFormat="false" ht="15" hidden="false" customHeight="false" outlineLevel="0" collapsed="false">
      <c r="A1814" s="188" t="s">
        <v>334</v>
      </c>
      <c r="B1814" s="149" t="s">
        <v>762</v>
      </c>
      <c r="C1814" s="148" t="s">
        <v>3934</v>
      </c>
      <c r="D1814" s="202"/>
      <c r="E1814" s="211"/>
      <c r="F1814" s="211"/>
      <c r="G1814" s="203"/>
      <c r="H1814" s="105" t="n">
        <f aca="false">'[2]$ зима'!j1814-'[2]$ зима'!au1814-'[2]$ зима'!at1814-'[2]$ зима'!as1814-'[2]$ зима'!ar1814-'[2]$ зима'!aq1814-'[2]$ зима'!ap1814-'[2]$ зима'!an1814-'[2]$ зима'!am1814-'[2]$ зима'!al1814-'[2]$ зима'!ak1814-'[2]$ зима'!aj1814-'[2]$ зима'!ah1814-'[2]$ зима'!ag1814-'[2]$ зима'!af1814-'[2]$ зима'!ae1814-'[2]$ зима'!ad1814-'[2]$ зима'!ab1814-'[2]$ зима'!aa1814-'[2]$ зима'!z1814-'[2]$ зима'!y1814-'[2]$ зима'!x1814-'[2]$ зима'!v1814-'[2]$ зима'!u1814-'[2]$ зима'!t1814-'[2]$ зима'!s1814-'[2]$ зима'!r1814-'[2]$ зима'!p1814-'[2]$ зима'!o1814-'[2]$ зима'!n1814-'[2]$ зима'!m1814-'[2]$ зима'!l1814+'[2]$ зима'!q1814+'[2]$ зима'!w1814+'[2]$ зима'!ac1814+'[2]$ зима'!ai1814+'[2]$ зима'!ao1814+'[2]$ зима'!k1814</f>
        <v>4</v>
      </c>
      <c r="I1814" s="191" t="n">
        <f aca="false">'[2]$ зима'!ay1814*1.1</f>
        <v>2249.28</v>
      </c>
    </row>
    <row r="1815" customFormat="false" ht="15" hidden="false" customHeight="false" outlineLevel="0" collapsed="false">
      <c r="A1815" s="188" t="s">
        <v>334</v>
      </c>
      <c r="B1815" s="149" t="s">
        <v>623</v>
      </c>
      <c r="C1815" s="148" t="s">
        <v>3958</v>
      </c>
      <c r="D1815" s="202"/>
      <c r="E1815" s="211"/>
      <c r="F1815" s="211"/>
      <c r="G1815" s="203"/>
      <c r="H1815" s="105" t="n">
        <f aca="false">'[2]$ зима'!j1815-'[2]$ зима'!au1815-'[2]$ зима'!at1815-'[2]$ зима'!as1815-'[2]$ зима'!ar1815-'[2]$ зима'!aq1815-'[2]$ зима'!ap1815-'[2]$ зима'!an1815-'[2]$ зима'!am1815-'[2]$ зима'!al1815-'[2]$ зима'!ak1815-'[2]$ зима'!aj1815-'[2]$ зима'!ah1815-'[2]$ зима'!ag1815-'[2]$ зима'!af1815-'[2]$ зима'!ae1815-'[2]$ зима'!ad1815-'[2]$ зима'!ab1815-'[2]$ зима'!aa1815-'[2]$ зима'!z1815-'[2]$ зима'!y1815-'[2]$ зима'!x1815-'[2]$ зима'!v1815-'[2]$ зима'!u1815-'[2]$ зима'!t1815-'[2]$ зима'!s1815-'[2]$ зима'!r1815-'[2]$ зима'!p1815-'[2]$ зима'!o1815-'[2]$ зима'!n1815-'[2]$ зима'!m1815-'[2]$ зима'!l1815+'[2]$ зима'!q1815+'[2]$ зима'!w1815+'[2]$ зима'!ac1815+'[2]$ зима'!ai1815+'[2]$ зима'!ao1815+'[2]$ зима'!k1815</f>
        <v>2</v>
      </c>
      <c r="I1815" s="191" t="n">
        <f aca="false">'[2]$ зима'!ay1815*1.1</f>
        <v>2343</v>
      </c>
      <c r="J1815" s="171" t="n">
        <v>2017</v>
      </c>
    </row>
    <row r="1816" customFormat="false" ht="15" hidden="false" customHeight="false" outlineLevel="0" collapsed="false">
      <c r="A1816" s="188" t="s">
        <v>334</v>
      </c>
      <c r="B1816" s="149" t="s">
        <v>1028</v>
      </c>
      <c r="C1816" s="148" t="s">
        <v>3938</v>
      </c>
      <c r="D1816" s="202"/>
      <c r="E1816" s="211"/>
      <c r="F1816" s="211"/>
      <c r="G1816" s="203"/>
      <c r="H1816" s="105" t="n">
        <f aca="false">'[2]$ зима'!j1816-'[2]$ зима'!au1816-'[2]$ зима'!at1816-'[2]$ зима'!as1816-'[2]$ зима'!ar1816-'[2]$ зима'!aq1816-'[2]$ зима'!ap1816-'[2]$ зима'!an1816-'[2]$ зима'!am1816-'[2]$ зима'!al1816-'[2]$ зима'!ak1816-'[2]$ зима'!aj1816-'[2]$ зима'!ah1816-'[2]$ зима'!ag1816-'[2]$ зима'!af1816-'[2]$ зима'!ae1816-'[2]$ зима'!ad1816-'[2]$ зима'!ab1816-'[2]$ зима'!aa1816-'[2]$ зима'!z1816-'[2]$ зима'!y1816-'[2]$ зима'!x1816-'[2]$ зима'!v1816-'[2]$ зима'!u1816-'[2]$ зима'!t1816-'[2]$ зима'!s1816-'[2]$ зима'!r1816-'[2]$ зима'!p1816-'[2]$ зима'!o1816-'[2]$ зима'!n1816-'[2]$ зима'!m1816-'[2]$ зима'!l1816+'[2]$ зима'!q1816+'[2]$ зима'!w1816+'[2]$ зима'!ac1816+'[2]$ зима'!ai1816+'[2]$ зима'!ao1816+'[2]$ зима'!k1816</f>
        <v>4</v>
      </c>
      <c r="I1816" s="191" t="n">
        <f aca="false">'[2]$ зима'!ay1816*1.1</f>
        <v>3124</v>
      </c>
    </row>
    <row r="1817" customFormat="false" ht="15" hidden="true" customHeight="false" outlineLevel="0" collapsed="false">
      <c r="A1817" s="188" t="s">
        <v>335</v>
      </c>
      <c r="B1817" s="149" t="s">
        <v>606</v>
      </c>
      <c r="C1817" s="148" t="s">
        <v>3939</v>
      </c>
      <c r="D1817" s="202"/>
      <c r="E1817" s="202"/>
      <c r="F1817" s="202"/>
      <c r="G1817" s="203"/>
      <c r="H1817" s="105" t="n">
        <f aca="false">'[2]$ зима'!j1817-'[2]$ зима'!au1817-'[2]$ зима'!at1817-'[2]$ зима'!as1817-'[2]$ зима'!ar1817-'[2]$ зима'!aq1817-'[2]$ зима'!ap1817-'[2]$ зима'!an1817-'[2]$ зима'!am1817-'[2]$ зима'!al1817-'[2]$ зима'!ak1817-'[2]$ зима'!aj1817-'[2]$ зима'!ah1817-'[2]$ зима'!ag1817-'[2]$ зима'!af1817-'[2]$ зима'!ae1817-'[2]$ зима'!ad1817-'[2]$ зима'!ab1817-'[2]$ зима'!aa1817-'[2]$ зима'!z1817-'[2]$ зима'!y1817-'[2]$ зима'!x1817-'[2]$ зима'!v1817-'[2]$ зима'!u1817-'[2]$ зима'!t1817-'[2]$ зима'!s1817-'[2]$ зима'!r1817-'[2]$ зима'!p1817-'[2]$ зима'!o1817-'[2]$ зима'!n1817-'[2]$ зима'!m1817-'[2]$ зима'!l1817+'[2]$ зима'!q1817+'[2]$ зима'!w1817+'[2]$ зима'!ac1817+'[2]$ зима'!ai1817+'[2]$ зима'!ao1817+'[2]$ зима'!k1817</f>
        <v>0</v>
      </c>
      <c r="I1817" s="191" t="n">
        <f aca="false">'[2]$ зима'!ay1817*1.1</f>
        <v>2967.8</v>
      </c>
    </row>
    <row r="1818" customFormat="false" ht="15" hidden="false" customHeight="false" outlineLevel="0" collapsed="false">
      <c r="A1818" s="196" t="s">
        <v>335</v>
      </c>
      <c r="B1818" s="149" t="s">
        <v>583</v>
      </c>
      <c r="C1818" s="148" t="s">
        <v>3897</v>
      </c>
      <c r="D1818" s="148"/>
      <c r="E1818" s="192"/>
      <c r="F1818" s="192"/>
      <c r="G1818" s="193" t="s">
        <v>864</v>
      </c>
      <c r="H1818" s="105" t="n">
        <f aca="false">'[2]$ зима'!j1818-'[2]$ зима'!au1818-'[2]$ зима'!at1818-'[2]$ зима'!as1818-'[2]$ зима'!ar1818-'[2]$ зима'!aq1818-'[2]$ зима'!ap1818-'[2]$ зима'!an1818-'[2]$ зима'!am1818-'[2]$ зима'!al1818-'[2]$ зима'!ak1818-'[2]$ зима'!aj1818-'[2]$ зима'!ah1818-'[2]$ зима'!ag1818-'[2]$ зима'!af1818-'[2]$ зима'!ae1818-'[2]$ зима'!ad1818-'[2]$ зима'!ab1818-'[2]$ зима'!aa1818-'[2]$ зима'!z1818-'[2]$ зима'!y1818-'[2]$ зима'!x1818-'[2]$ зима'!v1818-'[2]$ зима'!u1818-'[2]$ зима'!t1818-'[2]$ зима'!s1818-'[2]$ зима'!r1818-'[2]$ зима'!p1818-'[2]$ зима'!o1818-'[2]$ зима'!n1818-'[2]$ зима'!m1818-'[2]$ зима'!l1818+'[2]$ зима'!q1818+'[2]$ зима'!w1818+'[2]$ зима'!ac1818+'[2]$ зима'!ai1818+'[2]$ зима'!ao1818+'[2]$ зима'!k1818</f>
        <v>2</v>
      </c>
      <c r="I1818" s="191" t="n">
        <f aca="false">'[2]$ зима'!ay1818*1.1</f>
        <v>2967.8</v>
      </c>
      <c r="J1818" s="171" t="n">
        <v>2016</v>
      </c>
    </row>
    <row r="1819" customFormat="false" ht="15" hidden="false" customHeight="false" outlineLevel="0" collapsed="false">
      <c r="A1819" s="196" t="s">
        <v>335</v>
      </c>
      <c r="B1819" s="149" t="s">
        <v>833</v>
      </c>
      <c r="C1819" s="202" t="s">
        <v>3965</v>
      </c>
      <c r="D1819" s="202"/>
      <c r="E1819" s="211"/>
      <c r="F1819" s="211"/>
      <c r="G1819" s="203"/>
      <c r="H1819" s="105" t="n">
        <f aca="false">'[2]$ зима'!j1819-'[2]$ зима'!au1819-'[2]$ зима'!at1819-'[2]$ зима'!as1819-'[2]$ зима'!ar1819-'[2]$ зима'!aq1819-'[2]$ зима'!ap1819-'[2]$ зима'!an1819-'[2]$ зима'!am1819-'[2]$ зима'!al1819-'[2]$ зима'!ak1819-'[2]$ зима'!aj1819-'[2]$ зима'!ah1819-'[2]$ зима'!ag1819-'[2]$ зима'!af1819-'[2]$ зима'!ae1819-'[2]$ зима'!ad1819-'[2]$ зима'!ab1819-'[2]$ зима'!aa1819-'[2]$ зима'!z1819-'[2]$ зима'!y1819-'[2]$ зима'!x1819-'[2]$ зима'!v1819-'[2]$ зима'!u1819-'[2]$ зима'!t1819-'[2]$ зима'!s1819-'[2]$ зима'!r1819-'[2]$ зима'!p1819-'[2]$ зима'!o1819-'[2]$ зима'!n1819-'[2]$ зима'!m1819-'[2]$ зима'!l1819+'[2]$ зима'!q1819+'[2]$ зима'!w1819+'[2]$ зима'!ac1819+'[2]$ зима'!ai1819+'[2]$ зима'!ao1819+'[2]$ зима'!k1819</f>
        <v>8</v>
      </c>
      <c r="I1819" s="191" t="n">
        <f aca="false">'[2]$ зима'!ay1819*1.1</f>
        <v>2499.2</v>
      </c>
    </row>
    <row r="1820" customFormat="false" ht="15" hidden="false" customHeight="false" outlineLevel="0" collapsed="false">
      <c r="A1820" s="196" t="s">
        <v>335</v>
      </c>
      <c r="B1820" s="149" t="s">
        <v>1028</v>
      </c>
      <c r="C1820" s="148" t="s">
        <v>3938</v>
      </c>
      <c r="D1820" s="202"/>
      <c r="E1820" s="211"/>
      <c r="F1820" s="211"/>
      <c r="G1820" s="203" t="s">
        <v>626</v>
      </c>
      <c r="H1820" s="105" t="n">
        <f aca="false">'[2]$ зима'!j1820-'[2]$ зима'!au1820-'[2]$ зима'!at1820-'[2]$ зима'!as1820-'[2]$ зима'!ar1820-'[2]$ зима'!aq1820-'[2]$ зима'!ap1820-'[2]$ зима'!an1820-'[2]$ зима'!am1820-'[2]$ зима'!al1820-'[2]$ зима'!ak1820-'[2]$ зима'!aj1820-'[2]$ зима'!ah1820-'[2]$ зима'!ag1820-'[2]$ зима'!af1820-'[2]$ зима'!ae1820-'[2]$ зима'!ad1820-'[2]$ зима'!ab1820-'[2]$ зима'!aa1820-'[2]$ зима'!z1820-'[2]$ зима'!y1820-'[2]$ зима'!x1820-'[2]$ зима'!v1820-'[2]$ зима'!u1820-'[2]$ зима'!t1820-'[2]$ зима'!s1820-'[2]$ зима'!r1820-'[2]$ зима'!p1820-'[2]$ зима'!o1820-'[2]$ зима'!n1820-'[2]$ зима'!m1820-'[2]$ зима'!l1820+'[2]$ зима'!q1820+'[2]$ зима'!w1820+'[2]$ зима'!ac1820+'[2]$ зима'!ai1820+'[2]$ зима'!ao1820+'[2]$ зима'!k1820</f>
        <v>8</v>
      </c>
      <c r="I1820" s="191" t="n">
        <f aca="false">'[2]$ зима'!ay1820*1.1</f>
        <v>3436.4</v>
      </c>
      <c r="J1820" s="171" t="n">
        <v>2017</v>
      </c>
    </row>
    <row r="1821" customFormat="false" ht="15" hidden="false" customHeight="false" outlineLevel="0" collapsed="false">
      <c r="A1821" s="196" t="s">
        <v>335</v>
      </c>
      <c r="B1821" s="149" t="s">
        <v>623</v>
      </c>
      <c r="C1821" s="148" t="s">
        <v>3958</v>
      </c>
      <c r="D1821" s="202"/>
      <c r="E1821" s="211"/>
      <c r="F1821" s="211"/>
      <c r="G1821" s="203"/>
      <c r="H1821" s="105" t="n">
        <f aca="false">'[2]$ зима'!j1821-'[2]$ зима'!au1821-'[2]$ зима'!at1821-'[2]$ зима'!as1821-'[2]$ зима'!ar1821-'[2]$ зима'!aq1821-'[2]$ зима'!ap1821-'[2]$ зима'!an1821-'[2]$ зима'!am1821-'[2]$ зима'!al1821-'[2]$ зима'!ak1821-'[2]$ зима'!aj1821-'[2]$ зима'!ah1821-'[2]$ зима'!ag1821-'[2]$ зима'!af1821-'[2]$ зима'!ae1821-'[2]$ зима'!ad1821-'[2]$ зима'!ab1821-'[2]$ зима'!aa1821-'[2]$ зима'!z1821-'[2]$ зима'!y1821-'[2]$ зима'!x1821-'[2]$ зима'!v1821-'[2]$ зима'!u1821-'[2]$ зима'!t1821-'[2]$ зима'!s1821-'[2]$ зима'!r1821-'[2]$ зима'!p1821-'[2]$ зима'!o1821-'[2]$ зима'!n1821-'[2]$ зима'!m1821-'[2]$ зима'!l1821+'[2]$ зима'!q1821+'[2]$ зима'!w1821+'[2]$ зима'!ac1821+'[2]$ зима'!ai1821+'[2]$ зима'!ao1821+'[2]$ зима'!k1821</f>
        <v>8</v>
      </c>
      <c r="I1821" s="191" t="n">
        <f aca="false">'[2]$ зима'!ay1821*1.1</f>
        <v>2499.2</v>
      </c>
    </row>
    <row r="1822" customFormat="false" ht="15" hidden="false" customHeight="false" outlineLevel="0" collapsed="false">
      <c r="A1822" s="196" t="s">
        <v>341</v>
      </c>
      <c r="B1822" s="149" t="s">
        <v>844</v>
      </c>
      <c r="C1822" s="148" t="s">
        <v>3946</v>
      </c>
      <c r="D1822" s="202"/>
      <c r="E1822" s="211"/>
      <c r="F1822" s="211"/>
      <c r="G1822" s="203" t="s">
        <v>663</v>
      </c>
      <c r="H1822" s="105" t="n">
        <f aca="false">'[2]$ зима'!j1822-'[2]$ зима'!au1822-'[2]$ зима'!at1822-'[2]$ зима'!as1822-'[2]$ зима'!ar1822-'[2]$ зима'!aq1822-'[2]$ зима'!ap1822-'[2]$ зима'!an1822-'[2]$ зима'!am1822-'[2]$ зима'!al1822-'[2]$ зима'!ak1822-'[2]$ зима'!aj1822-'[2]$ зима'!ah1822-'[2]$ зима'!ag1822-'[2]$ зима'!af1822-'[2]$ зима'!ae1822-'[2]$ зима'!ad1822-'[2]$ зима'!ab1822-'[2]$ зима'!aa1822-'[2]$ зима'!z1822-'[2]$ зима'!y1822-'[2]$ зима'!x1822-'[2]$ зима'!v1822-'[2]$ зима'!u1822-'[2]$ зима'!t1822-'[2]$ зима'!s1822-'[2]$ зима'!r1822-'[2]$ зима'!p1822-'[2]$ зима'!o1822-'[2]$ зима'!n1822-'[2]$ зима'!m1822-'[2]$ зима'!l1822+'[2]$ зима'!q1822+'[2]$ зима'!w1822+'[2]$ зима'!ac1822+'[2]$ зима'!ai1822+'[2]$ зима'!ao1822+'[2]$ зима'!k1822</f>
        <v>4</v>
      </c>
      <c r="I1822" s="191" t="n">
        <f aca="false">'[2]$ зима'!ay1822*1.1</f>
        <v>3124</v>
      </c>
      <c r="J1822" s="171" t="n">
        <v>2017</v>
      </c>
    </row>
    <row r="1823" customFormat="false" ht="15" hidden="true" customHeight="false" outlineLevel="0" collapsed="false">
      <c r="A1823" s="196" t="s">
        <v>341</v>
      </c>
      <c r="B1823" s="149" t="s">
        <v>606</v>
      </c>
      <c r="C1823" s="148" t="s">
        <v>3939</v>
      </c>
      <c r="D1823" s="221"/>
      <c r="E1823" s="221"/>
      <c r="F1823" s="221"/>
      <c r="G1823" s="223"/>
      <c r="H1823" s="105" t="n">
        <f aca="false">'[2]$ зима'!j1823-'[2]$ зима'!au1823-'[2]$ зима'!at1823-'[2]$ зима'!as1823-'[2]$ зима'!ar1823-'[2]$ зима'!aq1823-'[2]$ зима'!ap1823-'[2]$ зима'!an1823-'[2]$ зима'!am1823-'[2]$ зима'!al1823-'[2]$ зима'!ak1823-'[2]$ зима'!aj1823-'[2]$ зима'!ah1823-'[2]$ зима'!ag1823-'[2]$ зима'!af1823-'[2]$ зима'!ae1823-'[2]$ зима'!ad1823-'[2]$ зима'!ab1823-'[2]$ зима'!aa1823-'[2]$ зима'!z1823-'[2]$ зима'!y1823-'[2]$ зима'!x1823-'[2]$ зима'!v1823-'[2]$ зима'!u1823-'[2]$ зима'!t1823-'[2]$ зима'!s1823-'[2]$ зима'!r1823-'[2]$ зима'!p1823-'[2]$ зима'!o1823-'[2]$ зима'!n1823-'[2]$ зима'!m1823-'[2]$ зима'!l1823+'[2]$ зима'!q1823+'[2]$ зима'!w1823+'[2]$ зима'!ac1823+'[2]$ зима'!ai1823+'[2]$ зима'!ao1823+'[2]$ зима'!k1823</f>
        <v>0</v>
      </c>
      <c r="I1823" s="191" t="n">
        <f aca="false">'[2]$ зима'!ay1823*1.1</f>
        <v>2967.8</v>
      </c>
    </row>
    <row r="1824" customFormat="false" ht="15" hidden="false" customHeight="false" outlineLevel="0" collapsed="false">
      <c r="A1824" s="65" t="s">
        <v>341</v>
      </c>
      <c r="B1824" s="149" t="s">
        <v>666</v>
      </c>
      <c r="C1824" s="148" t="s">
        <v>3926</v>
      </c>
      <c r="D1824" s="148"/>
      <c r="E1824" s="192"/>
      <c r="F1824" s="192"/>
      <c r="G1824" s="193" t="s">
        <v>663</v>
      </c>
      <c r="H1824" s="105" t="n">
        <f aca="false">'[2]$ зима'!j1824-'[2]$ зима'!au1824-'[2]$ зима'!at1824-'[2]$ зима'!as1824-'[2]$ зима'!ar1824-'[2]$ зима'!aq1824-'[2]$ зима'!ap1824-'[2]$ зима'!an1824-'[2]$ зима'!am1824-'[2]$ зима'!al1824-'[2]$ зима'!ak1824-'[2]$ зима'!aj1824-'[2]$ зима'!ah1824-'[2]$ зима'!ag1824-'[2]$ зима'!af1824-'[2]$ зима'!ae1824-'[2]$ зима'!ad1824-'[2]$ зима'!ab1824-'[2]$ зима'!aa1824-'[2]$ зима'!z1824-'[2]$ зима'!y1824-'[2]$ зима'!x1824-'[2]$ зима'!v1824-'[2]$ зима'!u1824-'[2]$ зима'!t1824-'[2]$ зима'!s1824-'[2]$ зима'!r1824-'[2]$ зима'!p1824-'[2]$ зима'!o1824-'[2]$ зима'!n1824-'[2]$ зима'!m1824-'[2]$ зима'!l1824+'[2]$ зима'!q1824+'[2]$ зима'!w1824+'[2]$ зима'!ac1824+'[2]$ зима'!ai1824+'[2]$ зима'!ao1824+'[2]$ зима'!k1824</f>
        <v>4</v>
      </c>
      <c r="I1824" s="191" t="n">
        <f aca="false">'[2]$ зима'!ay1824*1.1</f>
        <v>3373.92</v>
      </c>
    </row>
    <row r="1825" customFormat="false" ht="15" hidden="false" customHeight="false" outlineLevel="0" collapsed="false">
      <c r="A1825" s="65" t="s">
        <v>341</v>
      </c>
      <c r="B1825" s="24" t="s">
        <v>574</v>
      </c>
      <c r="C1825" s="229" t="s">
        <v>3985</v>
      </c>
      <c r="D1825" s="229"/>
      <c r="E1825" s="220" t="s">
        <v>3986</v>
      </c>
      <c r="F1825" s="220"/>
      <c r="G1825" s="193" t="s">
        <v>576</v>
      </c>
      <c r="H1825" s="105" t="n">
        <f aca="false">'[2]$ зима'!j1825-'[2]$ зима'!au1825-'[2]$ зима'!at1825-'[2]$ зима'!as1825-'[2]$ зима'!ar1825-'[2]$ зима'!aq1825-'[2]$ зима'!ap1825-'[2]$ зима'!an1825-'[2]$ зима'!am1825-'[2]$ зима'!al1825-'[2]$ зима'!ak1825-'[2]$ зима'!aj1825-'[2]$ зима'!ah1825-'[2]$ зима'!ag1825-'[2]$ зима'!af1825-'[2]$ зима'!ae1825-'[2]$ зима'!ad1825-'[2]$ зима'!ab1825-'[2]$ зима'!aa1825-'[2]$ зима'!z1825-'[2]$ зима'!y1825-'[2]$ зима'!x1825-'[2]$ зима'!v1825-'[2]$ зима'!u1825-'[2]$ зима'!t1825-'[2]$ зима'!s1825-'[2]$ зима'!r1825-'[2]$ зима'!p1825-'[2]$ зима'!o1825-'[2]$ зима'!n1825-'[2]$ зима'!m1825-'[2]$ зима'!l1825+'[2]$ зима'!q1825+'[2]$ зима'!w1825+'[2]$ зима'!ac1825+'[2]$ зима'!ai1825+'[2]$ зима'!ao1825+'[2]$ зима'!k1825</f>
        <v>12</v>
      </c>
      <c r="I1825" s="191" t="n">
        <f aca="false">'[2]$ зима'!ay1825*1.1</f>
        <v>2999.04</v>
      </c>
      <c r="J1825" s="171" t="n">
        <v>2017</v>
      </c>
    </row>
    <row r="1826" customFormat="false" ht="15" hidden="false" customHeight="false" outlineLevel="0" collapsed="false">
      <c r="A1826" s="65" t="s">
        <v>341</v>
      </c>
      <c r="B1826" s="24" t="s">
        <v>574</v>
      </c>
      <c r="C1826" s="229" t="s">
        <v>3895</v>
      </c>
      <c r="D1826" s="229"/>
      <c r="E1826" s="220" t="s">
        <v>2672</v>
      </c>
      <c r="F1826" s="220"/>
      <c r="G1826" s="193" t="s">
        <v>576</v>
      </c>
      <c r="H1826" s="105" t="n">
        <f aca="false">'[2]$ зима'!j1826-'[2]$ зима'!au1826-'[2]$ зима'!at1826-'[2]$ зима'!as1826-'[2]$ зима'!ar1826-'[2]$ зима'!aq1826-'[2]$ зима'!ap1826-'[2]$ зима'!an1826-'[2]$ зима'!am1826-'[2]$ зима'!al1826-'[2]$ зима'!ak1826-'[2]$ зима'!aj1826-'[2]$ зима'!ah1826-'[2]$ зима'!ag1826-'[2]$ зима'!af1826-'[2]$ зима'!ae1826-'[2]$ зима'!ad1826-'[2]$ зима'!ab1826-'[2]$ зима'!aa1826-'[2]$ зима'!z1826-'[2]$ зима'!y1826-'[2]$ зима'!x1826-'[2]$ зима'!v1826-'[2]$ зима'!u1826-'[2]$ зима'!t1826-'[2]$ зима'!s1826-'[2]$ зима'!r1826-'[2]$ зима'!p1826-'[2]$ зима'!o1826-'[2]$ зима'!n1826-'[2]$ зима'!m1826-'[2]$ зима'!l1826+'[2]$ зима'!q1826+'[2]$ зима'!w1826+'[2]$ зима'!ac1826+'[2]$ зима'!ai1826+'[2]$ зима'!ao1826+'[2]$ зима'!k1826</f>
        <v>52</v>
      </c>
      <c r="I1826" s="191" t="n">
        <f aca="false">'[2]$ зима'!ay1826*1.1</f>
        <v>3030.28</v>
      </c>
      <c r="J1826" s="171" t="n">
        <v>2018</v>
      </c>
    </row>
    <row r="1827" customFormat="false" ht="15" hidden="true" customHeight="false" outlineLevel="0" collapsed="false">
      <c r="A1827" s="65" t="s">
        <v>341</v>
      </c>
      <c r="B1827" s="24" t="s">
        <v>574</v>
      </c>
      <c r="C1827" s="229" t="s">
        <v>3987</v>
      </c>
      <c r="D1827" s="229"/>
      <c r="E1827" s="229" t="s">
        <v>3986</v>
      </c>
      <c r="F1827" s="229"/>
      <c r="G1827" s="193" t="s">
        <v>576</v>
      </c>
      <c r="H1827" s="105" t="n">
        <f aca="false">'[2]$ зима'!j1827-'[2]$ зима'!au1827-'[2]$ зима'!at1827-'[2]$ зима'!as1827-'[2]$ зима'!ar1827-'[2]$ зима'!aq1827-'[2]$ зима'!ap1827-'[2]$ зима'!an1827-'[2]$ зима'!am1827-'[2]$ зима'!al1827-'[2]$ зима'!ak1827-'[2]$ зима'!aj1827-'[2]$ зима'!ah1827-'[2]$ зима'!ag1827-'[2]$ зима'!af1827-'[2]$ зима'!ae1827-'[2]$ зима'!ad1827-'[2]$ зима'!ab1827-'[2]$ зима'!aa1827-'[2]$ зима'!z1827-'[2]$ зима'!y1827-'[2]$ зима'!x1827-'[2]$ зима'!v1827-'[2]$ зима'!u1827-'[2]$ зима'!t1827-'[2]$ зима'!s1827-'[2]$ зима'!r1827-'[2]$ зима'!p1827-'[2]$ зима'!o1827-'[2]$ зима'!n1827-'[2]$ зима'!m1827-'[2]$ зима'!l1827+'[2]$ зима'!q1827+'[2]$ зима'!w1827+'[2]$ зима'!ac1827+'[2]$ зима'!ai1827+'[2]$ зима'!ao1827+'[2]$ зима'!k1827</f>
        <v>0</v>
      </c>
      <c r="I1827" s="191" t="n">
        <f aca="false">'[2]$ зима'!ay1827*1.1</f>
        <v>2811.6</v>
      </c>
    </row>
    <row r="1828" customFormat="false" ht="15" hidden="true" customHeight="false" outlineLevel="0" collapsed="false">
      <c r="A1828" s="196" t="s">
        <v>341</v>
      </c>
      <c r="B1828" s="149" t="s">
        <v>583</v>
      </c>
      <c r="C1828" s="148" t="s">
        <v>3988</v>
      </c>
      <c r="D1828" s="148"/>
      <c r="E1828" s="148"/>
      <c r="F1828" s="148"/>
      <c r="G1828" s="193"/>
      <c r="H1828" s="105" t="n">
        <f aca="false">'[2]$ зима'!j1828-'[2]$ зима'!au1828-'[2]$ зима'!at1828-'[2]$ зима'!as1828-'[2]$ зима'!ar1828-'[2]$ зима'!aq1828-'[2]$ зима'!ap1828-'[2]$ зима'!an1828-'[2]$ зима'!am1828-'[2]$ зима'!al1828-'[2]$ зима'!ak1828-'[2]$ зима'!aj1828-'[2]$ зима'!ah1828-'[2]$ зима'!ag1828-'[2]$ зима'!af1828-'[2]$ зима'!ae1828-'[2]$ зима'!ad1828-'[2]$ зима'!ab1828-'[2]$ зима'!aa1828-'[2]$ зима'!z1828-'[2]$ зима'!y1828-'[2]$ зима'!x1828-'[2]$ зима'!v1828-'[2]$ зима'!u1828-'[2]$ зима'!t1828-'[2]$ зима'!s1828-'[2]$ зима'!r1828-'[2]$ зима'!p1828-'[2]$ зима'!o1828-'[2]$ зима'!n1828-'[2]$ зима'!m1828-'[2]$ зима'!l1828+'[2]$ зима'!q1828+'[2]$ зима'!w1828+'[2]$ зима'!ac1828+'[2]$ зима'!ai1828+'[2]$ зима'!ao1828+'[2]$ зима'!k1828</f>
        <v>0</v>
      </c>
      <c r="I1828" s="191" t="n">
        <f aca="false">'[2]$ зима'!ay1828*1.1</f>
        <v>2811.6</v>
      </c>
    </row>
    <row r="1829" customFormat="false" ht="15" hidden="false" customHeight="false" outlineLevel="0" collapsed="false">
      <c r="A1829" s="196" t="s">
        <v>341</v>
      </c>
      <c r="B1829" s="149" t="s">
        <v>593</v>
      </c>
      <c r="C1829" s="148" t="s">
        <v>3930</v>
      </c>
      <c r="D1829" s="202"/>
      <c r="E1829" s="211" t="s">
        <v>3986</v>
      </c>
      <c r="F1829" s="211"/>
      <c r="G1829" s="203"/>
      <c r="H1829" s="105" t="n">
        <f aca="false">'[2]$ зима'!j1829-'[2]$ зима'!au1829-'[2]$ зима'!at1829-'[2]$ зима'!as1829-'[2]$ зима'!ar1829-'[2]$ зима'!aq1829-'[2]$ зима'!ap1829-'[2]$ зима'!an1829-'[2]$ зима'!am1829-'[2]$ зима'!al1829-'[2]$ зима'!ak1829-'[2]$ зима'!aj1829-'[2]$ зима'!ah1829-'[2]$ зима'!ag1829-'[2]$ зима'!af1829-'[2]$ зима'!ae1829-'[2]$ зима'!ad1829-'[2]$ зима'!ab1829-'[2]$ зима'!aa1829-'[2]$ зима'!z1829-'[2]$ зима'!y1829-'[2]$ зима'!x1829-'[2]$ зима'!v1829-'[2]$ зима'!u1829-'[2]$ зима'!t1829-'[2]$ зима'!s1829-'[2]$ зима'!r1829-'[2]$ зима'!p1829-'[2]$ зима'!o1829-'[2]$ зима'!n1829-'[2]$ зима'!m1829-'[2]$ зима'!l1829+'[2]$ зима'!q1829+'[2]$ зима'!w1829+'[2]$ зима'!ac1829+'[2]$ зима'!ai1829+'[2]$ зима'!ao1829+'[2]$ зима'!k1829</f>
        <v>9</v>
      </c>
      <c r="I1829" s="191" t="n">
        <f aca="false">'[2]$ зима'!ay1829*1.1</f>
        <v>4654.76</v>
      </c>
    </row>
    <row r="1830" customFormat="false" ht="15" hidden="false" customHeight="false" outlineLevel="0" collapsed="false">
      <c r="A1830" s="196" t="s">
        <v>341</v>
      </c>
      <c r="B1830" s="149" t="s">
        <v>593</v>
      </c>
      <c r="C1830" s="148" t="s">
        <v>3325</v>
      </c>
      <c r="D1830" s="148" t="s">
        <v>3147</v>
      </c>
      <c r="E1830" s="192"/>
      <c r="F1830" s="192"/>
      <c r="G1830" s="193"/>
      <c r="H1830" s="105" t="n">
        <f aca="false">'[2]$ зима'!j1830-'[2]$ зима'!au1830-'[2]$ зима'!at1830-'[2]$ зима'!as1830-'[2]$ зима'!ar1830-'[2]$ зима'!aq1830-'[2]$ зима'!ap1830-'[2]$ зима'!an1830-'[2]$ зима'!am1830-'[2]$ зима'!al1830-'[2]$ зима'!ak1830-'[2]$ зима'!aj1830-'[2]$ зима'!ah1830-'[2]$ зима'!ag1830-'[2]$ зима'!af1830-'[2]$ зима'!ae1830-'[2]$ зима'!ad1830-'[2]$ зима'!ab1830-'[2]$ зима'!aa1830-'[2]$ зима'!z1830-'[2]$ зима'!y1830-'[2]$ зима'!x1830-'[2]$ зима'!v1830-'[2]$ зима'!u1830-'[2]$ зима'!t1830-'[2]$ зима'!s1830-'[2]$ зима'!r1830-'[2]$ зима'!p1830-'[2]$ зима'!o1830-'[2]$ зима'!n1830-'[2]$ зима'!m1830-'[2]$ зима'!l1830+'[2]$ зима'!q1830+'[2]$ зима'!w1830+'[2]$ зима'!ac1830+'[2]$ зима'!ai1830+'[2]$ зима'!ao1830+'[2]$ зима'!k1830</f>
        <v>6</v>
      </c>
      <c r="I1830" s="191" t="n">
        <f aca="false">'[2]$ зима'!ay1830*1.1</f>
        <v>4467.32</v>
      </c>
      <c r="J1830" s="171" t="n">
        <v>2015</v>
      </c>
    </row>
    <row r="1831" customFormat="false" ht="15" hidden="false" customHeight="false" outlineLevel="0" collapsed="false">
      <c r="A1831" s="196" t="s">
        <v>341</v>
      </c>
      <c r="B1831" s="149" t="s">
        <v>586</v>
      </c>
      <c r="C1831" s="148" t="s">
        <v>3931</v>
      </c>
      <c r="D1831" s="148"/>
      <c r="E1831" s="192"/>
      <c r="F1831" s="192"/>
      <c r="G1831" s="193"/>
      <c r="H1831" s="105" t="n">
        <f aca="false">'[2]$ зима'!j1831-'[2]$ зима'!au1831-'[2]$ зима'!at1831-'[2]$ зима'!as1831-'[2]$ зима'!ar1831-'[2]$ зима'!aq1831-'[2]$ зима'!ap1831-'[2]$ зима'!an1831-'[2]$ зима'!am1831-'[2]$ зима'!al1831-'[2]$ зима'!ak1831-'[2]$ зима'!aj1831-'[2]$ зима'!ah1831-'[2]$ зима'!ag1831-'[2]$ зима'!af1831-'[2]$ зима'!ae1831-'[2]$ зима'!ad1831-'[2]$ зима'!ab1831-'[2]$ зима'!aa1831-'[2]$ зима'!z1831-'[2]$ зима'!y1831-'[2]$ зима'!x1831-'[2]$ зима'!v1831-'[2]$ зима'!u1831-'[2]$ зима'!t1831-'[2]$ зима'!s1831-'[2]$ зима'!r1831-'[2]$ зима'!p1831-'[2]$ зима'!o1831-'[2]$ зима'!n1831-'[2]$ зима'!m1831-'[2]$ зима'!l1831+'[2]$ зима'!q1831+'[2]$ зима'!w1831+'[2]$ зима'!ac1831+'[2]$ зима'!ai1831+'[2]$ зима'!ao1831+'[2]$ зима'!k1831</f>
        <v>6</v>
      </c>
      <c r="I1831" s="191" t="n">
        <f aca="false">'[2]$ зима'!ay1831*1.1</f>
        <v>2030.6</v>
      </c>
    </row>
    <row r="1832" customFormat="false" ht="15" hidden="true" customHeight="false" outlineLevel="0" collapsed="false">
      <c r="A1832" s="196" t="s">
        <v>341</v>
      </c>
      <c r="B1832" s="149" t="s">
        <v>762</v>
      </c>
      <c r="C1832" s="148" t="s">
        <v>3934</v>
      </c>
      <c r="D1832" s="148"/>
      <c r="E1832" s="148"/>
      <c r="F1832" s="148"/>
      <c r="G1832" s="193"/>
      <c r="H1832" s="105" t="n">
        <f aca="false">'[2]$ зима'!j1832-'[2]$ зима'!au1832-'[2]$ зима'!at1832-'[2]$ зима'!as1832-'[2]$ зима'!ar1832-'[2]$ зима'!aq1832-'[2]$ зима'!ap1832-'[2]$ зима'!an1832-'[2]$ зима'!am1832-'[2]$ зима'!al1832-'[2]$ зима'!ak1832-'[2]$ зима'!aj1832-'[2]$ зима'!ah1832-'[2]$ зима'!ag1832-'[2]$ зима'!af1832-'[2]$ зима'!ae1832-'[2]$ зима'!ad1832-'[2]$ зима'!ab1832-'[2]$ зима'!aa1832-'[2]$ зима'!z1832-'[2]$ зима'!y1832-'[2]$ зима'!x1832-'[2]$ зима'!v1832-'[2]$ зима'!u1832-'[2]$ зима'!t1832-'[2]$ зима'!s1832-'[2]$ зима'!r1832-'[2]$ зима'!p1832-'[2]$ зима'!o1832-'[2]$ зима'!n1832-'[2]$ зима'!m1832-'[2]$ зима'!l1832+'[2]$ зима'!q1832+'[2]$ зима'!w1832+'[2]$ зима'!ac1832+'[2]$ зима'!ai1832+'[2]$ зима'!ao1832+'[2]$ зима'!k1832</f>
        <v>0</v>
      </c>
      <c r="I1832" s="191" t="n">
        <f aca="false">'[2]$ зима'!ay1832*1.1</f>
        <v>2561.68</v>
      </c>
    </row>
    <row r="1833" customFormat="false" ht="15" hidden="true" customHeight="false" outlineLevel="0" collapsed="false">
      <c r="A1833" s="149" t="s">
        <v>341</v>
      </c>
      <c r="B1833" s="247" t="s">
        <v>833</v>
      </c>
      <c r="C1833" s="204" t="s">
        <v>3989</v>
      </c>
      <c r="D1833" s="221"/>
      <c r="E1833" s="221"/>
      <c r="F1833" s="221"/>
      <c r="G1833" s="203"/>
      <c r="H1833" s="105" t="n">
        <f aca="false">'[2]$ зима'!j1833-'[2]$ зима'!au1833-'[2]$ зима'!at1833-'[2]$ зима'!as1833-'[2]$ зима'!ar1833-'[2]$ зима'!aq1833-'[2]$ зима'!ap1833-'[2]$ зима'!an1833-'[2]$ зима'!am1833-'[2]$ зима'!al1833-'[2]$ зима'!ak1833-'[2]$ зима'!aj1833-'[2]$ зима'!ah1833-'[2]$ зима'!ag1833-'[2]$ зима'!af1833-'[2]$ зима'!ae1833-'[2]$ зима'!ad1833-'[2]$ зима'!ab1833-'[2]$ зима'!aa1833-'[2]$ зима'!z1833-'[2]$ зима'!y1833-'[2]$ зима'!x1833-'[2]$ зима'!v1833-'[2]$ зима'!u1833-'[2]$ зима'!t1833-'[2]$ зима'!s1833-'[2]$ зима'!r1833-'[2]$ зима'!p1833-'[2]$ зима'!o1833-'[2]$ зима'!n1833-'[2]$ зима'!m1833-'[2]$ зима'!l1833+'[2]$ зима'!q1833+'[2]$ зима'!w1833+'[2]$ зима'!ac1833+'[2]$ зима'!ai1833+'[2]$ зима'!ao1833+'[2]$ зима'!k1833</f>
        <v>0</v>
      </c>
      <c r="I1833" s="191" t="n">
        <f aca="false">'[2]$ зима'!ay1833*1.1</f>
        <v>2061.84</v>
      </c>
    </row>
    <row r="1834" customFormat="false" ht="15" hidden="false" customHeight="false" outlineLevel="0" collapsed="false">
      <c r="A1834" s="149" t="s">
        <v>341</v>
      </c>
      <c r="B1834" s="248" t="s">
        <v>623</v>
      </c>
      <c r="C1834" s="148" t="s">
        <v>3958</v>
      </c>
      <c r="D1834" s="148"/>
      <c r="E1834" s="192"/>
      <c r="F1834" s="192"/>
      <c r="G1834" s="193"/>
      <c r="H1834" s="105" t="n">
        <f aca="false">'[2]$ зима'!j1834-'[2]$ зима'!au1834-'[2]$ зима'!at1834-'[2]$ зима'!as1834-'[2]$ зима'!ar1834-'[2]$ зима'!aq1834-'[2]$ зима'!ap1834-'[2]$ зима'!an1834-'[2]$ зима'!am1834-'[2]$ зима'!al1834-'[2]$ зима'!ak1834-'[2]$ зима'!aj1834-'[2]$ зима'!ah1834-'[2]$ зима'!ag1834-'[2]$ зима'!af1834-'[2]$ зима'!ae1834-'[2]$ зима'!ad1834-'[2]$ зима'!ab1834-'[2]$ зима'!aa1834-'[2]$ зима'!z1834-'[2]$ зима'!y1834-'[2]$ зима'!x1834-'[2]$ зима'!v1834-'[2]$ зима'!u1834-'[2]$ зима'!t1834-'[2]$ зима'!s1834-'[2]$ зима'!r1834-'[2]$ зима'!p1834-'[2]$ зима'!o1834-'[2]$ зима'!n1834-'[2]$ зима'!m1834-'[2]$ зима'!l1834+'[2]$ зима'!q1834+'[2]$ зима'!w1834+'[2]$ зима'!ac1834+'[2]$ зима'!ai1834+'[2]$ зима'!ao1834+'[2]$ зима'!k1834</f>
        <v>2</v>
      </c>
      <c r="I1834" s="191" t="n">
        <f aca="false">'[2]$ зима'!ay1834*1.1</f>
        <v>2436.72</v>
      </c>
      <c r="J1834" s="171" t="n">
        <v>2017</v>
      </c>
    </row>
    <row r="1835" customFormat="false" ht="15" hidden="false" customHeight="false" outlineLevel="0" collapsed="false">
      <c r="B1835" s="1" t="s">
        <v>1030</v>
      </c>
      <c r="C1835" s="249"/>
      <c r="D1835" s="249"/>
      <c r="E1835" s="250"/>
      <c r="F1835" s="250"/>
      <c r="G1835" s="251"/>
      <c r="H1835" s="252"/>
    </row>
  </sheetData>
  <autoFilter ref="H1:H184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5" activeCellId="0" sqref="H45"/>
    </sheetView>
  </sheetViews>
  <sheetFormatPr defaultRowHeight="15" zeroHeight="false" outlineLevelRow="0" outlineLevelCol="0"/>
  <cols>
    <col collapsed="false" customWidth="false" hidden="false" outlineLevel="0" max="1" min="1" style="0" width="11.42"/>
    <col collapsed="false" customWidth="true" hidden="false" outlineLevel="0" max="2" min="2" style="0" width="17.85"/>
    <col collapsed="false" customWidth="true" hidden="false" outlineLevel="0" max="3" min="3" style="0" width="11.56"/>
    <col collapsed="false" customWidth="true" hidden="false" outlineLevel="0" max="4" min="4" style="0" width="7.13"/>
    <col collapsed="false" customWidth="true" hidden="false" outlineLevel="0" max="5" min="5" style="0" width="8.7"/>
    <col collapsed="false" customWidth="true" hidden="false" outlineLevel="0" max="6" min="6" style="0" width="8.42"/>
    <col collapsed="false" customWidth="true" hidden="false" outlineLevel="0" max="7" min="7" style="0" width="8.96"/>
    <col collapsed="false" customWidth="true" hidden="false" outlineLevel="0" max="8" min="8" style="0" width="7.13"/>
    <col collapsed="false" customWidth="true" hidden="false" outlineLevel="0" max="9" min="9" style="0" width="6.42"/>
    <col collapsed="false" customWidth="true" hidden="false" outlineLevel="0" max="1025" min="10" style="0" width="8.96"/>
  </cols>
  <sheetData>
    <row r="1" customFormat="false" ht="16.5" hidden="false" customHeight="false" outlineLevel="0" collapsed="false">
      <c r="A1" s="253"/>
      <c r="B1" s="254" t="s">
        <v>0</v>
      </c>
      <c r="C1" s="255"/>
      <c r="D1" s="255"/>
      <c r="E1" s="256"/>
      <c r="F1" s="257"/>
      <c r="G1" s="258"/>
      <c r="H1" s="259"/>
      <c r="I1" s="260"/>
    </row>
    <row r="2" customFormat="false" ht="39" hidden="false" customHeight="false" outlineLevel="0" collapsed="false">
      <c r="A2" s="261" t="s">
        <v>3990</v>
      </c>
      <c r="B2" s="262" t="s">
        <v>3120</v>
      </c>
      <c r="C2" s="262" t="s">
        <v>3991</v>
      </c>
      <c r="D2" s="262" t="s">
        <v>3992</v>
      </c>
      <c r="E2" s="263" t="s">
        <v>3993</v>
      </c>
      <c r="F2" s="264" t="s">
        <v>3994</v>
      </c>
      <c r="G2" s="265" t="s">
        <v>3995</v>
      </c>
      <c r="H2" s="266" t="s">
        <v>3996</v>
      </c>
      <c r="I2" s="267" t="s">
        <v>3997</v>
      </c>
    </row>
    <row r="3" customFormat="false" ht="18" hidden="false" customHeight="false" outlineLevel="0" collapsed="false">
      <c r="A3" s="268"/>
      <c r="B3" s="269" t="s">
        <v>15</v>
      </c>
      <c r="C3" s="268"/>
      <c r="D3" s="268"/>
      <c r="E3" s="270"/>
      <c r="F3" s="271"/>
      <c r="G3" s="268"/>
      <c r="H3" s="272"/>
      <c r="I3" s="273"/>
    </row>
    <row r="4" customFormat="false" ht="15" hidden="false" customHeight="false" outlineLevel="0" collapsed="false">
      <c r="A4" s="274" t="s">
        <v>476</v>
      </c>
      <c r="B4" s="275"/>
      <c r="C4" s="276" t="s">
        <v>3998</v>
      </c>
      <c r="D4" s="277" t="n">
        <v>45</v>
      </c>
      <c r="E4" s="278" t="s">
        <v>3999</v>
      </c>
      <c r="F4" s="275" t="s">
        <v>4000</v>
      </c>
      <c r="G4" s="275" t="s">
        <v>4001</v>
      </c>
      <c r="H4" s="279" t="n">
        <f aca="false">[2]диски!i4+[2]диски!j4-[2]диски!k4-[2]диски!l4-[2]диски!m4-[2]диски!n4-[2]диски!o4+[2]диски!p4-[2]диски!q4-[2]диски!r4-[2]диски!s4-[2]диски!t4-[2]диски!u4+[2]диски!v4-[2]диски!w4-[2]диски!x4-[2]диски!y4-[2]диски!z4-[2]диски!aa4+[2]диски!ab4-[2]диски!ac4-[2]диски!ad4-[2]диски!ae4-[2]диски!af4-[2]диски!ag4+[2]диски!ah4-[2]диски!ai4-[2]диски!aj4-[2]диски!ak4-[2]диски!al4-[2]диски!am4+[2]диски!an4-[2]диски!ao4-[2]диски!ap4-[2]диски!aq4-[2]диски!ar4-[2]диски!as4-[2]диски!at4</f>
        <v>1</v>
      </c>
      <c r="I4" s="280" t="n">
        <f aca="false">[2]диски!av4*1.2</f>
        <v>360</v>
      </c>
    </row>
    <row r="5" customFormat="false" ht="18" hidden="false" customHeight="false" outlineLevel="0" collapsed="false">
      <c r="A5" s="281"/>
      <c r="B5" s="282" t="s">
        <v>78</v>
      </c>
      <c r="C5" s="283"/>
      <c r="D5" s="283"/>
      <c r="E5" s="284"/>
      <c r="F5" s="284"/>
      <c r="G5" s="283"/>
      <c r="H5" s="279"/>
      <c r="I5" s="285" t="n">
        <f aca="false">[2]диски!av5*1.2</f>
        <v>0</v>
      </c>
    </row>
    <row r="6" customFormat="false" ht="18" hidden="true" customHeight="false" outlineLevel="0" collapsed="false">
      <c r="A6" s="286" t="s">
        <v>476</v>
      </c>
      <c r="B6" s="287"/>
      <c r="C6" s="288" t="s">
        <v>4002</v>
      </c>
      <c r="D6" s="289" t="n">
        <v>35</v>
      </c>
      <c r="E6" s="290" t="s">
        <v>4003</v>
      </c>
      <c r="F6" s="290" t="s">
        <v>4004</v>
      </c>
      <c r="G6" s="291" t="s">
        <v>4005</v>
      </c>
      <c r="H6" s="279" t="n">
        <f aca="false">[2]диски!i6+[2]диски!j6-[2]диски!k6-[2]диски!l6-[2]диски!m6-[2]диски!n6-[2]диски!o6+[2]диски!p6-[2]диски!q6-[2]диски!r6-[2]диски!s6-[2]диски!t6-[2]диски!u6+[2]диски!v6-[2]диски!w6-[2]диски!x6-[2]диски!y6-[2]диски!z6-[2]диски!aa6+[2]диски!ab6-[2]диски!ac6-[2]диски!ad6-[2]диски!ae6-[2]диски!af6-[2]диски!ag6+[2]диски!ah6-[2]диски!ai6-[2]диски!aj6-[2]диски!ak6-[2]диски!al6-[2]диски!am6+[2]диски!an6-[2]диски!ao6-[2]диски!ap6-[2]диски!aq6-[2]диски!ar6-[2]диски!as6-[2]диски!at6</f>
        <v>0</v>
      </c>
      <c r="I6" s="280" t="n">
        <f aca="false">[2]диски!av6*1.2</f>
        <v>564</v>
      </c>
    </row>
    <row r="7" customFormat="false" ht="15" hidden="true" customHeight="false" outlineLevel="0" collapsed="false">
      <c r="A7" s="286" t="s">
        <v>476</v>
      </c>
      <c r="B7" s="292" t="s">
        <v>437</v>
      </c>
      <c r="C7" s="293" t="s">
        <v>4006</v>
      </c>
      <c r="D7" s="288" t="n">
        <v>43</v>
      </c>
      <c r="E7" s="294" t="s">
        <v>4007</v>
      </c>
      <c r="F7" s="292" t="s">
        <v>4008</v>
      </c>
      <c r="G7" s="286" t="s">
        <v>4005</v>
      </c>
      <c r="H7" s="279" t="n">
        <f aca="false">[2]диски!i7+[2]диски!j7-[2]диски!k7-[2]диски!l7-[2]диски!m7-[2]диски!n7-[2]диски!o7+[2]диски!p7-[2]диски!q7-[2]диски!r7-[2]диски!s7-[2]диски!t7-[2]диски!u7+[2]диски!v7-[2]диски!w7-[2]диски!x7-[2]диски!y7-[2]диски!z7-[2]диски!aa7+[2]диски!ab7-[2]диски!ac7-[2]диски!ad7-[2]диски!ae7-[2]диски!af7-[2]диски!ag7+[2]диски!ah7-[2]диски!ai7-[2]диски!aj7-[2]диски!ak7-[2]диски!al7-[2]диски!am7+[2]диски!an7-[2]диски!ao7-[2]диски!ap7-[2]диски!aq7-[2]диски!ar7-[2]диски!as7-[2]диски!at7</f>
        <v>0</v>
      </c>
      <c r="I7" s="280" t="n">
        <f aca="false">[2]диски!av7*1.2</f>
        <v>600</v>
      </c>
    </row>
    <row r="8" customFormat="false" ht="15" hidden="true" customHeight="false" outlineLevel="0" collapsed="false">
      <c r="A8" s="286" t="s">
        <v>476</v>
      </c>
      <c r="B8" s="286"/>
      <c r="C8" s="293" t="s">
        <v>4006</v>
      </c>
      <c r="D8" s="288" t="n">
        <v>49</v>
      </c>
      <c r="E8" s="294" t="s">
        <v>4009</v>
      </c>
      <c r="F8" s="286" t="s">
        <v>4008</v>
      </c>
      <c r="G8" s="286" t="s">
        <v>4005</v>
      </c>
      <c r="H8" s="279" t="n">
        <f aca="false">[2]диски!i8+[2]диски!j8-[2]диски!k8-[2]диски!l8-[2]диски!m8-[2]диски!n8-[2]диски!o8+[2]диски!p8-[2]диски!q8-[2]диски!r8-[2]диски!s8-[2]диски!t8-[2]диски!u8+[2]диски!v8-[2]диски!w8-[2]диски!x8-[2]диски!y8-[2]диски!z8-[2]диски!aa8+[2]диски!ab8-[2]диски!ac8-[2]диски!ad8-[2]диски!ae8-[2]диски!af8-[2]диски!ag8+[2]диски!ah8-[2]диски!ai8-[2]диски!aj8-[2]диски!ak8-[2]диски!al8-[2]диски!am8+[2]диски!an8-[2]диски!ao8-[2]диски!ap8-[2]диски!aq8-[2]диски!ar8-[2]диски!as8-[2]диски!at8</f>
        <v>0</v>
      </c>
      <c r="I8" s="280" t="n">
        <f aca="false">[2]диски!av8*1.2</f>
        <v>414</v>
      </c>
    </row>
    <row r="9" customFormat="false" ht="15" hidden="true" customHeight="false" outlineLevel="0" collapsed="false">
      <c r="A9" s="295" t="s">
        <v>476</v>
      </c>
      <c r="B9" s="296"/>
      <c r="C9" s="293" t="s">
        <v>4006</v>
      </c>
      <c r="D9" s="288" t="n">
        <v>24</v>
      </c>
      <c r="E9" s="294" t="s">
        <v>4010</v>
      </c>
      <c r="F9" s="297" t="s">
        <v>4011</v>
      </c>
      <c r="G9" s="298" t="s">
        <v>4005</v>
      </c>
      <c r="H9" s="279" t="n">
        <f aca="false">[2]диски!i9+[2]диски!j9-[2]диски!k9-[2]диски!l9-[2]диски!m9-[2]диски!n9-[2]диски!o9+[2]диски!p9-[2]диски!q9-[2]диски!r9-[2]диски!s9-[2]диски!t9-[2]диски!u9+[2]диски!v9-[2]диски!w9-[2]диски!x9-[2]диски!y9-[2]диски!z9-[2]диски!aa9+[2]диски!ab9-[2]диски!ac9-[2]диски!ad9-[2]диски!ae9-[2]диски!af9-[2]диски!ag9+[2]диски!ah9-[2]диски!ai9-[2]диски!aj9-[2]диски!ak9-[2]диски!al9-[2]диски!am9+[2]диски!an9-[2]диски!ao9-[2]диски!ap9-[2]диски!aq9-[2]диски!ar9-[2]диски!as9-[2]диски!at9</f>
        <v>0</v>
      </c>
      <c r="I9" s="280" t="n">
        <f aca="false">[2]диски!av9*1.2</f>
        <v>420</v>
      </c>
    </row>
    <row r="10" customFormat="false" ht="15" hidden="false" customHeight="false" outlineLevel="0" collapsed="false">
      <c r="A10" s="295" t="s">
        <v>476</v>
      </c>
      <c r="B10" s="299" t="s">
        <v>4012</v>
      </c>
      <c r="C10" s="293" t="s">
        <v>4006</v>
      </c>
      <c r="D10" s="286" t="n">
        <v>47.5</v>
      </c>
      <c r="E10" s="294" t="s">
        <v>4013</v>
      </c>
      <c r="F10" s="297" t="s">
        <v>4011</v>
      </c>
      <c r="G10" s="299" t="s">
        <v>4005</v>
      </c>
      <c r="H10" s="279" t="n">
        <f aca="false">[2]диски!i10+[2]диски!j10-[2]диски!k10-[2]диски!l10-[2]диски!m10-[2]диски!n10-[2]диски!o10+[2]диски!p10-[2]диски!q10-[2]диски!r10-[2]диски!s10-[2]диски!t10-[2]диски!u10+[2]диски!v10-[2]диски!w10-[2]диски!x10-[2]диски!y10-[2]диски!z10-[2]диски!aa10+[2]диски!ab10-[2]диски!ac10-[2]диски!ad10-[2]диски!ae10-[2]диски!af10-[2]диски!ag10+[2]диски!ah10-[2]диски!ai10-[2]диски!aj10-[2]диски!ak10-[2]диски!al10-[2]диски!am10+[2]диски!an10-[2]диски!ao10-[2]диски!ap10-[2]диски!aq10-[2]диски!ar10-[2]диски!as10-[2]диски!at10</f>
        <v>2</v>
      </c>
      <c r="I10" s="280" t="n">
        <f aca="false">[2]диски!av10*1.2</f>
        <v>530.4</v>
      </c>
    </row>
    <row r="11" customFormat="false" ht="15" hidden="true" customHeight="false" outlineLevel="0" collapsed="false">
      <c r="A11" s="295" t="s">
        <v>476</v>
      </c>
      <c r="B11" s="295"/>
      <c r="C11" s="293" t="s">
        <v>4006</v>
      </c>
      <c r="D11" s="295" t="n">
        <v>46</v>
      </c>
      <c r="E11" s="294" t="s">
        <v>4014</v>
      </c>
      <c r="F11" s="297" t="s">
        <v>4015</v>
      </c>
      <c r="G11" s="295" t="s">
        <v>4005</v>
      </c>
      <c r="H11" s="279" t="n">
        <f aca="false">[2]диски!i11+[2]диски!j11-[2]диски!k11-[2]диски!l11-[2]диски!m11-[2]диски!n11-[2]диски!o11+[2]диски!p11-[2]диски!q11-[2]диски!r11-[2]диски!s11-[2]диски!t11-[2]диски!u11+[2]диски!v11-[2]диски!w11-[2]диски!x11-[2]диски!y11-[2]диски!z11-[2]диски!aa11+[2]диски!ab11-[2]диски!ac11-[2]диски!ad11-[2]диски!ae11-[2]диски!af11-[2]диски!ag11+[2]диски!ah11-[2]диски!ai11-[2]диски!aj11-[2]диски!ak11-[2]диски!al11-[2]диски!am11+[2]диски!an11-[2]диски!ao11-[2]диски!ap11-[2]диски!aq11-[2]диски!ar11-[2]диски!as11-[2]диски!at11</f>
        <v>0</v>
      </c>
      <c r="I11" s="280" t="n">
        <f aca="false">[2]диски!av11*1.2</f>
        <v>636</v>
      </c>
    </row>
    <row r="12" customFormat="false" ht="15" hidden="false" customHeight="false" outlineLevel="0" collapsed="false">
      <c r="A12" s="295" t="s">
        <v>476</v>
      </c>
      <c r="B12" s="295"/>
      <c r="C12" s="293" t="s">
        <v>4006</v>
      </c>
      <c r="D12" s="300" t="n">
        <v>35</v>
      </c>
      <c r="E12" s="294" t="s">
        <v>4003</v>
      </c>
      <c r="F12" s="297" t="s">
        <v>4004</v>
      </c>
      <c r="G12" s="295" t="s">
        <v>4005</v>
      </c>
      <c r="H12" s="279" t="n">
        <f aca="false">[2]диски!i12+[2]диски!j12-[2]диски!k12-[2]диски!l12-[2]диски!m12-[2]диски!n12-[2]диски!o12+[2]диски!p12-[2]диски!q12-[2]диски!r12-[2]диски!s12-[2]диски!t12-[2]диски!u12+[2]диски!v12-[2]диски!w12-[2]диски!x12-[2]диски!y12-[2]диски!z12-[2]диски!aa12+[2]диски!ab12-[2]диски!ac12-[2]диски!ad12-[2]диски!ae12-[2]диски!af12-[2]диски!ag12+[2]диски!ah12-[2]диски!ai12-[2]диски!aj12-[2]диски!ak12-[2]диски!al12-[2]диски!am12+[2]диски!an12-[2]диски!ao12-[2]диски!ap12-[2]диски!aq12-[2]диски!ar12-[2]диски!as12-[2]диски!at12</f>
        <v>3</v>
      </c>
      <c r="I12" s="280" t="n">
        <f aca="false">[2]диски!av12*1.2</f>
        <v>588</v>
      </c>
    </row>
    <row r="13" customFormat="false" ht="15" hidden="false" customHeight="false" outlineLevel="0" collapsed="false">
      <c r="A13" s="301" t="s">
        <v>4016</v>
      </c>
      <c r="B13" s="300"/>
      <c r="C13" s="293" t="s">
        <v>4006</v>
      </c>
      <c r="D13" s="302" t="n">
        <v>38</v>
      </c>
      <c r="E13" s="290" t="s">
        <v>4017</v>
      </c>
      <c r="F13" s="303" t="s">
        <v>4008</v>
      </c>
      <c r="G13" s="295"/>
      <c r="H13" s="304" t="n">
        <f aca="false">[2]диски!i13+[2]диски!j13-[2]диски!k13-[2]диски!l13-[2]диски!m13-[2]диски!n13-[2]диски!o13+[2]диски!p13-[2]диски!q13-[2]диски!r13-[2]диски!s13-[2]диски!t13-[2]диски!u13+[2]диски!v13-[2]диски!w13-[2]диски!x13-[2]диски!y13-[2]диски!z13-[2]диски!aa13+[2]диски!ab13-[2]диски!ac13-[2]диски!ad13-[2]диски!ae13-[2]диски!af13-[2]диски!ag13+[2]диски!ah13-[2]диски!ai13-[2]диски!aj13-[2]диски!ak13-[2]диски!al13-[2]диски!am13+[2]диски!an13-[2]диски!ao13-[2]диски!ap13-[2]диски!aq13-[2]диски!ar13-[2]диски!as13-[2]диски!at13</f>
        <v>1</v>
      </c>
      <c r="I13" s="280" t="n">
        <f aca="false">[2]диски!av13*1.2</f>
        <v>480</v>
      </c>
    </row>
    <row r="14" customFormat="false" ht="15" hidden="false" customHeight="false" outlineLevel="0" collapsed="false">
      <c r="A14" s="305" t="s">
        <v>4016</v>
      </c>
      <c r="B14" s="302"/>
      <c r="C14" s="293" t="s">
        <v>4006</v>
      </c>
      <c r="D14" s="302" t="n">
        <v>18</v>
      </c>
      <c r="E14" s="290" t="s">
        <v>4018</v>
      </c>
      <c r="F14" s="303" t="s">
        <v>4011</v>
      </c>
      <c r="G14" s="295"/>
      <c r="H14" s="304" t="n">
        <f aca="false">[2]диски!i14+[2]диски!j14-[2]диски!k14-[2]диски!l14-[2]диски!m14-[2]диски!n14-[2]диски!o14+[2]диски!p14-[2]диски!q14-[2]диски!r14-[2]диски!s14-[2]диски!t14-[2]диски!u14+[2]диски!v14-[2]диски!w14-[2]диски!x14-[2]диски!y14-[2]диски!z14-[2]диски!aa14+[2]диски!ab14-[2]диски!ac14-[2]диски!ad14-[2]диски!ae14-[2]диски!af14-[2]диски!ag14+[2]диски!ah14-[2]диски!ai14-[2]диски!aj14-[2]диски!ak14-[2]диски!al14-[2]диски!am14+[2]диски!an14-[2]диски!ao14-[2]диски!ap14-[2]диски!aq14-[2]диски!ar14-[2]диски!as14-[2]диски!at14</f>
        <v>3</v>
      </c>
      <c r="I14" s="280" t="n">
        <f aca="false">[2]диски!av14*1.2</f>
        <v>480</v>
      </c>
    </row>
    <row r="15" customFormat="false" ht="15" hidden="false" customHeight="false" outlineLevel="0" collapsed="false">
      <c r="A15" s="305" t="s">
        <v>4016</v>
      </c>
      <c r="B15" s="302"/>
      <c r="C15" s="293" t="s">
        <v>4006</v>
      </c>
      <c r="D15" s="302" t="n">
        <v>47</v>
      </c>
      <c r="E15" s="290" t="s">
        <v>4013</v>
      </c>
      <c r="F15" s="303" t="s">
        <v>4011</v>
      </c>
      <c r="G15" s="295"/>
      <c r="H15" s="304" t="n">
        <f aca="false">[2]диски!i15+[2]диски!j15-[2]диски!k15-[2]диски!l15-[2]диски!m15-[2]диски!n15-[2]диски!o15+[2]диски!p15-[2]диски!q15-[2]диски!r15-[2]диски!s15-[2]диски!t15-[2]диски!u15+[2]диски!v15-[2]диски!w15-[2]диски!x15-[2]диски!y15-[2]диски!z15-[2]диски!aa15+[2]диски!ab15-[2]диски!ac15-[2]диски!ad15-[2]диски!ae15-[2]диски!af15-[2]диски!ag15+[2]диски!ah15-[2]диски!ai15-[2]диски!aj15-[2]диски!ak15-[2]диски!al15-[2]диски!am15+[2]диски!an15-[2]диски!ao15-[2]диски!ap15-[2]диски!aq15-[2]диски!ar15-[2]диски!as15-[2]диски!at15</f>
        <v>1</v>
      </c>
      <c r="I15" s="280" t="n">
        <f aca="false">[2]диски!av15*1.2</f>
        <v>480</v>
      </c>
    </row>
    <row r="16" customFormat="false" ht="15" hidden="false" customHeight="false" outlineLevel="0" collapsed="false">
      <c r="A16" s="305" t="s">
        <v>4016</v>
      </c>
      <c r="B16" s="302"/>
      <c r="C16" s="293" t="s">
        <v>4006</v>
      </c>
      <c r="D16" s="302" t="n">
        <v>44</v>
      </c>
      <c r="E16" s="290" t="s">
        <v>4019</v>
      </c>
      <c r="F16" s="303" t="s">
        <v>4020</v>
      </c>
      <c r="G16" s="295"/>
      <c r="H16" s="304" t="n">
        <f aca="false">[2]диски!i16+[2]диски!j16-[2]диски!k16-[2]диски!l16-[2]диски!m16-[2]диски!n16-[2]диски!o16+[2]диски!p16-[2]диски!q16-[2]диски!r16-[2]диски!s16-[2]диски!t16-[2]диски!u16+[2]диски!v16-[2]диски!w16-[2]диски!x16-[2]диски!y16-[2]диски!z16-[2]диски!aa16+[2]диски!ab16-[2]диски!ac16-[2]диски!ad16-[2]диски!ae16-[2]диски!af16-[2]диски!ag16+[2]диски!ah16-[2]диски!ai16-[2]диски!aj16-[2]диски!ak16-[2]диски!al16-[2]диски!am16+[2]диски!an16-[2]диски!ao16-[2]диски!ap16-[2]диски!aq16-[2]диски!ar16-[2]диски!as16-[2]диски!at16</f>
        <v>1</v>
      </c>
      <c r="I16" s="280" t="n">
        <f aca="false">[2]диски!av16*1.2</f>
        <v>480</v>
      </c>
    </row>
    <row r="17" customFormat="false" ht="15" hidden="false" customHeight="false" outlineLevel="0" collapsed="false">
      <c r="A17" s="305" t="s">
        <v>4016</v>
      </c>
      <c r="B17" s="302"/>
      <c r="C17" s="293" t="s">
        <v>4021</v>
      </c>
      <c r="D17" s="302" t="n">
        <v>37</v>
      </c>
      <c r="E17" s="290" t="s">
        <v>4003</v>
      </c>
      <c r="F17" s="303" t="s">
        <v>4004</v>
      </c>
      <c r="G17" s="295"/>
      <c r="H17" s="304" t="n">
        <f aca="false">[2]диски!i17+[2]диски!j17-[2]диски!k17-[2]диски!l17-[2]диски!m17-[2]диски!n17-[2]диски!o17+[2]диски!p17-[2]диски!q17-[2]диски!r17-[2]диски!s17-[2]диски!t17-[2]диски!u17+[2]диски!v17-[2]диски!w17-[2]диски!x17-[2]диски!y17-[2]диски!z17-[2]диски!aa17+[2]диски!ab17-[2]диски!ac17-[2]диски!ad17-[2]диски!ae17-[2]диски!af17-[2]диски!ag17+[2]диски!ah17-[2]диски!ai17-[2]диски!aj17-[2]диски!ak17-[2]диски!al17-[2]диски!am17+[2]диски!an17-[2]диски!ao17-[2]диски!ap17-[2]диски!aq17-[2]диски!ar17-[2]диски!as17-[2]диски!at17</f>
        <v>2</v>
      </c>
      <c r="I17" s="280" t="n">
        <f aca="false">[2]диски!av17*1.2</f>
        <v>480</v>
      </c>
    </row>
    <row r="18" customFormat="false" ht="18" hidden="false" customHeight="false" outlineLevel="0" collapsed="false">
      <c r="A18" s="281"/>
      <c r="B18" s="282" t="s">
        <v>145</v>
      </c>
      <c r="C18" s="283"/>
      <c r="D18" s="283"/>
      <c r="E18" s="284"/>
      <c r="F18" s="284"/>
      <c r="G18" s="306"/>
      <c r="H18" s="304"/>
      <c r="I18" s="285" t="n">
        <f aca="false">[2]диски!av18*1.2</f>
        <v>0</v>
      </c>
    </row>
    <row r="19" customFormat="false" ht="15" hidden="false" customHeight="false" outlineLevel="0" collapsed="false">
      <c r="A19" s="307" t="s">
        <v>476</v>
      </c>
      <c r="B19" s="286"/>
      <c r="C19" s="288" t="s">
        <v>4022</v>
      </c>
      <c r="D19" s="292" t="n">
        <v>43</v>
      </c>
      <c r="E19" s="308" t="s">
        <v>4009</v>
      </c>
      <c r="F19" s="297" t="s">
        <v>4023</v>
      </c>
      <c r="G19" s="286" t="s">
        <v>4005</v>
      </c>
      <c r="H19" s="304" t="n">
        <f aca="false">[2]диски!i19+[2]диски!j19-[2]диски!k19-[2]диски!l19-[2]диски!m19-[2]диски!n19-[2]диски!o19+[2]диски!p19-[2]диски!q19-[2]диски!r19-[2]диски!s19-[2]диски!t19-[2]диски!u19+[2]диски!v19-[2]диски!w19-[2]диски!x19-[2]диски!y19-[2]диски!z19-[2]диски!aa19+[2]диски!ab19-[2]диски!ac19-[2]диски!ad19-[2]диски!ae19-[2]диски!af19-[2]диски!ag19+[2]диски!ah19-[2]диски!ai19-[2]диски!aj19-[2]диски!ak19-[2]диски!al19-[2]диски!am19+[2]диски!an19-[2]диски!ao19-[2]диски!ap19-[2]диски!aq19-[2]диски!ar19-[2]диски!as19-[2]диски!at19</f>
        <v>10</v>
      </c>
      <c r="I19" s="280" t="n">
        <f aca="false">[2]диски!av19*1.2</f>
        <v>684</v>
      </c>
    </row>
    <row r="20" customFormat="false" ht="15" hidden="false" customHeight="false" outlineLevel="0" collapsed="false">
      <c r="A20" s="307" t="s">
        <v>476</v>
      </c>
      <c r="B20" s="286" t="s">
        <v>437</v>
      </c>
      <c r="C20" s="288" t="s">
        <v>4022</v>
      </c>
      <c r="D20" s="292" t="n">
        <v>43</v>
      </c>
      <c r="E20" s="308" t="s">
        <v>4007</v>
      </c>
      <c r="F20" s="297" t="s">
        <v>4024</v>
      </c>
      <c r="G20" s="286" t="s">
        <v>4005</v>
      </c>
      <c r="H20" s="279" t="n">
        <f aca="false">[2]диски!i20+[2]диски!j20-[2]диски!k20-[2]диски!l20-[2]диски!m20-[2]диски!n20-[2]диски!o20+[2]диски!p20-[2]диски!q20-[2]диски!r20-[2]диски!s20-[2]диски!t20-[2]диски!u20+[2]диски!v20-[2]диски!w20-[2]диски!x20-[2]диски!y20-[2]диски!z20-[2]диски!aa20+[2]диски!ab20-[2]диски!ac20-[2]диски!ad20-[2]диски!ae20-[2]диски!af20-[2]диски!ag20+[2]диски!ah20-[2]диски!ai20-[2]диски!aj20-[2]диски!ak20-[2]диски!al20-[2]диски!am20+[2]диски!an20-[2]диски!ao20-[2]диски!ap20-[2]диски!aq20-[2]диски!ar20-[2]диски!as20-[2]диски!at20</f>
        <v>1</v>
      </c>
      <c r="I20" s="280" t="n">
        <f aca="false">[2]диски!av20*1.2</f>
        <v>630</v>
      </c>
    </row>
    <row r="21" customFormat="false" ht="15" hidden="false" customHeight="false" outlineLevel="0" collapsed="false">
      <c r="A21" s="295" t="s">
        <v>476</v>
      </c>
      <c r="B21" s="296"/>
      <c r="C21" s="288" t="s">
        <v>4022</v>
      </c>
      <c r="D21" s="288" t="n">
        <v>45</v>
      </c>
      <c r="E21" s="294" t="s">
        <v>4009</v>
      </c>
      <c r="F21" s="297" t="s">
        <v>4015</v>
      </c>
      <c r="G21" s="298" t="s">
        <v>4005</v>
      </c>
      <c r="H21" s="279" t="n">
        <f aca="false">[2]диски!i21+[2]диски!j21-[2]диски!k21-[2]диски!l21-[2]диски!m21-[2]диски!n21-[2]диски!o21+[2]диски!p21-[2]диски!q21-[2]диски!r21-[2]диски!s21-[2]диски!t21-[2]диски!u21+[2]диски!v21-[2]диски!w21-[2]диски!x21-[2]диски!y21-[2]диски!z21-[2]диски!aa21+[2]диски!ab21-[2]диски!ac21-[2]диски!ad21-[2]диски!ae21-[2]диски!af21-[2]диски!ag21+[2]диски!ah21-[2]диски!ai21-[2]диски!aj21-[2]диски!ak21-[2]диски!al21-[2]диски!am21+[2]диски!an21-[2]диски!ao21-[2]диски!ap21-[2]диски!aq21-[2]диски!ar21-[2]диски!as21-[2]диски!at21</f>
        <v>1</v>
      </c>
      <c r="I21" s="280" t="n">
        <f aca="false">[2]диски!av21*1.2</f>
        <v>660</v>
      </c>
    </row>
    <row r="22" customFormat="false" ht="15" hidden="false" customHeight="false" outlineLevel="0" collapsed="false">
      <c r="A22" s="295" t="s">
        <v>476</v>
      </c>
      <c r="B22" s="286"/>
      <c r="C22" s="288" t="s">
        <v>4022</v>
      </c>
      <c r="D22" s="288" t="n">
        <v>45</v>
      </c>
      <c r="E22" s="308" t="s">
        <v>4014</v>
      </c>
      <c r="F22" s="297" t="s">
        <v>4015</v>
      </c>
      <c r="G22" s="286" t="s">
        <v>4005</v>
      </c>
      <c r="H22" s="279" t="n">
        <f aca="false">[2]диски!i22+[2]диски!j22-[2]диски!k22-[2]диски!l22-[2]диски!m22-[2]диски!n22-[2]диски!o22+[2]диски!p22-[2]диски!q22-[2]диски!r22-[2]диски!s22-[2]диски!t22-[2]диски!u22+[2]диски!v22-[2]диски!w22-[2]диски!x22-[2]диски!y22-[2]диски!z22-[2]диски!aa22+[2]диски!ab22-[2]диски!ac22-[2]диски!ad22-[2]диски!ae22-[2]диски!af22-[2]диски!ag22+[2]диски!ah22-[2]диски!ai22-[2]диски!aj22-[2]диски!ak22-[2]диски!al22-[2]диски!am22+[2]диски!an22-[2]диски!ao22-[2]диски!ap22-[2]диски!aq22-[2]диски!ar22-[2]диски!as22-[2]диски!at22</f>
        <v>1</v>
      </c>
      <c r="I22" s="280" t="n">
        <f aca="false">[2]диски!av22*1.2</f>
        <v>678</v>
      </c>
    </row>
    <row r="23" customFormat="false" ht="15" hidden="true" customHeight="false" outlineLevel="0" collapsed="false">
      <c r="A23" s="295" t="s">
        <v>476</v>
      </c>
      <c r="B23" s="286"/>
      <c r="C23" s="288" t="s">
        <v>4022</v>
      </c>
      <c r="D23" s="286" t="n">
        <v>35</v>
      </c>
      <c r="E23" s="308" t="s">
        <v>4025</v>
      </c>
      <c r="F23" s="297" t="s">
        <v>4026</v>
      </c>
      <c r="G23" s="286" t="s">
        <v>4005</v>
      </c>
      <c r="H23" s="279" t="n">
        <f aca="false">[2]диски!i23+[2]диски!j23-[2]диски!k23-[2]диски!l23-[2]диски!m23-[2]диски!n23-[2]диски!o23+[2]диски!p23-[2]диски!q23-[2]диски!r23-[2]диски!s23-[2]диски!t23-[2]диски!u23+[2]диски!v23-[2]диски!w23-[2]диски!x23-[2]диски!y23-[2]диски!z23-[2]диски!aa23+[2]диски!ab23-[2]диски!ac23-[2]диски!ad23-[2]диски!ae23-[2]диски!af23-[2]диски!ag23+[2]диски!ah23-[2]диски!ai23-[2]диски!aj23-[2]диски!ak23-[2]диски!al23-[2]диски!am23+[2]диски!an23-[2]диски!ao23-[2]диски!ap23-[2]диски!aq23-[2]диски!ar23-[2]диски!as23-[2]диски!at23</f>
        <v>0</v>
      </c>
      <c r="I23" s="280" t="n">
        <f aca="false">[2]диски!av23*1.2</f>
        <v>654</v>
      </c>
    </row>
    <row r="24" customFormat="false" ht="15" hidden="false" customHeight="false" outlineLevel="0" collapsed="false">
      <c r="A24" s="295" t="s">
        <v>476</v>
      </c>
      <c r="B24" s="286" t="s">
        <v>4027</v>
      </c>
      <c r="C24" s="288" t="s">
        <v>4022</v>
      </c>
      <c r="D24" s="286" t="n">
        <v>38</v>
      </c>
      <c r="E24" s="308" t="s">
        <v>4003</v>
      </c>
      <c r="F24" s="297" t="s">
        <v>4004</v>
      </c>
      <c r="G24" s="286" t="s">
        <v>4005</v>
      </c>
      <c r="H24" s="279" t="n">
        <f aca="false">[2]диски!i24+[2]диски!j24-[2]диски!k24-[2]диски!l24-[2]диски!m24-[2]диски!n24-[2]диски!o24+[2]диски!p24-[2]диски!q24-[2]диски!r24-[2]диски!s24-[2]диски!t24-[2]диски!u24+[2]диски!v24-[2]диски!w24-[2]диски!x24-[2]диски!y24-[2]диски!z24-[2]диски!aa24+[2]диски!ab24-[2]диски!ac24-[2]диски!ad24-[2]диски!ae24-[2]диски!af24-[2]диски!ag24+[2]диски!ah24-[2]диски!ai24-[2]диски!aj24-[2]диски!ak24-[2]диски!al24-[2]диски!am24+[2]диски!an24-[2]диски!ao24-[2]диски!ap24-[2]диски!aq24-[2]диски!ar24-[2]диски!as24-[2]диски!at24</f>
        <v>5</v>
      </c>
      <c r="I24" s="280" t="n">
        <f aca="false">[2]диски!av24*1.2</f>
        <v>702</v>
      </c>
    </row>
    <row r="25" customFormat="false" ht="15" hidden="true" customHeight="false" outlineLevel="0" collapsed="false">
      <c r="A25" s="295" t="s">
        <v>476</v>
      </c>
      <c r="B25" s="286"/>
      <c r="C25" s="288" t="s">
        <v>4022</v>
      </c>
      <c r="D25" s="286" t="n">
        <v>52.5</v>
      </c>
      <c r="E25" s="308" t="s">
        <v>4013</v>
      </c>
      <c r="F25" s="297" t="s">
        <v>4028</v>
      </c>
      <c r="G25" s="286" t="s">
        <v>4005</v>
      </c>
      <c r="H25" s="279" t="n">
        <f aca="false">[2]диски!i25+[2]диски!j25-[2]диски!k25-[2]диски!l25-[2]диски!m25-[2]диски!n25-[2]диски!o25+[2]диски!p25-[2]диски!q25-[2]диски!r25-[2]диски!s25-[2]диски!t25-[2]диски!u25+[2]диски!v25-[2]диски!w25-[2]диски!x25-[2]диски!y25-[2]диски!z25-[2]диски!aa25+[2]диски!ab25-[2]диски!ac25-[2]диски!ad25-[2]диски!ae25-[2]диски!af25-[2]диски!ag25+[2]диски!ah25-[2]диски!ai25-[2]диски!aj25-[2]диски!ak25-[2]диски!al25-[2]диски!am25+[2]диски!an25-[2]диски!ao25-[2]диски!ap25-[2]диски!aq25-[2]диски!ar25-[2]диски!as25-[2]диски!at25</f>
        <v>0</v>
      </c>
      <c r="I25" s="280" t="n">
        <f aca="false">[2]диски!av25*1.2</f>
        <v>660</v>
      </c>
    </row>
    <row r="26" customFormat="false" ht="15" hidden="true" customHeight="false" outlineLevel="0" collapsed="false">
      <c r="A26" s="295" t="s">
        <v>476</v>
      </c>
      <c r="B26" s="286" t="s">
        <v>4029</v>
      </c>
      <c r="C26" s="288" t="s">
        <v>4030</v>
      </c>
      <c r="D26" s="286" t="n">
        <v>35</v>
      </c>
      <c r="E26" s="308" t="s">
        <v>4010</v>
      </c>
      <c r="F26" s="297" t="s">
        <v>4031</v>
      </c>
      <c r="G26" s="286" t="s">
        <v>4005</v>
      </c>
      <c r="H26" s="279" t="n">
        <f aca="false">[2]диски!i26+[2]диски!j26-[2]диски!k26-[2]диски!l26-[2]диски!m26-[2]диски!n26-[2]диски!o26+[2]диски!p26-[2]диски!q26-[2]диски!r26-[2]диски!s26-[2]диски!t26-[2]диски!u26+[2]диски!v26-[2]диски!w26-[2]диски!x26-[2]диски!y26-[2]диски!z26-[2]диски!aa26+[2]диски!ab26-[2]диски!ac26-[2]диски!ad26-[2]диски!ae26-[2]диски!af26-[2]диски!ag26+[2]диски!ah26-[2]диски!ai26-[2]диски!aj26-[2]диски!ak26-[2]диски!al26-[2]диски!am26+[2]диски!an26-[2]диски!ao26-[2]диски!ap26-[2]диски!aq26-[2]диски!ar26-[2]диски!as26-[2]диски!at26</f>
        <v>0</v>
      </c>
      <c r="I26" s="280" t="n">
        <f aca="false">[2]диски!av26*1.2</f>
        <v>654</v>
      </c>
    </row>
    <row r="27" customFormat="false" ht="15" hidden="false" customHeight="false" outlineLevel="0" collapsed="false">
      <c r="A27" s="295" t="s">
        <v>476</v>
      </c>
      <c r="B27" s="286" t="s">
        <v>4027</v>
      </c>
      <c r="C27" s="288" t="s">
        <v>4022</v>
      </c>
      <c r="D27" s="286" t="n">
        <v>45</v>
      </c>
      <c r="E27" s="308" t="s">
        <v>4003</v>
      </c>
      <c r="F27" s="297" t="s">
        <v>4032</v>
      </c>
      <c r="G27" s="286" t="s">
        <v>4005</v>
      </c>
      <c r="H27" s="279" t="n">
        <f aca="false">[2]диски!i27+[2]диски!j27-[2]диски!k27-[2]диски!l27-[2]диски!m27-[2]диски!n27-[2]диски!o27+[2]диски!p27-[2]диски!q27-[2]диски!r27-[2]диски!s27-[2]диски!t27-[2]диски!u27+[2]диски!v27-[2]диски!w27-[2]диски!x27-[2]диски!y27-[2]диски!z27-[2]диски!aa27+[2]диски!ab27-[2]диски!ac27-[2]диски!ad27-[2]диски!ae27-[2]диски!af27-[2]диски!ag27+[2]диски!ah27-[2]диски!ai27-[2]диски!aj27-[2]диски!ak27-[2]диски!al27-[2]диски!am27+[2]диски!an27-[2]диски!ao27-[2]диски!ap27-[2]диски!aq27-[2]диски!ar27-[2]диски!as27-[2]диски!at27</f>
        <v>7</v>
      </c>
      <c r="I27" s="280" t="n">
        <f aca="false">[2]диски!av27*1.2</f>
        <v>726</v>
      </c>
    </row>
    <row r="28" customFormat="false" ht="15" hidden="false" customHeight="false" outlineLevel="0" collapsed="false">
      <c r="A28" s="295" t="s">
        <v>476</v>
      </c>
      <c r="B28" s="286"/>
      <c r="C28" s="288" t="s">
        <v>4022</v>
      </c>
      <c r="D28" s="286" t="n">
        <v>45</v>
      </c>
      <c r="E28" s="308" t="s">
        <v>4014</v>
      </c>
      <c r="F28" s="297" t="s">
        <v>4033</v>
      </c>
      <c r="G28" s="286" t="s">
        <v>4005</v>
      </c>
      <c r="H28" s="279" t="n">
        <f aca="false">[2]диски!i28+[2]диски!j28-[2]диски!k28-[2]диски!l28-[2]диски!m28-[2]диски!n28-[2]диски!o28+[2]диски!p28-[2]диски!q28-[2]диски!r28-[2]диски!s28-[2]диски!t28-[2]диски!u28+[2]диски!v28-[2]диски!w28-[2]диски!x28-[2]диски!y28-[2]диски!z28-[2]диски!aa28+[2]диски!ab28-[2]диски!ac28-[2]диски!ad28-[2]диски!ae28-[2]диски!af28-[2]диски!ag28+[2]диски!ah28-[2]диски!ai28-[2]диски!aj28-[2]диски!ak28-[2]диски!al28-[2]диски!am28+[2]диски!an28-[2]диски!ao28-[2]диски!ap28-[2]диски!aq28-[2]диски!ar28-[2]диски!as28-[2]диски!at28</f>
        <v>11</v>
      </c>
      <c r="I28" s="280" t="n">
        <f aca="false">[2]диски!av28*1.2</f>
        <v>684</v>
      </c>
    </row>
    <row r="29" customFormat="false" ht="15" hidden="false" customHeight="false" outlineLevel="0" collapsed="false">
      <c r="A29" s="309" t="s">
        <v>476</v>
      </c>
      <c r="B29" s="310"/>
      <c r="C29" s="311" t="s">
        <v>4022</v>
      </c>
      <c r="D29" s="310" t="n">
        <v>45</v>
      </c>
      <c r="E29" s="312" t="s">
        <v>4014</v>
      </c>
      <c r="F29" s="313" t="s">
        <v>4033</v>
      </c>
      <c r="G29" s="310" t="s">
        <v>4005</v>
      </c>
      <c r="H29" s="279" t="n">
        <f aca="false">[2]диски!i29+[2]диски!j29-[2]диски!k29-[2]диски!l29-[2]диски!m29-[2]диски!n29-[2]диски!o29+[2]диски!p29-[2]диски!q29-[2]диски!r29-[2]диски!s29-[2]диски!t29-[2]диски!u29+[2]диски!v29-[2]диски!w29-[2]диски!x29-[2]диски!y29-[2]диски!z29-[2]диски!aa29+[2]диски!ab29-[2]диски!ac29-[2]диски!ad29-[2]диски!ae29-[2]диски!af29-[2]диски!ag29+[2]диски!ah29-[2]диски!ai29-[2]диски!aj29-[2]диски!ak29-[2]диски!al29-[2]диски!am29+[2]диски!an29-[2]диски!ao29-[2]диски!ap29-[2]диски!aq29-[2]диски!ar29-[2]диски!as29-[2]диски!at29</f>
        <v>4</v>
      </c>
      <c r="I29" s="314" t="n">
        <f aca="false">[2]диски!av29*1.2</f>
        <v>684</v>
      </c>
    </row>
    <row r="30" customFormat="false" ht="15" hidden="false" customHeight="false" outlineLevel="0" collapsed="false">
      <c r="A30" s="295" t="s">
        <v>476</v>
      </c>
      <c r="B30" s="286"/>
      <c r="C30" s="315" t="s">
        <v>4022</v>
      </c>
      <c r="D30" s="286" t="n">
        <v>30</v>
      </c>
      <c r="E30" s="308" t="s">
        <v>4025</v>
      </c>
      <c r="F30" s="297" t="s">
        <v>4034</v>
      </c>
      <c r="G30" s="286" t="s">
        <v>4005</v>
      </c>
      <c r="H30" s="279" t="n">
        <f aca="false">[2]диски!i30+[2]диски!j30-[2]диски!k30-[2]диски!l30-[2]диски!m30-[2]диски!n30-[2]диски!o30+[2]диски!p30-[2]диски!q30-[2]диски!r30-[2]диски!s30-[2]диски!t30-[2]диски!u30+[2]диски!v30-[2]диски!w30-[2]диски!x30-[2]диски!y30-[2]диски!z30-[2]диски!aa30+[2]диски!ab30-[2]диски!ac30-[2]диски!ad30-[2]диски!ae30-[2]диски!af30-[2]диски!ag30+[2]диски!ah30-[2]диски!ai30-[2]диски!aj30-[2]диски!ak30-[2]диски!al30-[2]диски!am30+[2]диски!an30-[2]диски!ao30-[2]диски!ap30-[2]диски!aq30-[2]диски!ar30-[2]диски!as30-[2]диски!at30</f>
        <v>4</v>
      </c>
      <c r="I30" s="280" t="n">
        <f aca="false">[2]диски!av30*1.2</f>
        <v>837.6</v>
      </c>
    </row>
    <row r="31" customFormat="false" ht="15" hidden="false" customHeight="false" outlineLevel="0" collapsed="false">
      <c r="A31" s="295" t="s">
        <v>476</v>
      </c>
      <c r="B31" s="286"/>
      <c r="C31" s="315" t="s">
        <v>4022</v>
      </c>
      <c r="D31" s="286" t="n">
        <v>45</v>
      </c>
      <c r="E31" s="308" t="s">
        <v>4017</v>
      </c>
      <c r="F31" s="297" t="s">
        <v>4008</v>
      </c>
      <c r="G31" s="286" t="s">
        <v>4005</v>
      </c>
      <c r="H31" s="279" t="n">
        <f aca="false">[2]диски!i31+[2]диски!j31-[2]диски!k31-[2]диски!l31-[2]диски!m31-[2]диски!n31-[2]диски!o31+[2]диски!p31-[2]диски!q31-[2]диски!r31-[2]диски!s31-[2]диски!t31-[2]диски!u31+[2]диски!v31-[2]диски!w31-[2]диски!x31-[2]диски!y31-[2]диски!z31-[2]диски!aa31+[2]диски!ab31-[2]диски!ac31-[2]диски!ad31-[2]диски!ae31-[2]диски!af31-[2]диски!ag31+[2]диски!ah31-[2]диски!ai31-[2]диски!aj31-[2]диски!ak31-[2]диски!al31-[2]диски!am31+[2]диски!an31-[2]диски!ao31-[2]диски!ap31-[2]диски!aq31-[2]диски!ar31-[2]диски!as31-[2]диски!at31</f>
        <v>3</v>
      </c>
      <c r="I31" s="280" t="n">
        <f aca="false">[2]диски!av31*1.2</f>
        <v>606</v>
      </c>
    </row>
    <row r="32" customFormat="false" ht="15" hidden="true" customHeight="false" outlineLevel="0" collapsed="false">
      <c r="A32" s="295" t="s">
        <v>476</v>
      </c>
      <c r="B32" s="286" t="s">
        <v>4035</v>
      </c>
      <c r="C32" s="315" t="s">
        <v>4022</v>
      </c>
      <c r="D32" s="286" t="n">
        <v>43</v>
      </c>
      <c r="E32" s="308" t="s">
        <v>4007</v>
      </c>
      <c r="F32" s="297" t="s">
        <v>4008</v>
      </c>
      <c r="G32" s="286" t="s">
        <v>4005</v>
      </c>
      <c r="H32" s="279" t="n">
        <f aca="false">[2]диски!i32+[2]диски!j32-[2]диски!k32-[2]диски!l32-[2]диски!m32-[2]диски!n32-[2]диски!o32+[2]диски!p32-[2]диски!q32-[2]диски!r32-[2]диски!s32-[2]диски!t32-[2]диски!u32+[2]диски!v32-[2]диски!w32-[2]диски!x32-[2]диски!y32-[2]диски!z32-[2]диски!aa32+[2]диски!ab32-[2]диски!ac32-[2]диски!ad32-[2]диски!ae32-[2]диски!af32-[2]диски!ag32+[2]диски!ah32-[2]диски!ai32-[2]диски!aj32-[2]диски!ak32-[2]диски!al32-[2]диски!am32+[2]диски!an32-[2]диски!ao32-[2]диски!ap32-[2]диски!aq32-[2]диски!ar32-[2]диски!as32-[2]диски!at32</f>
        <v>0</v>
      </c>
      <c r="I32" s="280" t="n">
        <f aca="false">[2]диски!av32*1.2</f>
        <v>504</v>
      </c>
    </row>
    <row r="33" customFormat="false" ht="15" hidden="false" customHeight="false" outlineLevel="0" collapsed="false">
      <c r="A33" s="295" t="s">
        <v>476</v>
      </c>
      <c r="B33" s="286"/>
      <c r="C33" s="315" t="s">
        <v>4022</v>
      </c>
      <c r="D33" s="286" t="n">
        <v>18</v>
      </c>
      <c r="E33" s="308" t="s">
        <v>4010</v>
      </c>
      <c r="F33" s="297" t="s">
        <v>4011</v>
      </c>
      <c r="G33" s="286" t="s">
        <v>4005</v>
      </c>
      <c r="H33" s="279" t="n">
        <f aca="false">[2]диски!i33+[2]диски!j33-[2]диски!k33-[2]диски!l33-[2]диски!m33-[2]диски!n33-[2]диски!o33+[2]диски!p33-[2]диски!q33-[2]диски!r33-[2]диски!s33-[2]диски!t33-[2]диски!u33+[2]диски!v33-[2]диски!w33-[2]диски!x33-[2]диски!y33-[2]диски!z33-[2]диски!aa33+[2]диски!ab33-[2]диски!ac33-[2]диски!ad33-[2]диски!ae33-[2]диски!af33-[2]диски!ag33+[2]диски!ah33-[2]диски!ai33-[2]диски!aj33-[2]диски!ak33-[2]диски!al33-[2]диски!am33+[2]диски!an33-[2]диски!ao33-[2]диски!ap33-[2]диски!aq33-[2]диски!ar33-[2]диски!as33-[2]диски!at33</f>
        <v>1</v>
      </c>
      <c r="I33" s="280" t="n">
        <f aca="false">[2]диски!av33*1.2</f>
        <v>672</v>
      </c>
    </row>
    <row r="34" customFormat="false" ht="15" hidden="false" customHeight="false" outlineLevel="0" collapsed="false">
      <c r="A34" s="295" t="s">
        <v>476</v>
      </c>
      <c r="B34" s="286"/>
      <c r="C34" s="315" t="s">
        <v>4022</v>
      </c>
      <c r="D34" s="286" t="n">
        <v>47.5</v>
      </c>
      <c r="E34" s="308" t="s">
        <v>4013</v>
      </c>
      <c r="F34" s="297" t="s">
        <v>4011</v>
      </c>
      <c r="G34" s="286" t="s">
        <v>4005</v>
      </c>
      <c r="H34" s="279" t="n">
        <f aca="false">[2]диски!i34+[2]диски!j34-[2]диски!k34-[2]диски!l34-[2]диски!m34-[2]диски!n34-[2]диски!o34+[2]диски!p34-[2]диски!q34-[2]диски!r34-[2]диски!s34-[2]диски!t34-[2]диски!u34+[2]диски!v34-[2]диски!w34-[2]диски!x34-[2]диски!y34-[2]диски!z34-[2]диски!aa34+[2]диски!ab34-[2]диски!ac34-[2]диски!ad34-[2]диски!ae34-[2]диски!af34-[2]диски!ag34+[2]диски!ah34-[2]диски!ai34-[2]диски!aj34-[2]диски!ak34-[2]диски!al34-[2]диски!am34+[2]диски!an34-[2]диски!ao34-[2]диски!ap34-[2]диски!aq34-[2]диски!ar34-[2]диски!as34-[2]диски!at34</f>
        <v>4</v>
      </c>
      <c r="I34" s="280" t="n">
        <f aca="false">[2]диски!av34*1.2</f>
        <v>756</v>
      </c>
    </row>
    <row r="35" customFormat="false" ht="15" hidden="false" customHeight="false" outlineLevel="0" collapsed="false">
      <c r="A35" s="301" t="s">
        <v>4016</v>
      </c>
      <c r="B35" s="289"/>
      <c r="C35" s="315" t="s">
        <v>4022</v>
      </c>
      <c r="D35" s="289" t="n">
        <v>18</v>
      </c>
      <c r="E35" s="290" t="s">
        <v>4018</v>
      </c>
      <c r="F35" s="303" t="s">
        <v>4011</v>
      </c>
      <c r="G35" s="286"/>
      <c r="H35" s="279" t="n">
        <f aca="false">[2]диски!i35+[2]диски!j35-[2]диски!k35-[2]диски!l35-[2]диски!m35-[2]диски!n35-[2]диски!o35+[2]диски!p35-[2]диски!q35-[2]диски!r35-[2]диски!s35-[2]диски!t35-[2]диски!u35+[2]диски!v35-[2]диски!w35-[2]диски!x35-[2]диски!y35-[2]диски!z35-[2]диски!aa35+[2]диски!ab35-[2]диски!ac35-[2]диски!ad35-[2]диски!ae35-[2]диски!af35-[2]диски!ag35+[2]диски!ah35-[2]диски!ai35-[2]диски!aj35-[2]диски!ak35-[2]диски!al35-[2]диски!am35+[2]диски!an35-[2]диски!ao35-[2]диски!ap35-[2]диски!aq35-[2]диски!ar35-[2]диски!as35-[2]диски!at35</f>
        <v>3</v>
      </c>
      <c r="I35" s="280" t="n">
        <f aca="false">[2]диски!av35*1.2</f>
        <v>600</v>
      </c>
    </row>
    <row r="36" customFormat="false" ht="15" hidden="false" customHeight="false" outlineLevel="0" collapsed="false">
      <c r="A36" s="305" t="s">
        <v>4016</v>
      </c>
      <c r="B36" s="292"/>
      <c r="C36" s="315" t="s">
        <v>4022</v>
      </c>
      <c r="D36" s="292" t="n">
        <v>43</v>
      </c>
      <c r="E36" s="316" t="s">
        <v>4018</v>
      </c>
      <c r="F36" s="303" t="s">
        <v>4036</v>
      </c>
      <c r="G36" s="286"/>
      <c r="H36" s="279" t="n">
        <f aca="false">[2]диски!i36+[2]диски!j36-[2]диски!k36-[2]диски!l36-[2]диски!m36-[2]диски!n36-[2]диски!o36+[2]диски!p36-[2]диски!q36-[2]диски!r36-[2]диски!s36-[2]диски!t36-[2]диски!u36+[2]диски!v36-[2]диски!w36-[2]диски!x36-[2]диски!y36-[2]диски!z36-[2]диски!aa36+[2]диски!ab36-[2]диски!ac36-[2]диски!ad36-[2]диски!ae36-[2]диски!af36-[2]диски!ag36+[2]диски!ah36-[2]диски!ai36-[2]диски!aj36-[2]диски!ak36-[2]диски!al36-[2]диски!am36+[2]диски!an36-[2]диски!ao36-[2]диски!ap36-[2]диски!aq36-[2]диски!ar36-[2]диски!as36-[2]диски!at36</f>
        <v>2</v>
      </c>
      <c r="I36" s="280" t="n">
        <f aca="false">[2]диски!av36*1.2</f>
        <v>600</v>
      </c>
    </row>
    <row r="37" customFormat="false" ht="15" hidden="false" customHeight="false" outlineLevel="0" collapsed="false">
      <c r="A37" s="305" t="s">
        <v>4016</v>
      </c>
      <c r="B37" s="289"/>
      <c r="C37" s="315" t="s">
        <v>4022</v>
      </c>
      <c r="D37" s="289" t="n">
        <v>37</v>
      </c>
      <c r="E37" s="290" t="s">
        <v>4037</v>
      </c>
      <c r="F37" s="303" t="s">
        <v>4032</v>
      </c>
      <c r="G37" s="286"/>
      <c r="H37" s="279" t="n">
        <f aca="false">[2]диски!i37+[2]диски!j37-[2]диски!k37-[2]диски!l37-[2]диски!m37-[2]диски!n37-[2]диски!o37+[2]диски!p37-[2]диски!q37-[2]диски!r37-[2]диски!s37-[2]диски!t37-[2]диски!u37+[2]диски!v37-[2]диски!w37-[2]диски!x37-[2]диски!y37-[2]диски!z37-[2]диски!aa37+[2]диски!ab37-[2]диски!ac37-[2]диски!ad37-[2]диски!ae37-[2]диски!af37-[2]диски!ag37+[2]диски!ah37-[2]диски!ai37-[2]диски!aj37-[2]диски!ak37-[2]диски!al37-[2]диски!am37+[2]диски!an37-[2]диски!ao37-[2]диски!ap37-[2]диски!aq37-[2]диски!ar37-[2]диски!as37-[2]диски!at37</f>
        <v>2</v>
      </c>
      <c r="I37" s="280" t="n">
        <f aca="false">[2]диски!av37*1.2</f>
        <v>600</v>
      </c>
    </row>
    <row r="38" customFormat="false" ht="18" hidden="false" customHeight="false" outlineLevel="0" collapsed="false">
      <c r="A38" s="281"/>
      <c r="B38" s="282" t="s">
        <v>214</v>
      </c>
      <c r="C38" s="283"/>
      <c r="D38" s="283"/>
      <c r="E38" s="284"/>
      <c r="F38" s="284"/>
      <c r="G38" s="306"/>
      <c r="H38" s="304"/>
      <c r="I38" s="285" t="n">
        <f aca="false">[2]диски!av38*1.2</f>
        <v>0</v>
      </c>
    </row>
    <row r="39" customFormat="false" ht="15" hidden="false" customHeight="false" outlineLevel="0" collapsed="false">
      <c r="A39" s="307" t="s">
        <v>476</v>
      </c>
      <c r="B39" s="289"/>
      <c r="C39" s="294" t="s">
        <v>4038</v>
      </c>
      <c r="D39" s="316" t="s">
        <v>4039</v>
      </c>
      <c r="E39" s="316" t="s">
        <v>4040</v>
      </c>
      <c r="F39" s="294" t="s">
        <v>4041</v>
      </c>
      <c r="G39" s="286" t="s">
        <v>4005</v>
      </c>
      <c r="H39" s="279" t="n">
        <f aca="false">[2]диски!i39+[2]диски!j39-[2]диски!k39-[2]диски!l39-[2]диски!m39-[2]диски!n39-[2]диски!o39+[2]диски!p39-[2]диски!q39-[2]диски!r39-[2]диски!s39-[2]диски!t39-[2]диски!u39+[2]диски!v39-[2]диски!w39-[2]диски!x39-[2]диски!y39-[2]диски!z39-[2]диски!aa39+[2]диски!ab39-[2]диски!ac39-[2]диски!ad39-[2]диски!ae39-[2]диски!af39-[2]диски!ag39+[2]диски!ah39-[2]диски!ai39-[2]диски!aj39-[2]диски!ak39-[2]диски!al39-[2]диски!am39+[2]диски!an39-[2]диски!ao39-[2]диски!ap39-[2]диски!aq39-[2]диски!ar39-[2]диски!as39-[2]диски!at39</f>
        <v>2</v>
      </c>
      <c r="I39" s="280" t="n">
        <f aca="false">[2]диски!av39*1.2</f>
        <v>918</v>
      </c>
    </row>
    <row r="40" customFormat="false" ht="15" hidden="false" customHeight="false" outlineLevel="0" collapsed="false">
      <c r="A40" s="307" t="s">
        <v>476</v>
      </c>
      <c r="B40" s="288"/>
      <c r="C40" s="294" t="s">
        <v>4042</v>
      </c>
      <c r="D40" s="308" t="s">
        <v>4043</v>
      </c>
      <c r="E40" s="316" t="s">
        <v>4010</v>
      </c>
      <c r="F40" s="294" t="s">
        <v>4044</v>
      </c>
      <c r="G40" s="286" t="s">
        <v>4005</v>
      </c>
      <c r="H40" s="279" t="n">
        <f aca="false">[2]диски!i40+[2]диски!j40-[2]диски!k40-[2]диски!l40-[2]диски!m40-[2]диски!n40-[2]диски!o40+[2]диски!p40-[2]диски!q40-[2]диски!r40-[2]диски!s40-[2]диски!t40-[2]диски!u40+[2]диски!v40-[2]диски!w40-[2]диски!x40-[2]диски!y40-[2]диски!z40-[2]диски!aa40+[2]диски!ab40-[2]диски!ac40-[2]диски!ad40-[2]диски!ae40-[2]диски!af40-[2]диски!ag40+[2]диски!ah40-[2]диски!ai40-[2]диски!aj40-[2]диски!ak40-[2]диски!al40-[2]диски!am40+[2]диски!an40-[2]диски!ao40-[2]диски!ap40-[2]диски!aq40-[2]диски!ar40-[2]диски!as40-[2]диски!at40</f>
        <v>6</v>
      </c>
      <c r="I40" s="280" t="n">
        <f aca="false">[2]диски!av40*1.2</f>
        <v>780</v>
      </c>
    </row>
    <row r="41" customFormat="false" ht="15" hidden="false" customHeight="false" outlineLevel="0" collapsed="false">
      <c r="A41" s="307" t="s">
        <v>476</v>
      </c>
      <c r="B41" s="286"/>
      <c r="C41" s="294" t="s">
        <v>4042</v>
      </c>
      <c r="D41" s="308" t="s">
        <v>4045</v>
      </c>
      <c r="E41" s="316" t="s">
        <v>4019</v>
      </c>
      <c r="F41" s="308" t="s">
        <v>4046</v>
      </c>
      <c r="G41" s="286" t="s">
        <v>4005</v>
      </c>
      <c r="H41" s="279" t="n">
        <f aca="false">[2]диски!i41+[2]диски!j41-[2]диски!k41-[2]диски!l41-[2]диски!m41-[2]диски!n41-[2]диски!o41+[2]диски!p41-[2]диски!q41-[2]диски!r41-[2]диски!s41-[2]диски!t41-[2]диски!u41+[2]диски!v41-[2]диски!w41-[2]диски!x41-[2]диски!y41-[2]диски!z41-[2]диски!aa41+[2]диски!ab41-[2]диски!ac41-[2]диски!ad41-[2]диски!ae41-[2]диски!af41-[2]диски!ag41+[2]диски!ah41-[2]диски!ai41-[2]диски!aj41-[2]диски!ak41-[2]диски!al41-[2]диски!am41+[2]диски!an41-[2]диски!ao41-[2]диски!ap41-[2]диски!aq41-[2]диски!ar41-[2]диски!as41-[2]диски!at41</f>
        <v>7</v>
      </c>
      <c r="I41" s="280" t="n">
        <f aca="false">[2]диски!av41*1.2</f>
        <v>840</v>
      </c>
    </row>
    <row r="42" customFormat="false" ht="15" hidden="false" customHeight="false" outlineLevel="0" collapsed="false">
      <c r="A42" s="295" t="s">
        <v>476</v>
      </c>
      <c r="B42" s="295" t="s">
        <v>4012</v>
      </c>
      <c r="C42" s="294" t="s">
        <v>4042</v>
      </c>
      <c r="D42" s="295" t="n">
        <v>52.5</v>
      </c>
      <c r="E42" s="316" t="s">
        <v>4013</v>
      </c>
      <c r="F42" s="308" t="s">
        <v>4047</v>
      </c>
      <c r="G42" s="295" t="s">
        <v>4005</v>
      </c>
      <c r="H42" s="279" t="n">
        <f aca="false">[2]диски!i42+[2]диски!j42-[2]диски!k42-[2]диски!l42-[2]диски!m42-[2]диски!n42-[2]диски!o42+[2]диски!p42-[2]диски!q42-[2]диски!r42-[2]диски!s42-[2]диски!t42-[2]диски!u42+[2]диски!v42-[2]диски!w42-[2]диски!x42-[2]диски!y42-[2]диски!z42-[2]диски!aa42+[2]диски!ab42-[2]диски!ac42-[2]диски!ad42-[2]диски!ae42-[2]диски!af42-[2]диски!ag42+[2]диски!ah42-[2]диски!ai42-[2]диски!aj42-[2]диски!ak42-[2]диски!al42-[2]диски!am42+[2]диски!an42-[2]диски!ao42-[2]диски!ap42-[2]диски!aq42-[2]диски!ar42-[2]диски!as42-[2]диски!at42</f>
        <v>3</v>
      </c>
      <c r="I42" s="280" t="n">
        <f aca="false">[2]диски!av42*1.2</f>
        <v>840</v>
      </c>
    </row>
    <row r="43" customFormat="false" ht="15" hidden="true" customHeight="false" outlineLevel="0" collapsed="false">
      <c r="A43" s="295" t="s">
        <v>476</v>
      </c>
      <c r="B43" s="295" t="s">
        <v>4048</v>
      </c>
      <c r="C43" s="294" t="s">
        <v>4049</v>
      </c>
      <c r="D43" s="295" t="n">
        <v>42</v>
      </c>
      <c r="E43" s="316" t="s">
        <v>4018</v>
      </c>
      <c r="F43" s="308" t="s">
        <v>4028</v>
      </c>
      <c r="G43" s="295" t="s">
        <v>4005</v>
      </c>
      <c r="H43" s="279" t="n">
        <f aca="false">[2]диски!i43+[2]диски!j43-[2]диски!k43-[2]диски!l43-[2]диски!m43-[2]диски!n43-[2]диски!o43+[2]диски!p43-[2]диски!q43-[2]диски!r43-[2]диски!s43-[2]диски!t43-[2]диски!u43+[2]диски!v43-[2]диски!w43-[2]диски!x43-[2]диски!y43-[2]диски!z43-[2]диски!aa43+[2]диски!ab43-[2]диски!ac43-[2]диски!ad43-[2]диски!ae43-[2]диски!af43-[2]диски!ag43+[2]диски!ah43-[2]диски!ai43-[2]диски!aj43-[2]диски!ak43-[2]диски!al43-[2]диски!am43+[2]диски!an43-[2]диски!ao43-[2]диски!ap43-[2]диски!aq43-[2]диски!ar43-[2]диски!as43-[2]диски!at43</f>
        <v>0</v>
      </c>
      <c r="I43" s="280" t="n">
        <f aca="false">[2]диски!av43*1.2</f>
        <v>720</v>
      </c>
    </row>
    <row r="44" customFormat="false" ht="15" hidden="true" customHeight="false" outlineLevel="0" collapsed="false">
      <c r="A44" s="307" t="s">
        <v>476</v>
      </c>
      <c r="B44" s="289" t="s">
        <v>4029</v>
      </c>
      <c r="C44" s="294" t="s">
        <v>4042</v>
      </c>
      <c r="D44" s="316" t="s">
        <v>4050</v>
      </c>
      <c r="E44" s="316" t="s">
        <v>4051</v>
      </c>
      <c r="F44" s="308" t="s">
        <v>4052</v>
      </c>
      <c r="G44" s="286" t="s">
        <v>4005</v>
      </c>
      <c r="H44" s="279" t="n">
        <f aca="false">[2]диски!i44+[2]диски!j44-[2]диски!k44-[2]диски!l44-[2]диски!m44-[2]диски!n44-[2]диски!o44+[2]диски!p44-[2]диски!q44-[2]диски!r44-[2]диски!s44-[2]диски!t44-[2]диски!u44+[2]диски!v44-[2]диски!w44-[2]диски!x44-[2]диски!y44-[2]диски!z44-[2]диски!aa44+[2]диски!ab44-[2]диски!ac44-[2]диски!ad44-[2]диски!ae44-[2]диски!af44-[2]диски!ag44+[2]диски!ah44-[2]диски!ai44-[2]диски!aj44-[2]диски!ak44-[2]диски!al44-[2]диски!am44+[2]диски!an44-[2]диски!ao44-[2]диски!ap44-[2]диски!aq44-[2]диски!ar44-[2]диски!as44-[2]диски!at44</f>
        <v>0</v>
      </c>
      <c r="I44" s="280" t="n">
        <f aca="false">[2]диски!av44*1.2</f>
        <v>720</v>
      </c>
    </row>
    <row r="45" customFormat="false" ht="15" hidden="false" customHeight="false" outlineLevel="0" collapsed="false">
      <c r="A45" s="307" t="s">
        <v>476</v>
      </c>
      <c r="B45" s="289"/>
      <c r="C45" s="294" t="s">
        <v>4042</v>
      </c>
      <c r="D45" s="316" t="s">
        <v>4050</v>
      </c>
      <c r="E45" s="316" t="s">
        <v>4037</v>
      </c>
      <c r="F45" s="308" t="s">
        <v>4053</v>
      </c>
      <c r="G45" s="286" t="s">
        <v>4005</v>
      </c>
      <c r="H45" s="279" t="n">
        <f aca="false">[2]диски!i45+[2]диски!j45-[2]диски!k45-[2]диски!l45-[2]диски!m45-[2]диски!n45-[2]диски!o45+[2]диски!p45-[2]диски!q45-[2]диски!r45-[2]диски!s45-[2]диски!t45-[2]диски!u45+[2]диски!v45-[2]диски!w45-[2]диски!x45-[2]диски!y45-[2]диски!z45-[2]диски!aa45+[2]диски!ab45-[2]диски!ac45-[2]диски!ad45-[2]диски!ae45-[2]диски!af45-[2]диски!ag45+[2]диски!ah45-[2]диски!ai45-[2]диски!aj45-[2]диски!ak45-[2]диски!al45-[2]диски!am45+[2]диски!an45-[2]диски!ao45-[2]диски!ap45-[2]диски!aq45-[2]диски!ar45-[2]диски!as45-[2]диски!at45</f>
        <v>6</v>
      </c>
      <c r="I45" s="280" t="n">
        <f aca="false">[2]диски!av45*1.2</f>
        <v>840</v>
      </c>
    </row>
    <row r="46" customFormat="false" ht="15" hidden="false" customHeight="false" outlineLevel="0" collapsed="false">
      <c r="A46" s="307" t="s">
        <v>476</v>
      </c>
      <c r="B46" s="289"/>
      <c r="C46" s="294" t="s">
        <v>4042</v>
      </c>
      <c r="D46" s="316" t="s">
        <v>4039</v>
      </c>
      <c r="E46" s="316" t="s">
        <v>4003</v>
      </c>
      <c r="F46" s="308" t="s">
        <v>4053</v>
      </c>
      <c r="G46" s="286" t="s">
        <v>4005</v>
      </c>
      <c r="H46" s="279" t="n">
        <f aca="false">[2]диски!i46+[2]диски!j46-[2]диски!k46-[2]диски!l46-[2]диски!m46-[2]диски!n46-[2]диски!o46+[2]диски!p46-[2]диски!q46-[2]диски!r46-[2]диски!s46-[2]диски!t46-[2]диски!u46+[2]диски!v46-[2]диски!w46-[2]диски!x46-[2]диски!y46-[2]диски!z46-[2]диски!aa46+[2]диски!ab46-[2]диски!ac46-[2]диски!ad46-[2]диски!ae46-[2]диски!af46-[2]диски!ag46+[2]диски!ah46-[2]диски!ai46-[2]диски!aj46-[2]диски!ak46-[2]диски!al46-[2]диски!am46+[2]диски!an46-[2]диски!ao46-[2]диски!ap46-[2]диски!aq46-[2]диски!ar46-[2]диски!as46-[2]диски!at46</f>
        <v>2</v>
      </c>
      <c r="I46" s="280" t="n">
        <f aca="false">[2]диски!av46*1.2</f>
        <v>828</v>
      </c>
    </row>
    <row r="47" customFormat="false" ht="15" hidden="false" customHeight="false" outlineLevel="0" collapsed="false">
      <c r="A47" s="307" t="s">
        <v>476</v>
      </c>
      <c r="B47" s="289" t="s">
        <v>510</v>
      </c>
      <c r="C47" s="294" t="s">
        <v>4042</v>
      </c>
      <c r="D47" s="316" t="s">
        <v>4054</v>
      </c>
      <c r="E47" s="316" t="s">
        <v>4055</v>
      </c>
      <c r="F47" s="308" t="s">
        <v>4056</v>
      </c>
      <c r="G47" s="286" t="s">
        <v>4005</v>
      </c>
      <c r="H47" s="279" t="n">
        <f aca="false">[2]диски!i47+[2]диски!j47-[2]диски!k47-[2]диски!l47-[2]диски!m47-[2]диски!n47-[2]диски!o47+[2]диски!p47-[2]диски!q47-[2]диски!r47-[2]диски!s47-[2]диски!t47-[2]диски!u47+[2]диски!v47-[2]диски!w47-[2]диски!x47-[2]диски!y47-[2]диски!z47-[2]диски!aa47+[2]диски!ab47-[2]диски!ac47-[2]диски!ad47-[2]диски!ae47-[2]диски!af47-[2]диски!ag47+[2]диски!ah47-[2]диски!ai47-[2]диски!aj47-[2]диски!ak47-[2]диски!al47-[2]диски!am47+[2]диски!an47-[2]диски!ao47-[2]диски!ap47-[2]диски!aq47-[2]диски!ar47-[2]диски!as47-[2]диски!at47</f>
        <v>3</v>
      </c>
      <c r="I47" s="280" t="n">
        <f aca="false">[2]диски!av47*1.2</f>
        <v>804</v>
      </c>
    </row>
    <row r="48" customFormat="false" ht="15" hidden="true" customHeight="false" outlineLevel="0" collapsed="false">
      <c r="A48" s="307" t="s">
        <v>476</v>
      </c>
      <c r="B48" s="289"/>
      <c r="C48" s="294" t="s">
        <v>4042</v>
      </c>
      <c r="D48" s="316" t="s">
        <v>4057</v>
      </c>
      <c r="E48" s="316" t="s">
        <v>4014</v>
      </c>
      <c r="F48" s="308" t="s">
        <v>4056</v>
      </c>
      <c r="G48" s="286" t="s">
        <v>4005</v>
      </c>
      <c r="H48" s="279" t="n">
        <f aca="false">[2]диски!i48+[2]диски!j48-[2]диски!k48-[2]диски!l48-[2]диски!m48-[2]диски!n48-[2]диски!o48+[2]диски!p48-[2]диски!q48-[2]диски!r48-[2]диски!s48-[2]диски!t48-[2]диски!u48+[2]диски!v48-[2]диски!w48-[2]диски!x48-[2]диски!y48-[2]диски!z48-[2]диски!aa48+[2]диски!ab48-[2]диски!ac48-[2]диски!ad48-[2]диски!ae48-[2]диски!af48-[2]диски!ag48+[2]диски!ah48-[2]диски!ai48-[2]диски!aj48-[2]диски!ak48-[2]диски!al48-[2]диски!am48+[2]диски!an48-[2]диски!ao48-[2]диски!ap48-[2]диски!aq48-[2]диски!ar48-[2]диски!as48-[2]диски!at48</f>
        <v>0</v>
      </c>
      <c r="I48" s="280" t="n">
        <f aca="false">[2]диски!av48*1.2</f>
        <v>840</v>
      </c>
    </row>
    <row r="49" customFormat="false" ht="15" hidden="true" customHeight="false" outlineLevel="0" collapsed="false">
      <c r="A49" s="307" t="s">
        <v>476</v>
      </c>
      <c r="B49" s="289"/>
      <c r="C49" s="294" t="s">
        <v>4042</v>
      </c>
      <c r="D49" s="316" t="s">
        <v>4045</v>
      </c>
      <c r="E49" s="316" t="s">
        <v>4058</v>
      </c>
      <c r="F49" s="308" t="s">
        <v>4056</v>
      </c>
      <c r="G49" s="286" t="s">
        <v>4005</v>
      </c>
      <c r="H49" s="279" t="n">
        <f aca="false">[2]диски!i49+[2]диски!j49-[2]диски!k49-[2]диски!l49-[2]диски!m49-[2]диски!n49-[2]диски!o49+[2]диски!p49-[2]диски!q49-[2]диски!r49-[2]диски!s49-[2]диски!t49-[2]диски!u49+[2]диски!v49-[2]диски!w49-[2]диски!x49-[2]диски!y49-[2]диски!z49-[2]диски!aa49+[2]диски!ab49-[2]диски!ac49-[2]диски!ad49-[2]диски!ae49-[2]диски!af49-[2]диски!ag49+[2]диски!ah49-[2]диски!ai49-[2]диски!aj49-[2]диски!ak49-[2]диски!al49-[2]диски!am49+[2]диски!an49-[2]диски!ao49-[2]диски!ap49-[2]диски!aq49-[2]диски!ar49-[2]диски!as49-[2]диски!at49</f>
        <v>0</v>
      </c>
      <c r="I49" s="280" t="n">
        <f aca="false">[2]диски!av49*1.2</f>
        <v>786</v>
      </c>
    </row>
    <row r="50" customFormat="false" ht="15" hidden="false" customHeight="false" outlineLevel="0" collapsed="false">
      <c r="A50" s="307" t="s">
        <v>476</v>
      </c>
      <c r="B50" s="289" t="s">
        <v>4059</v>
      </c>
      <c r="C50" s="294" t="s">
        <v>4042</v>
      </c>
      <c r="D50" s="316" t="s">
        <v>4054</v>
      </c>
      <c r="E50" s="316" t="s">
        <v>4017</v>
      </c>
      <c r="F50" s="308" t="s">
        <v>4056</v>
      </c>
      <c r="G50" s="286" t="s">
        <v>4005</v>
      </c>
      <c r="H50" s="279" t="n">
        <f aca="false">[2]диски!i50+[2]диски!j50-[2]диски!k50-[2]диски!l50-[2]диски!m50-[2]диски!n50-[2]диски!o50+[2]диски!p50-[2]диски!q50-[2]диски!r50-[2]диски!s50-[2]диски!t50-[2]диски!u50+[2]диски!v50-[2]диски!w50-[2]диски!x50-[2]диски!y50-[2]диски!z50-[2]диски!aa50+[2]диски!ab50-[2]диски!ac50-[2]диски!ad50-[2]диски!ae50-[2]диски!af50-[2]диски!ag50+[2]диски!ah50-[2]диски!ai50-[2]диски!aj50-[2]диски!ak50-[2]диски!al50-[2]диски!am50+[2]диски!an50-[2]диски!ao50-[2]диски!ap50-[2]диски!aq50-[2]диски!ar50-[2]диски!as50-[2]диски!at50</f>
        <v>4</v>
      </c>
      <c r="I50" s="280" t="n">
        <f aca="false">[2]диски!av50*1.2</f>
        <v>720</v>
      </c>
    </row>
    <row r="51" customFormat="false" ht="15" hidden="true" customHeight="false" outlineLevel="0" collapsed="false">
      <c r="A51" s="307" t="s">
        <v>476</v>
      </c>
      <c r="B51" s="289"/>
      <c r="C51" s="294" t="s">
        <v>4042</v>
      </c>
      <c r="D51" s="316" t="s">
        <v>4054</v>
      </c>
      <c r="E51" s="316" t="s">
        <v>4007</v>
      </c>
      <c r="F51" s="308" t="s">
        <v>4056</v>
      </c>
      <c r="G51" s="286" t="s">
        <v>4005</v>
      </c>
      <c r="H51" s="279" t="n">
        <f aca="false">[2]диски!i51+[2]диски!j51-[2]диски!k51-[2]диски!l51-[2]диски!m51-[2]диски!n51-[2]диски!o51+[2]диски!p51-[2]диски!q51-[2]диски!r51-[2]диски!s51-[2]диски!t51-[2]диски!u51+[2]диски!v51-[2]диски!w51-[2]диски!x51-[2]диски!y51-[2]диски!z51-[2]диски!aa51+[2]диски!ab51-[2]диски!ac51-[2]диски!ad51-[2]диски!ae51-[2]диски!af51-[2]диски!ag51+[2]диски!ah51-[2]диски!ai51-[2]диски!aj51-[2]диски!ak51-[2]диски!al51-[2]диски!am51+[2]диски!an51-[2]диски!ao51-[2]диски!ap51-[2]диски!aq51-[2]диски!ar51-[2]диски!as51-[2]диски!at51</f>
        <v>0</v>
      </c>
      <c r="I51" s="280" t="n">
        <f aca="false">[2]диски!av51*1.2</f>
        <v>900</v>
      </c>
    </row>
    <row r="52" customFormat="false" ht="15" hidden="false" customHeight="false" outlineLevel="0" collapsed="false">
      <c r="A52" s="307" t="s">
        <v>476</v>
      </c>
      <c r="B52" s="289" t="s">
        <v>4060</v>
      </c>
      <c r="C52" s="294" t="s">
        <v>4042</v>
      </c>
      <c r="D52" s="292" t="n">
        <v>50</v>
      </c>
      <c r="E52" s="316" t="s">
        <v>4010</v>
      </c>
      <c r="F52" s="308" t="s">
        <v>4061</v>
      </c>
      <c r="G52" s="286" t="s">
        <v>4005</v>
      </c>
      <c r="H52" s="279" t="n">
        <f aca="false">[2]диски!i52+[2]диски!j52-[2]диски!k52-[2]диски!l52-[2]диски!m52-[2]диски!n52-[2]диски!o52+[2]диски!p52-[2]диски!q52-[2]диски!r52-[2]диски!s52-[2]диски!t52-[2]диски!u52+[2]диски!v52-[2]диски!w52-[2]диски!x52-[2]диски!y52-[2]диски!z52-[2]диски!aa52+[2]диски!ab52-[2]диски!ac52-[2]диски!ad52-[2]диски!ae52-[2]диски!af52-[2]диски!ag52+[2]диски!ah52-[2]диски!ai52-[2]диски!aj52-[2]диски!ak52-[2]диски!al52-[2]диски!am52+[2]диски!an52-[2]диски!ao52-[2]диски!ap52-[2]диски!aq52-[2]диски!ar52-[2]диски!as52-[2]диски!at52</f>
        <v>8</v>
      </c>
      <c r="I52" s="280" t="n">
        <f aca="false">[2]диски!av52*1.2</f>
        <v>840</v>
      </c>
    </row>
    <row r="53" customFormat="false" ht="15" hidden="true" customHeight="false" outlineLevel="0" collapsed="false">
      <c r="A53" s="301" t="s">
        <v>4016</v>
      </c>
      <c r="B53" s="288"/>
      <c r="C53" s="294" t="s">
        <v>4042</v>
      </c>
      <c r="D53" s="289" t="n">
        <v>52</v>
      </c>
      <c r="E53" s="290" t="s">
        <v>4013</v>
      </c>
      <c r="F53" s="290" t="s">
        <v>4028</v>
      </c>
      <c r="G53" s="286"/>
      <c r="H53" s="304" t="n">
        <f aca="false">[2]диски!i53+[2]диски!j53-[2]диски!k53-[2]диски!l53-[2]диски!m53-[2]диски!n53-[2]диски!o53+[2]диски!p53-[2]диски!q53-[2]диски!r53-[2]диски!s53-[2]диски!t53-[2]диски!u53+[2]диски!v53-[2]диски!w53-[2]диски!x53-[2]диски!y53-[2]диски!z53-[2]диски!aa53+[2]диски!ab53-[2]диски!ac53-[2]диски!ad53-[2]диски!ae53-[2]диски!af53-[2]диски!ag53+[2]диски!ah53-[2]диски!ai53-[2]диски!aj53-[2]диски!ak53-[2]диски!al53-[2]диски!am53+[2]диски!an53-[2]диски!ao53-[2]диски!ap53-[2]диски!aq53-[2]диски!ar53-[2]диски!as53-[2]диски!at53</f>
        <v>0</v>
      </c>
      <c r="I53" s="280" t="n">
        <f aca="false">[2]диски!av53*1.2</f>
        <v>660</v>
      </c>
    </row>
    <row r="54" customFormat="false" ht="15" hidden="true" customHeight="false" outlineLevel="0" collapsed="false">
      <c r="A54" s="301" t="s">
        <v>4016</v>
      </c>
      <c r="B54" s="288"/>
      <c r="C54" s="294" t="s">
        <v>4042</v>
      </c>
      <c r="D54" s="292" t="n">
        <v>40</v>
      </c>
      <c r="E54" s="316" t="s">
        <v>4062</v>
      </c>
      <c r="F54" s="316" t="s">
        <v>4063</v>
      </c>
      <c r="G54" s="286"/>
      <c r="H54" s="304" t="n">
        <f aca="false">[2]диски!i54+[2]диски!j54-[2]диски!k54-[2]диски!l54-[2]диски!m54-[2]диски!n54-[2]диски!o54+[2]диски!p54-[2]диски!q54-[2]диски!r54-[2]диски!s54-[2]диски!t54-[2]диски!u54+[2]диски!v54-[2]диски!w54-[2]диски!x54-[2]диски!y54-[2]диски!z54-[2]диски!aa54+[2]диски!ab54-[2]диски!ac54-[2]диски!ad54-[2]диски!ae54-[2]диски!af54-[2]диски!ag54+[2]диски!ah54-[2]диски!ai54-[2]диски!aj54-[2]диски!ak54-[2]диски!al54-[2]диски!am54+[2]диски!an54-[2]диски!ao54-[2]диски!ap54-[2]диски!aq54-[2]диски!ar54-[2]диски!as54-[2]диски!at54</f>
        <v>0</v>
      </c>
      <c r="I54" s="280" t="n">
        <f aca="false">[2]диски!av54*1.2</f>
        <v>660</v>
      </c>
    </row>
    <row r="55" customFormat="false" ht="15" hidden="false" customHeight="false" outlineLevel="0" collapsed="false">
      <c r="A55" s="301" t="s">
        <v>4016</v>
      </c>
      <c r="B55" s="288"/>
      <c r="C55" s="294" t="s">
        <v>4042</v>
      </c>
      <c r="D55" s="292" t="n">
        <v>52</v>
      </c>
      <c r="E55" s="316" t="s">
        <v>4055</v>
      </c>
      <c r="F55" s="316" t="s">
        <v>4063</v>
      </c>
      <c r="G55" s="286"/>
      <c r="H55" s="304" t="n">
        <f aca="false">[2]диски!i55+[2]диски!j55-[2]диски!k55-[2]диски!l55-[2]диски!m55-[2]диски!n55-[2]диски!o55+[2]диски!p55-[2]диски!q55-[2]диски!r55-[2]диски!s55-[2]диски!t55-[2]диски!u55+[2]диски!v55-[2]диски!w55-[2]диски!x55-[2]диски!y55-[2]диски!z55-[2]диски!aa55+[2]диски!ab55-[2]диски!ac55-[2]диски!ad55-[2]диски!ae55-[2]диски!af55-[2]диски!ag55+[2]диски!ah55-[2]диски!ai55-[2]диски!aj55-[2]диски!ak55-[2]диски!al55-[2]диски!am55+[2]диски!an55-[2]диски!ao55-[2]диски!ap55-[2]диски!aq55-[2]диски!ar55-[2]диски!as55-[2]диски!at55</f>
        <v>2</v>
      </c>
      <c r="I55" s="280" t="n">
        <f aca="false">[2]диски!av55*1.2</f>
        <v>720</v>
      </c>
    </row>
    <row r="56" customFormat="false" ht="18" hidden="false" customHeight="false" outlineLevel="0" collapsed="false">
      <c r="A56" s="281"/>
      <c r="B56" s="282" t="s">
        <v>1496</v>
      </c>
      <c r="C56" s="283"/>
      <c r="D56" s="283"/>
      <c r="E56" s="284"/>
      <c r="F56" s="284"/>
      <c r="G56" s="306"/>
      <c r="H56" s="304"/>
      <c r="I56" s="285" t="n">
        <f aca="false">[2]диски!av56*1.2</f>
        <v>0</v>
      </c>
    </row>
    <row r="57" customFormat="false" ht="15" hidden="true" customHeight="false" outlineLevel="0" collapsed="false">
      <c r="A57" s="307" t="s">
        <v>476</v>
      </c>
      <c r="B57" s="317"/>
      <c r="C57" s="318" t="s">
        <v>4064</v>
      </c>
      <c r="D57" s="289" t="n">
        <v>40</v>
      </c>
      <c r="E57" s="294" t="s">
        <v>4014</v>
      </c>
      <c r="F57" s="294" t="s">
        <v>4063</v>
      </c>
      <c r="G57" s="288" t="s">
        <v>4005</v>
      </c>
      <c r="H57" s="279" t="n">
        <f aca="false">[2]диски!i57+[2]диски!j57-[2]диски!k57-[2]диски!l57-[2]диски!m57-[2]диски!n57-[2]диски!o57+[2]диски!p57-[2]диски!q57-[2]диски!r57-[2]диски!s57-[2]диски!t57-[2]диски!u57+[2]диски!v57-[2]диски!w57-[2]диски!x57-[2]диски!y57-[2]диски!z57-[2]диски!aa57+[2]диски!ab57-[2]диски!ac57-[2]диски!ad57-[2]диски!ae57-[2]диски!af57-[2]диски!ag57+[2]диски!ah57-[2]диски!ai57-[2]диски!aj57-[2]диски!ak57-[2]диски!al57-[2]диски!am57+[2]диски!an57-[2]диски!ao57-[2]диски!ap57-[2]диски!aq57-[2]диски!ar57-[2]диски!as57-[2]диски!at57</f>
        <v>0</v>
      </c>
      <c r="I57" s="280" t="n">
        <f aca="false">[2]диски!av57*1.2</f>
        <v>972</v>
      </c>
    </row>
    <row r="58" customFormat="false" ht="15" hidden="false" customHeight="false" outlineLevel="0" collapsed="false">
      <c r="A58" s="307" t="s">
        <v>476</v>
      </c>
      <c r="B58" s="317"/>
      <c r="C58" s="318" t="s">
        <v>4064</v>
      </c>
      <c r="D58" s="289" t="n">
        <v>45</v>
      </c>
      <c r="E58" s="294" t="s">
        <v>4007</v>
      </c>
      <c r="F58" s="294" t="s">
        <v>4063</v>
      </c>
      <c r="G58" s="288" t="s">
        <v>4005</v>
      </c>
      <c r="H58" s="279" t="n">
        <f aca="false">[2]диски!i58+[2]диски!j58-[2]диски!k58-[2]диски!l58-[2]диски!m58-[2]диски!n58-[2]диски!o58+[2]диски!p58-[2]диски!q58-[2]диски!r58-[2]диски!s58-[2]диски!t58-[2]диски!u58+[2]диски!v58-[2]диски!w58-[2]диски!x58-[2]диски!y58-[2]диски!z58-[2]диски!aa58+[2]диски!ab58-[2]диски!ac58-[2]диски!ad58-[2]диски!ae58-[2]диски!af58-[2]диски!ag58+[2]диски!ah58-[2]диски!ai58-[2]диски!aj58-[2]диски!ak58-[2]диски!al58-[2]диски!am58+[2]диски!an58-[2]диски!ao58-[2]диски!ap58-[2]диски!aq58-[2]диски!ar58-[2]диски!as58-[2]диски!at58</f>
        <v>2</v>
      </c>
      <c r="I58" s="280" t="n">
        <f aca="false">[2]диски!av58*1.2</f>
        <v>966</v>
      </c>
    </row>
    <row r="59" customFormat="false" ht="15" hidden="false" customHeight="false" outlineLevel="0" collapsed="false">
      <c r="A59" s="307" t="s">
        <v>476</v>
      </c>
      <c r="B59" s="317"/>
      <c r="C59" s="318" t="s">
        <v>4065</v>
      </c>
      <c r="D59" s="319" t="n">
        <v>50</v>
      </c>
      <c r="E59" s="320" t="s">
        <v>4013</v>
      </c>
      <c r="F59" s="320" t="s">
        <v>4066</v>
      </c>
      <c r="G59" s="319" t="s">
        <v>4005</v>
      </c>
      <c r="H59" s="321" t="n">
        <f aca="false">[2]диски!i59+[2]диски!j59-[2]диски!k59-[2]диски!l59-[2]диски!m59-[2]диски!n59-[2]диски!o59+[2]диски!p59-[2]диски!q59-[2]диски!r59-[2]диски!s59-[2]диски!t59-[2]диски!u59+[2]диски!v59-[2]диски!w59-[2]диски!x59-[2]диски!y59-[2]диски!z59-[2]диски!aa59+[2]диски!ab59-[2]диски!ac59-[2]диски!ad59-[2]диски!ae59-[2]диски!af59-[2]диски!ag59+[2]диски!ah59-[2]диски!ai59-[2]диски!aj59-[2]диски!ak59-[2]диски!al59-[2]диски!am59+[2]диски!an59-[2]диски!ao59-[2]диски!ap59-[2]диски!aq59-[2]диски!ar59-[2]диски!as59-[2]диски!at59</f>
        <v>3</v>
      </c>
      <c r="I59" s="280" t="n">
        <f aca="false">[2]диски!av59*1.2</f>
        <v>876</v>
      </c>
    </row>
    <row r="60" customFormat="false" ht="15" hidden="false" customHeight="false" outlineLevel="0" collapsed="false">
      <c r="A60" s="307" t="s">
        <v>476</v>
      </c>
      <c r="B60" s="317"/>
      <c r="C60" s="318" t="s">
        <v>4065</v>
      </c>
      <c r="D60" s="319" t="n">
        <v>14</v>
      </c>
      <c r="E60" s="320" t="s">
        <v>4067</v>
      </c>
      <c r="F60" s="320" t="s">
        <v>4068</v>
      </c>
      <c r="G60" s="319" t="s">
        <v>4005</v>
      </c>
      <c r="H60" s="321" t="n">
        <f aca="false">[2]диски!i60+[2]диски!j60-[2]диски!k60-[2]диски!l60-[2]диски!m60-[2]диски!n60-[2]диски!o60+[2]диски!p60-[2]диски!q60-[2]диски!r60-[2]диски!s60-[2]диски!t60-[2]диски!u60+[2]диски!v60-[2]диски!w60-[2]диски!x60-[2]диски!y60-[2]диски!z60-[2]диски!aa60+[2]диски!ab60-[2]диски!ac60-[2]диски!ad60-[2]диски!ae60-[2]диски!af60-[2]диски!ag60+[2]диски!ah60-[2]диски!ai60-[2]диски!aj60-[2]диски!ak60-[2]диски!al60-[2]диски!am60+[2]диски!an60-[2]диски!ao60-[2]диски!ap60-[2]диски!aq60-[2]диски!ar60-[2]диски!as60-[2]диски!at60</f>
        <v>8</v>
      </c>
      <c r="I60" s="280" t="n">
        <f aca="false">[2]диски!av60*1.2</f>
        <v>1260</v>
      </c>
    </row>
  </sheetData>
  <autoFilter ref="H1:H204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2006-09-28T08:33:49Z</dcterms:created>
  <dc:creator/>
  <dc:description/>
  <dc:language>ru-RU</dc:language>
  <cp:lastModifiedBy/>
  <dcterms:modified xsi:type="dcterms:W3CDTF">2018-10-08T14:44:27Z</dcterms:modified>
  <cp:revision>1</cp:revision>
  <dc:subject/>
  <dc:title/>
</cp:coreProperties>
</file>