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grama" sheetId="1" r:id="rId4"/>
    <sheet state="visible" name="Estimación Costo y Beneficios" sheetId="2" r:id="rId5"/>
  </sheets>
  <definedNames/>
  <calcPr/>
  <extLst>
    <ext uri="GoogleSheetsCustomDataVersion2">
      <go:sheetsCustomData xmlns:go="http://customooxmlschemas.google.com/" r:id="rId6" roundtripDataChecksum="Cj5qEeFV6vYl9sWco0WSlQf+3WkEiOAy6o1yNAvT1VQ="/>
    </ext>
  </extLst>
</workbook>
</file>

<file path=xl/sharedStrings.xml><?xml version="1.0" encoding="utf-8"?>
<sst xmlns="http://schemas.openxmlformats.org/spreadsheetml/2006/main" count="120" uniqueCount="111">
  <si>
    <t>Ventas Toscanini</t>
  </si>
  <si>
    <t>Ingreso por Ventas</t>
  </si>
  <si>
    <t>Facturas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</si>
  <si>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</si>
  <si>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</si>
  <si>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</si>
  <si>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</si>
  <si>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</si>
  <si>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</si>
  <si>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</si>
  <si>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</si>
  <si>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</si>
  <si>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</si>
  <si>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</si>
  <si>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</si>
  <si>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</si>
  <si>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Sin Iva</t>
  </si>
  <si>
    <t>Horas por Año</t>
  </si>
  <si>
    <t>Ingreso por Horas</t>
  </si>
  <si>
    <t>Costo por Horas</t>
  </si>
  <si>
    <t>E(Rm)</t>
  </si>
  <si>
    <t>Promedio de la sumatorio del IGPA de 2021 a 2024</t>
  </si>
  <si>
    <t>Promedio de la sumatorio del IGPA de 2020 a 2024</t>
  </si>
  <si>
    <t>Gastos</t>
  </si>
  <si>
    <t>Rf</t>
  </si>
  <si>
    <t>Bono en pesos a 5 años, BCP</t>
  </si>
  <si>
    <t>https://si3.bcentral.cl/Siete/ES/Siete/Cuadro/CAP_TASA_INTERES/MN_TASA_INTERES_09/TMS_15/T311</t>
  </si>
  <si>
    <t>Ganacias y Calculos</t>
  </si>
  <si>
    <t>Beta</t>
  </si>
  <si>
    <t>Servicios Telecom</t>
  </si>
  <si>
    <t>Tablas Damodaran EEUU</t>
  </si>
  <si>
    <t>Tablas Damodaran Global</t>
  </si>
  <si>
    <t>Equipos Telecom</t>
  </si>
  <si>
    <t>Tablas DamodaranGlobal</t>
  </si>
  <si>
    <t>Watts de Server</t>
  </si>
  <si>
    <t>peor caso</t>
  </si>
  <si>
    <t>KW/h Diario</t>
  </si>
  <si>
    <t>i</t>
  </si>
  <si>
    <t>Tasa de Descuento Final, 4 años</t>
  </si>
  <si>
    <t>Tarifa kWh</t>
  </si>
  <si>
    <t>BT-AA T4</t>
  </si>
  <si>
    <t>Ñuñua</t>
  </si>
  <si>
    <t>https://www.enel.cl/es/clientes/tarifas-y-regulacion/consumo-artefactos-electricos.html</t>
  </si>
  <si>
    <t>Tasa de Descuento Final, 5 años</t>
  </si>
  <si>
    <t>Gasto Anual Servidor Local</t>
  </si>
  <si>
    <t>https://www.enel.cl/content/dam/enel-cl/es/personas/informacion-de-utilidad/tarifas-y-reglamentos/tarifas/tarifas-vigentes/vigentes/Tarifas%20Suministros%2015T_Clientes%20Regulados%20-%20Abril25.pdf</t>
  </si>
  <si>
    <t>Gasto Mensual Servidor Google Cloud</t>
  </si>
  <si>
    <t>https://cloud.google.com/products/calculator?dl=CjhDaVJsTlRreU1HTmtNQzFoWkRVekxUUTJOMk10T0RZeE5TMWxObVkxTVRVM09XVXdNV1lRQVE9PRAHGiQwMzE2MzMzNy0zNDIzLTQ2RUItQjNENi0xMzBBNDA0RUJDOTM&amp;hl=es_419</t>
  </si>
  <si>
    <t>Gasto AnualServidor Google Cloud</t>
  </si>
  <si>
    <t>Approach 1</t>
  </si>
  <si>
    <t>Approach 2</t>
  </si>
  <si>
    <t>Reducira los Costos de operación, en especifico los gastos generales y mantencion de activos</t>
  </si>
  <si>
    <t>Nuestro proyecto busca mejorar la eficiencia del departamento de ventas de Toscanini</t>
  </si>
  <si>
    <t>Horas Laborales por Año</t>
  </si>
  <si>
    <t>Costos Anuales 2024</t>
  </si>
  <si>
    <t>40 semanales</t>
  </si>
  <si>
    <t>30 semanales</t>
  </si>
  <si>
    <t>20h sem</t>
  </si>
  <si>
    <t>10h sem</t>
  </si>
  <si>
    <t>Mantencion Activos</t>
  </si>
  <si>
    <t>Ingreso por Horas general</t>
  </si>
  <si>
    <t>Horas de Desarrollo Proyecto</t>
  </si>
  <si>
    <t>Gastos Generales</t>
  </si>
  <si>
    <t>Ingreso por Horas Ventas</t>
  </si>
  <si>
    <t>Costos de Ingenierios</t>
  </si>
  <si>
    <t>MES</t>
  </si>
  <si>
    <t>Hora</t>
  </si>
  <si>
    <t>Reducira en el sgte porcentaje</t>
  </si>
  <si>
    <t>Ingreso annual</t>
  </si>
  <si>
    <t>Gasto Annual Ventas</t>
  </si>
  <si>
    <t>Numero de Ing</t>
  </si>
  <si>
    <t>Ahorro Mantencion</t>
  </si>
  <si>
    <t>https://insights.getonbrd.com/reports/success-rates-salaries</t>
  </si>
  <si>
    <t>Sueldo GETONBOARD Junior USD</t>
  </si>
  <si>
    <t>Ahorro Gastos Generales</t>
  </si>
  <si>
    <t>La eficiencia subira los ingresos por hora de ventas en un</t>
  </si>
  <si>
    <t>https://cl.talent.com/salary?job=ingeniero+civil+informatica</t>
  </si>
  <si>
    <t>Sueldo Annual Talent.COM</t>
  </si>
  <si>
    <t>Ingrsos por la solucion</t>
  </si>
  <si>
    <t>https://www.payscale.com/research/CL/Job=Software_Engineer/Salary/6eb9bdcb/Early-Career</t>
  </si>
  <si>
    <t>Average Early-Career Software Engineer</t>
  </si>
  <si>
    <t>Anno 0</t>
  </si>
  <si>
    <t>Utilidad por Horas</t>
  </si>
  <si>
    <t>Promedio</t>
  </si>
  <si>
    <t>Flujo de Caja Annual 1</t>
  </si>
  <si>
    <t>Flujo de Caja Annual 2</t>
  </si>
  <si>
    <t>Flujo de Caja Annual</t>
  </si>
  <si>
    <t>Costo Horas de Trabajo Individual (20 sem)</t>
  </si>
  <si>
    <t>Flujo de Caja Annual 3</t>
  </si>
  <si>
    <t>Costo Horas de Trabajo Individual (15h sem)</t>
  </si>
  <si>
    <t>Flujo de Caja Annual 4</t>
  </si>
  <si>
    <t>Costo Horas de Trabajo Individual (10h sem)</t>
  </si>
  <si>
    <t>Flujo de Caja Annual 5</t>
  </si>
  <si>
    <t>Costo Grupo (15h sem)</t>
  </si>
  <si>
    <t>Costo Grupo (10H sem)</t>
  </si>
  <si>
    <t>Usd</t>
  </si>
  <si>
    <t>Peso chileno</t>
  </si>
  <si>
    <t>Datos Banco Central IGPA</t>
  </si>
  <si>
    <t>Combinación Approach 1 y Approach 2</t>
  </si>
  <si>
    <t>`</t>
  </si>
  <si>
    <t>CLP</t>
  </si>
  <si>
    <t>Porcentaje en relacio a</t>
  </si>
  <si>
    <t>Inversión Inicial</t>
  </si>
  <si>
    <t>TIR</t>
  </si>
  <si>
    <t>año anterior</t>
  </si>
  <si>
    <t>Flujo de Caja Año 1</t>
  </si>
  <si>
    <t>VAN</t>
  </si>
  <si>
    <t>Flujo de Caja Año 2</t>
  </si>
  <si>
    <t>Flujo de Caja Año 3</t>
  </si>
  <si>
    <t>Flujo de Caja Año 4</t>
  </si>
  <si>
    <t>Flujo de Caja Año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</si>
</sst>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&quot;$&quot;#,##0"/>
    <numFmt numFmtId="165" formatCode="#,##0.0"/>
    <numFmt numFmtId="166" formatCode="_ * #,##0.0000_ ;_ * \-#,##0.0000_ ;_ * &quot;-&quot;_ ;_ @_ "/>
    <numFmt numFmtId="167" formatCode="0.0%"/>
    <numFmt numFmtId="168" formatCode="&quot;$&quot;#,##0;[Red]&quot;$&quot;\-#,##0"/>
    <numFmt numFmtId="169" formatCode="&quot;$&quot;#,##0.0"/>
    <numFmt numFmtId="170" formatCode="_ * #,##0.0000_ ;_ * \-#,##0.0000_ ;_ * &quot;-&quot;????_ ;_ @_ "/>
    <numFmt numFmtId="171" formatCode="yyyy"/>
  </numFmts>
  <fonts count="16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b/>
      <sz val="20.0"/>
      <color theme="1"/>
      <name val="Arial"/>
    </font>
    <font>
      <u/>
      <sz val="11.0"/>
      <color theme="10"/>
      <name val="Aptos Narrow"/>
    </font>
    <font>
      <sz val="23.0"/>
      <color theme="1"/>
      <name val="Arial"/>
    </font>
    <font>
      <u/>
      <sz val="11.0"/>
      <color theme="10"/>
      <name val="Aptos Narrow"/>
    </font>
    <font>
      <sz val="11.0"/>
      <color theme="1"/>
      <name val="Arial"/>
    </font>
    <font>
      <u/>
      <sz val="11.0"/>
      <color theme="10"/>
      <name val="Aptos Narrow"/>
    </font>
    <font>
      <u/>
      <color rgb="FF0000FF"/>
    </font>
    <font>
      <u/>
      <sz val="11.0"/>
      <color theme="10"/>
      <name val="Aptos Narrow"/>
    </font>
    <font>
      <color theme="1"/>
      <name val="Arial"/>
    </font>
    <font>
      <b/>
      <sz val="12.0"/>
      <color rgb="FF000000"/>
      <name val="Calibri"/>
    </font>
    <font/>
    <font>
      <sz val="11.0"/>
      <color rgb="FF000000"/>
      <name val="Calibri"/>
    </font>
    <font>
      <b/>
      <sz val="11.0"/>
      <color theme="1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2" numFmtId="166" xfId="0" applyFont="1" applyNumberFormat="1"/>
    <xf borderId="4" fillId="0" fontId="1" numFmtId="0" xfId="0" applyBorder="1" applyFont="1"/>
    <xf borderId="0" fillId="0" fontId="3" numFmtId="0" xfId="0" applyAlignment="1" applyFont="1">
      <alignment readingOrder="0"/>
    </xf>
    <xf borderId="5" fillId="0" fontId="1" numFmtId="0" xfId="0" applyBorder="1" applyFont="1"/>
    <xf borderId="0" fillId="0" fontId="4" numFmtId="0" xfId="0" applyAlignment="1" applyFont="1">
      <alignment shrinkToFit="0" wrapText="0"/>
    </xf>
    <xf borderId="0" fillId="0" fontId="5" numFmtId="0" xfId="0" applyAlignment="1" applyFont="1">
      <alignment readingOrder="0"/>
    </xf>
    <xf borderId="0" fillId="0" fontId="2" numFmtId="167" xfId="0" applyFont="1" applyNumberFormat="1"/>
    <xf borderId="5" fillId="0" fontId="6" numFmtId="0" xfId="0" applyAlignment="1" applyBorder="1" applyFont="1">
      <alignment shrinkToFit="0" wrapText="0"/>
    </xf>
    <xf borderId="6" fillId="2" fontId="7" numFmtId="0" xfId="0" applyAlignment="1" applyBorder="1" applyFill="1" applyFont="1">
      <alignment readingOrder="0"/>
    </xf>
    <xf borderId="7" fillId="2" fontId="2" numFmtId="164" xfId="0" applyBorder="1" applyFont="1" applyNumberFormat="1"/>
    <xf borderId="0" fillId="0" fontId="8" numFmtId="0" xfId="0" applyFont="1"/>
    <xf borderId="5" fillId="0" fontId="9" numFmtId="0" xfId="0" applyAlignment="1" applyBorder="1" applyFont="1">
      <alignment readingOrder="0" shrinkToFit="0" wrapText="0"/>
    </xf>
    <xf borderId="0" fillId="0" fontId="2" numFmtId="1" xfId="0" applyFont="1" applyNumberFormat="1"/>
    <xf borderId="5" fillId="0" fontId="2" numFmtId="164" xfId="0" applyBorder="1" applyFont="1" applyNumberFormat="1"/>
    <xf borderId="8" fillId="3" fontId="2" numFmtId="0" xfId="0" applyBorder="1" applyFill="1" applyFont="1"/>
    <xf borderId="9" fillId="3" fontId="2" numFmtId="164" xfId="0" applyBorder="1" applyFont="1" applyNumberFormat="1"/>
    <xf borderId="4" fillId="0" fontId="10" numFmtId="0" xfId="0" applyBorder="1" applyFont="1"/>
    <xf borderId="4" fillId="0" fontId="1" numFmtId="0" xfId="0" applyAlignment="1" applyBorder="1" applyFont="1">
      <alignment readingOrder="0" shrinkToFit="0" wrapText="1"/>
    </xf>
    <xf borderId="0" fillId="0" fontId="2" numFmtId="168" xfId="0" applyFont="1" applyNumberFormat="1"/>
    <xf borderId="0" fillId="0" fontId="2" numFmtId="169" xfId="0" applyFont="1" applyNumberFormat="1"/>
    <xf borderId="8" fillId="4" fontId="2" numFmtId="0" xfId="0" applyBorder="1" applyFill="1" applyFont="1"/>
    <xf borderId="9" fillId="4" fontId="2" numFmtId="164" xfId="0" applyBorder="1" applyFont="1" applyNumberFormat="1"/>
    <xf borderId="10" fillId="4" fontId="2" numFmtId="0" xfId="0" applyBorder="1" applyFont="1"/>
    <xf borderId="11" fillId="4" fontId="2" numFmtId="164" xfId="0" applyBorder="1" applyFont="1" applyNumberFormat="1"/>
    <xf borderId="12" fillId="0" fontId="1" numFmtId="0" xfId="0" applyBorder="1" applyFont="1"/>
    <xf borderId="13" fillId="0" fontId="1" numFmtId="0" xfId="0" applyBorder="1" applyFont="1"/>
    <xf borderId="6" fillId="2" fontId="2" numFmtId="0" xfId="0" applyBorder="1" applyFont="1"/>
    <xf borderId="4" fillId="0" fontId="2" numFmtId="170" xfId="0" applyBorder="1" applyFont="1" applyNumberFormat="1"/>
    <xf borderId="0" fillId="0" fontId="2" numFmtId="9" xfId="0" applyFont="1" applyNumberFormat="1"/>
    <xf borderId="14" fillId="0" fontId="1" numFmtId="0" xfId="0" applyBorder="1" applyFont="1"/>
    <xf borderId="0" fillId="0" fontId="11" numFmtId="0" xfId="0" applyAlignment="1" applyFont="1">
      <alignment readingOrder="0"/>
    </xf>
    <xf borderId="15" fillId="5" fontId="12" numFmtId="171" xfId="0" applyBorder="1" applyFill="1" applyFont="1" applyNumberFormat="1"/>
    <xf borderId="16" fillId="6" fontId="2" numFmtId="0" xfId="0" applyAlignment="1" applyBorder="1" applyFill="1" applyFont="1">
      <alignment horizontal="center"/>
    </xf>
    <xf borderId="17" fillId="0" fontId="13" numFmtId="0" xfId="0" applyBorder="1" applyFont="1"/>
    <xf borderId="18" fillId="0" fontId="13" numFmtId="0" xfId="0" applyBorder="1" applyFont="1"/>
    <xf borderId="15" fillId="0" fontId="14" numFmtId="165" xfId="0" applyAlignment="1" applyBorder="1" applyFont="1" applyNumberFormat="1">
      <alignment horizontal="right" vertical="center"/>
    </xf>
    <xf borderId="15" fillId="6" fontId="2" numFmtId="0" xfId="0" applyBorder="1" applyFont="1"/>
    <xf borderId="19" fillId="6" fontId="2" numFmtId="0" xfId="0" applyAlignment="1" applyBorder="1" applyFont="1">
      <alignment horizontal="center"/>
    </xf>
    <xf borderId="15" fillId="6" fontId="2" numFmtId="164" xfId="0" applyBorder="1" applyFont="1" applyNumberFormat="1"/>
    <xf borderId="20" fillId="0" fontId="13" numFmtId="0" xfId="0" applyBorder="1" applyFont="1"/>
    <xf borderId="15" fillId="6" fontId="2" numFmtId="9" xfId="0" applyBorder="1" applyFont="1" applyNumberFormat="1"/>
    <xf borderId="1" fillId="6" fontId="2" numFmtId="0" xfId="0" applyAlignment="1" applyBorder="1" applyFont="1">
      <alignment horizontal="center"/>
    </xf>
    <xf borderId="3" fillId="0" fontId="13" numFmtId="0" xfId="0" applyBorder="1" applyFont="1"/>
    <xf borderId="0" fillId="0" fontId="15" numFmtId="0" xfId="0" applyAlignment="1" applyFont="1">
      <alignment horizontal="center" shrinkToFit="0" vertical="center" wrapText="1"/>
    </xf>
    <xf borderId="4" fillId="0" fontId="15" numFmtId="0" xfId="0" applyAlignment="1" applyBorder="1" applyFont="1">
      <alignment horizontal="center" shrinkToFit="0" vertical="center" wrapText="1"/>
    </xf>
    <xf borderId="4" fillId="0" fontId="13" numFmtId="0" xfId="0" applyBorder="1" applyFont="1"/>
    <xf borderId="5" fillId="0" fontId="13" numFmtId="0" xfId="0" applyBorder="1" applyFont="1"/>
    <xf borderId="0" fillId="0" fontId="2" numFmtId="0" xfId="0" applyAlignment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21" fillId="0" fontId="13" numFmtId="0" xfId="0" applyBorder="1" applyFont="1"/>
    <xf borderId="14" fillId="0" fontId="13" numFmtId="0" xfId="0" applyBorder="1" applyFont="1"/>
    <xf borderId="13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Histograma de Ingresos y Facturas por Mes en el Año 2024</a:t>
            </a:r>
          </a:p>
        </c:rich>
      </c:tx>
      <c:overlay val="0"/>
    </c:title>
    <c:plotArea>
      <c:layout>
        <c:manualLayout>
          <c:xMode val="edge"/>
          <c:yMode val="edge"/>
          <c:x val="0.13781298527687255"/>
          <c:y val="0.13476720120580044"/>
          <c:w val="0.7812262231266035"/>
          <c:h val="0.663986898805039"/>
        </c:manualLayout>
      </c:layout>
      <c:barChart>
        <c:barDir val="col"/>
        <c:ser>
          <c:idx val="0"/>
          <c:order val="0"/>
          <c:tx>
            <c:v>Ingreso por Ventas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Histograma!$A$4:$A$15</c:f>
            </c:strRef>
          </c:cat>
          <c:val>
            <c:numRef>
              <c:f>Histograma!$B$4:$B$15</c:f>
              <c:numCache/>
            </c:numRef>
          </c:val>
        </c:ser>
        <c:axId val="184810593"/>
        <c:axId val="220035997"/>
      </c:barChart>
      <c:lineChart>
        <c:varyColors val="0"/>
        <c:ser>
          <c:idx val="1"/>
          <c:order val="1"/>
          <c:tx>
            <c:v>Facturas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Histograma!$A$4:$A$15</c:f>
            </c:strRef>
          </c:cat>
          <c:val>
            <c:numRef>
              <c:f>Histograma!$C$4:$C$15</c:f>
              <c:numCache/>
            </c:numRef>
          </c:val>
          <c:smooth val="0"/>
        </c:ser>
        <c:axId val="184810593"/>
        <c:axId val="220035997"/>
      </c:lineChart>
      <c:catAx>
        <c:axId val="184810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20035997"/>
      </c:catAx>
      <c:valAx>
        <c:axId val="220035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Pesos Chilenos</a:t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481059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114300</xdr:colOff>
      <xdr:row>5</xdr:row>
      <xdr:rowOff>152400</xdr:rowOff>
    </xdr:from>
    <xdr:ext cx="8810625" cy="4019550"/>
    <xdr:graphicFrame>
      <xdr:nvGraphicFramePr>
        <xdr:cNvPr id="101977322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15</xdr:row>
      <xdr:rowOff>0</xdr:rowOff>
    </xdr:from>
    <xdr:ext cx="4791075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29</xdr:row>
      <xdr:rowOff>0</xdr:rowOff>
    </xdr:from>
    <xdr:ext cx="190500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i3.bcentral.cl/Siete/ES/Siete/Cuadro/CAP_TASA_INTERES/MN_TASA_INTERES_09/TMS_15/T311" TargetMode="External"/><Relationship Id="rId2" Type="http://schemas.openxmlformats.org/officeDocument/2006/relationships/hyperlink" Target="https://www.enel.cl/es/clientes/tarifas-y-regulacion/consumo-artefactos-electricos.html" TargetMode="External"/><Relationship Id="rId3" Type="http://schemas.openxmlformats.org/officeDocument/2006/relationships/hyperlink" Target="https://www.enel.cl/content/dam/enel-cl/es/personas/informacion-de-utilidad/tarifas-y-reglamentos/tarifas/tarifas-vigentes/vigentes/Tarifas%20Suministros%2015T_Clientes%20Regulados%20-%20Abril25.pdf" TargetMode="External"/><Relationship Id="rId4" Type="http://schemas.openxmlformats.org/officeDocument/2006/relationships/hyperlink" Target="https://cloud.google.com/products/calculator?dl=CjhDaVJsTlRreU1HTmtNQzFoWkRVekxUUTJOMk10T0RZeE5TMWxObVkxTVRVM09XVXdNV1lRQVE9PRAHGiQwMzE2MzMzNy0zNDIzLTQ2RUItQjNENi0xMzBBNDA0RUJDOTM&amp;hl=es_419" TargetMode="External"/><Relationship Id="rId5" Type="http://schemas.openxmlformats.org/officeDocument/2006/relationships/hyperlink" Target="https://insights.getonbrd.com/reports/success-rates-salaries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3.63"/>
    <col customWidth="1" min="3" max="3" width="20.88"/>
    <col customWidth="1" min="4" max="4" width="15.63"/>
    <col customWidth="1" min="5" max="26" width="10.63"/>
  </cols>
  <sheetData>
    <row r="1">
      <c r="A1" s="1" t="s">
        <v>0</v>
      </c>
      <c r="C1" s="1">
        <v>2024.0</v>
      </c>
    </row>
    <row r="3">
      <c r="B3" s="1" t="s">
        <v>1</v>
      </c>
      <c r="C3" s="1" t="s">
        <v>2</v>
      </c>
    </row>
    <row r="4">
      <c r="A4" s="1" t="s">
        <v>3</v>
      </c>
      <c r="B4" s="2">
        <v>6.5710084E7</v>
      </c>
      <c r="C4" s="1">
        <v>41.0</v>
      </c>
    </row>
    <row r="5">
      <c r="A5" s="1" t="s">
        <v>4</v>
      </c>
      <c r="B5" s="2">
        <v>2.4369175E7</v>
      </c>
      <c r="C5" s="1">
        <v>27.0</v>
      </c>
    </row>
    <row r="6">
      <c r="A6" s="1" t="s">
        <v>5</v>
      </c>
      <c r="B6" s="2">
        <v>1.28219788E8</v>
      </c>
      <c r="C6" s="1">
        <v>55.0</v>
      </c>
    </row>
    <row r="7">
      <c r="A7" s="1" t="s">
        <v>6</v>
      </c>
      <c r="B7" s="2">
        <v>1.29674943E8</v>
      </c>
      <c r="C7" s="1">
        <v>50.0</v>
      </c>
    </row>
    <row r="8">
      <c r="A8" s="1" t="s">
        <v>7</v>
      </c>
      <c r="B8" s="2">
        <v>1.05397155E8</v>
      </c>
      <c r="C8" s="1">
        <v>45.0</v>
      </c>
    </row>
    <row r="9">
      <c r="A9" s="1" t="s">
        <v>8</v>
      </c>
      <c r="B9" s="2">
        <v>6.9678938E7</v>
      </c>
      <c r="C9" s="1">
        <v>53.0</v>
      </c>
    </row>
    <row r="10">
      <c r="A10" s="1" t="s">
        <v>9</v>
      </c>
      <c r="B10" s="2">
        <v>8.9412802E7</v>
      </c>
      <c r="C10" s="1">
        <v>39.0</v>
      </c>
    </row>
    <row r="11">
      <c r="A11" s="1" t="s">
        <v>10</v>
      </c>
      <c r="B11" s="2">
        <v>5.3180873E7</v>
      </c>
      <c r="C11" s="1">
        <v>48.0</v>
      </c>
    </row>
    <row r="12">
      <c r="A12" s="1" t="s">
        <v>11</v>
      </c>
      <c r="B12" s="2">
        <v>5.9275526E7</v>
      </c>
      <c r="C12" s="1">
        <v>47.0</v>
      </c>
    </row>
    <row r="13">
      <c r="A13" s="1" t="s">
        <v>12</v>
      </c>
      <c r="B13" s="2">
        <v>6.8257328E7</v>
      </c>
      <c r="C13" s="1">
        <v>55.0</v>
      </c>
    </row>
    <row r="14">
      <c r="A14" s="1" t="s">
        <v>13</v>
      </c>
      <c r="B14" s="2">
        <v>5.4238924E7</v>
      </c>
      <c r="C14" s="1">
        <v>43.0</v>
      </c>
    </row>
    <row r="15">
      <c r="A15" s="1" t="s">
        <v>14</v>
      </c>
      <c r="B15" s="2">
        <v>1.00341866E8</v>
      </c>
      <c r="C15" s="1">
        <v>46.0</v>
      </c>
    </row>
    <row r="16">
      <c r="A16" s="1" t="s">
        <v>15</v>
      </c>
      <c r="B16" s="2">
        <f>SUM(B4:B15)</f>
        <v>947757402</v>
      </c>
    </row>
    <row r="18">
      <c r="A18" s="1" t="s">
        <v>16</v>
      </c>
      <c r="B18" s="2">
        <f>B16 - B16*0.1677</f>
        <v>788818485.7</v>
      </c>
    </row>
    <row r="21" ht="15.75" customHeight="1"/>
    <row r="22" ht="15.75" customHeight="1"/>
    <row r="23" ht="15.75" customHeight="1">
      <c r="A23" s="1" t="s">
        <v>17</v>
      </c>
      <c r="B23" s="1">
        <f> 45*52</f>
        <v>2340</v>
      </c>
    </row>
    <row r="24" ht="15.75" customHeight="1"/>
    <row r="25" ht="15.75" customHeight="1">
      <c r="A25" s="1" t="s">
        <v>18</v>
      </c>
      <c r="B25" s="2">
        <f>B16/B23</f>
        <v>405024.5308</v>
      </c>
    </row>
    <row r="26" ht="15.75" customHeight="1"/>
    <row r="27" ht="15.75" customHeight="1">
      <c r="A27" s="1" t="s">
        <v>19</v>
      </c>
      <c r="B27" s="2">
        <f>773720380/B23</f>
        <v>330649.735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0.0"/>
    <col customWidth="1" min="3" max="3" width="18.13"/>
    <col customWidth="1" min="4" max="4" width="10.63"/>
    <col customWidth="1" min="5" max="5" width="15.75"/>
    <col customWidth="1" min="6" max="7" width="10.63"/>
    <col customWidth="1" min="8" max="8" width="40.38"/>
    <col customWidth="1" min="9" max="9" width="13.63"/>
    <col customWidth="1" min="10" max="10" width="13.25"/>
    <col customWidth="1" min="11" max="11" width="10.63"/>
    <col customWidth="1" min="12" max="12" width="15.5"/>
    <col customWidth="1" min="13" max="13" width="8.63"/>
    <col customWidth="1" min="14" max="14" width="7.13"/>
    <col customWidth="1" min="15" max="15" width="19.38"/>
    <col customWidth="1" min="16" max="17" width="10.63"/>
    <col customWidth="1" min="18" max="18" width="15.88"/>
    <col customWidth="1" min="19" max="19" width="21.38"/>
    <col customWidth="1" min="20" max="20" width="13.38"/>
    <col customWidth="1" min="21" max="21" width="27.63"/>
    <col customWidth="1" min="22" max="22" width="14.38"/>
    <col customWidth="1" min="23" max="23" width="13.75"/>
    <col customWidth="1" min="24" max="24" width="19.63"/>
    <col customWidth="1" min="25" max="25" width="13.75"/>
    <col customWidth="1" min="26" max="26" width="10.63"/>
  </cols>
  <sheetData>
    <row r="2">
      <c r="A2" s="1" t="s">
        <v>20</v>
      </c>
      <c r="B2" s="3">
        <f>AVERAGE(J39:N39)</f>
        <v>12.92248238</v>
      </c>
      <c r="C2" s="1" t="s">
        <v>21</v>
      </c>
      <c r="F2" s="4"/>
      <c r="G2" s="5"/>
      <c r="H2" s="5"/>
      <c r="I2" s="5"/>
      <c r="J2" s="5"/>
      <c r="K2" s="5"/>
      <c r="L2" s="6"/>
      <c r="O2" s="4"/>
      <c r="P2" s="5"/>
      <c r="Q2" s="5"/>
      <c r="R2" s="5"/>
      <c r="S2" s="5"/>
      <c r="T2" s="5"/>
      <c r="U2" s="5"/>
      <c r="V2" s="5"/>
      <c r="W2" s="5"/>
      <c r="X2" s="5"/>
      <c r="Y2" s="6"/>
    </row>
    <row r="3">
      <c r="B3" s="7">
        <f>AVERAGE(I39:N39)</f>
        <v>8.298045803</v>
      </c>
      <c r="C3" s="1" t="s">
        <v>22</v>
      </c>
      <c r="F3" s="8"/>
      <c r="G3" s="9" t="s">
        <v>23</v>
      </c>
      <c r="L3" s="10"/>
      <c r="O3" s="8"/>
      <c r="Y3" s="10"/>
    </row>
    <row r="4">
      <c r="A4" s="1" t="s">
        <v>24</v>
      </c>
      <c r="B4" s="1">
        <v>5.57</v>
      </c>
      <c r="C4" s="1" t="s">
        <v>25</v>
      </c>
      <c r="E4" s="11" t="s">
        <v>26</v>
      </c>
      <c r="F4" s="8"/>
      <c r="L4" s="10"/>
      <c r="O4" s="8"/>
      <c r="Y4" s="10"/>
    </row>
    <row r="5">
      <c r="F5" s="8"/>
      <c r="L5" s="10"/>
      <c r="O5" s="8"/>
      <c r="S5" s="12" t="s">
        <v>27</v>
      </c>
      <c r="Y5" s="10"/>
    </row>
    <row r="6">
      <c r="A6" s="1" t="s">
        <v>28</v>
      </c>
      <c r="B6" s="1">
        <v>0.89</v>
      </c>
      <c r="C6" s="1" t="s">
        <v>29</v>
      </c>
      <c r="D6" s="1" t="s">
        <v>30</v>
      </c>
      <c r="F6" s="8"/>
      <c r="L6" s="10"/>
      <c r="O6" s="8"/>
      <c r="Y6" s="10"/>
    </row>
    <row r="7">
      <c r="B7" s="1">
        <v>0.86</v>
      </c>
      <c r="C7" s="1" t="s">
        <v>29</v>
      </c>
      <c r="D7" s="1" t="s">
        <v>31</v>
      </c>
      <c r="F7" s="8"/>
      <c r="L7" s="10"/>
      <c r="O7" s="8"/>
      <c r="Y7" s="10"/>
    </row>
    <row r="8">
      <c r="B8" s="1">
        <v>1.0</v>
      </c>
      <c r="C8" s="1" t="s">
        <v>32</v>
      </c>
      <c r="D8" s="1" t="s">
        <v>30</v>
      </c>
      <c r="F8" s="8"/>
      <c r="L8" s="10"/>
      <c r="O8" s="8"/>
      <c r="Y8" s="10"/>
    </row>
    <row r="9">
      <c r="B9" s="1">
        <v>1.19</v>
      </c>
      <c r="C9" s="1" t="s">
        <v>29</v>
      </c>
      <c r="D9" s="1" t="s">
        <v>33</v>
      </c>
      <c r="F9" s="8"/>
      <c r="H9" s="1" t="s">
        <v>34</v>
      </c>
      <c r="I9" s="1">
        <v>300.0</v>
      </c>
      <c r="J9" s="1" t="s">
        <v>35</v>
      </c>
      <c r="L9" s="10"/>
      <c r="O9" s="8"/>
      <c r="Y9" s="10"/>
    </row>
    <row r="10">
      <c r="F10" s="8"/>
      <c r="H10" s="1" t="s">
        <v>36</v>
      </c>
      <c r="I10" s="1">
        <f>I9*0.001*24</f>
        <v>7.2</v>
      </c>
      <c r="L10" s="10"/>
      <c r="O10" s="8"/>
      <c r="Y10" s="10"/>
    </row>
    <row r="11">
      <c r="F11" s="8"/>
      <c r="I11" s="2"/>
      <c r="L11" s="10"/>
      <c r="O11" s="8"/>
      <c r="Y11" s="10"/>
    </row>
    <row r="12">
      <c r="A12" s="1" t="s">
        <v>37</v>
      </c>
      <c r="B12" s="13">
        <f>(B4+B7*(B2-B4))/100</f>
        <v>0.1189313485</v>
      </c>
      <c r="C12" s="1" t="s">
        <v>38</v>
      </c>
      <c r="F12" s="8"/>
      <c r="H12" s="1" t="s">
        <v>39</v>
      </c>
      <c r="I12" s="2">
        <v>197.249</v>
      </c>
      <c r="J12" s="1" t="s">
        <v>40</v>
      </c>
      <c r="K12" s="1" t="s">
        <v>41</v>
      </c>
      <c r="L12" s="14" t="s">
        <v>42</v>
      </c>
      <c r="O12" s="8"/>
      <c r="Y12" s="10"/>
    </row>
    <row r="13">
      <c r="B13" s="13">
        <f>(B4+B7*(B3-B4))/100</f>
        <v>0.07916119391</v>
      </c>
      <c r="C13" s="1" t="s">
        <v>43</v>
      </c>
      <c r="F13" s="8"/>
      <c r="H13" s="15" t="s">
        <v>44</v>
      </c>
      <c r="I13" s="16">
        <f>I10*I12*365</f>
        <v>518370.372</v>
      </c>
      <c r="L13" s="14" t="s">
        <v>45</v>
      </c>
      <c r="M13" s="17"/>
      <c r="O13" s="8"/>
      <c r="Y13" s="10"/>
    </row>
    <row r="14">
      <c r="F14" s="8"/>
      <c r="H14" s="15" t="s">
        <v>46</v>
      </c>
      <c r="I14" s="16">
        <f>33.362*K34</f>
        <v>31191.8019</v>
      </c>
      <c r="L14" s="18" t="s">
        <v>47</v>
      </c>
      <c r="O14" s="8"/>
      <c r="Y14" s="10"/>
    </row>
    <row r="15">
      <c r="F15" s="8"/>
      <c r="H15" s="15" t="s">
        <v>48</v>
      </c>
      <c r="I15" s="16">
        <f>I14*12</f>
        <v>374301.6228</v>
      </c>
      <c r="L15" s="10"/>
      <c r="O15" s="4" t="s">
        <v>49</v>
      </c>
      <c r="P15" s="5"/>
      <c r="Q15" s="5"/>
      <c r="R15" s="5"/>
      <c r="S15" s="6"/>
      <c r="U15" s="4" t="s">
        <v>50</v>
      </c>
      <c r="V15" s="5"/>
      <c r="W15" s="5"/>
      <c r="X15" s="5"/>
      <c r="Y15" s="6"/>
    </row>
    <row r="16">
      <c r="F16" s="8"/>
      <c r="I16" s="2"/>
      <c r="L16" s="10"/>
      <c r="O16" s="8" t="s">
        <v>51</v>
      </c>
      <c r="S16" s="10"/>
      <c r="U16" s="8" t="s">
        <v>52</v>
      </c>
      <c r="Y16" s="10"/>
    </row>
    <row r="17">
      <c r="F17" s="8"/>
      <c r="H17" s="1" t="s">
        <v>53</v>
      </c>
      <c r="I17" s="19">
        <v>2340.0</v>
      </c>
      <c r="L17" s="10"/>
      <c r="O17" s="8"/>
      <c r="P17" s="1" t="s">
        <v>54</v>
      </c>
      <c r="S17" s="10"/>
      <c r="U17" s="8"/>
      <c r="Y17" s="10"/>
    </row>
    <row r="18">
      <c r="F18" s="8"/>
      <c r="I18" s="1" t="s">
        <v>55</v>
      </c>
      <c r="J18" s="1" t="s">
        <v>56</v>
      </c>
      <c r="K18" s="1" t="s">
        <v>57</v>
      </c>
      <c r="L18" s="10" t="s">
        <v>58</v>
      </c>
      <c r="O18" s="8" t="s">
        <v>59</v>
      </c>
      <c r="P18" s="2">
        <v>9043476.0</v>
      </c>
      <c r="S18" s="10"/>
      <c r="U18" s="8" t="s">
        <v>60</v>
      </c>
      <c r="V18" s="2">
        <v>405024.5307692308</v>
      </c>
      <c r="W18" s="2">
        <f>801889065/I17</f>
        <v>342687.6346</v>
      </c>
      <c r="Y18" s="10"/>
    </row>
    <row r="19">
      <c r="F19" s="8"/>
      <c r="H19" s="1" t="s">
        <v>61</v>
      </c>
      <c r="I19" s="1">
        <f>40*4*8</f>
        <v>1280</v>
      </c>
      <c r="J19" s="1">
        <f>30*4*8</f>
        <v>960</v>
      </c>
      <c r="K19" s="1">
        <f>20*4*8</f>
        <v>640</v>
      </c>
      <c r="L19" s="10">
        <f>10*4*8</f>
        <v>320</v>
      </c>
      <c r="O19" s="8" t="s">
        <v>62</v>
      </c>
      <c r="P19" s="2">
        <v>9474602.0</v>
      </c>
      <c r="S19" s="10"/>
      <c r="U19" s="8" t="s">
        <v>63</v>
      </c>
      <c r="V19" s="2">
        <f>400543153/I17</f>
        <v>171172.2876</v>
      </c>
      <c r="Y19" s="10"/>
    </row>
    <row r="20">
      <c r="F20" s="8"/>
      <c r="H20" s="1" t="s">
        <v>64</v>
      </c>
      <c r="I20" s="2"/>
      <c r="J20" s="2" t="s">
        <v>65</v>
      </c>
      <c r="K20" s="1" t="s">
        <v>66</v>
      </c>
      <c r="L20" s="10"/>
      <c r="O20" s="8" t="s">
        <v>67</v>
      </c>
      <c r="P20" s="13">
        <v>0.075</v>
      </c>
      <c r="S20" s="10"/>
      <c r="U20" s="8" t="s">
        <v>68</v>
      </c>
      <c r="V20" s="2">
        <f>V19*2340</f>
        <v>400543153</v>
      </c>
      <c r="X20" s="1" t="s">
        <v>69</v>
      </c>
      <c r="Y20" s="20">
        <v>3.71480481E8</v>
      </c>
    </row>
    <row r="21" ht="15.75" customHeight="1">
      <c r="F21" s="8"/>
      <c r="H21" s="1" t="s">
        <v>70</v>
      </c>
      <c r="I21" s="1">
        <v>6.0</v>
      </c>
      <c r="L21" s="10"/>
      <c r="O21" s="21" t="s">
        <v>71</v>
      </c>
      <c r="P21" s="22">
        <f t="shared" ref="P21:P22" si="1">P18*P$20</f>
        <v>678260.7</v>
      </c>
      <c r="S21" s="10"/>
      <c r="U21" s="8"/>
      <c r="V21" s="2"/>
      <c r="Y21" s="10"/>
    </row>
    <row r="22" ht="15.75" customHeight="1">
      <c r="F22" s="23" t="s">
        <v>72</v>
      </c>
      <c r="H22" s="1" t="s">
        <v>73</v>
      </c>
      <c r="I22" s="1">
        <v>1529.0</v>
      </c>
      <c r="J22" s="2">
        <f>I22*K34</f>
        <v>1429538.55</v>
      </c>
      <c r="K22" s="2">
        <f t="shared" ref="K22:K23" si="2">J22/(40*4)</f>
        <v>8934.615938</v>
      </c>
      <c r="L22" s="10"/>
      <c r="O22" s="21" t="s">
        <v>74</v>
      </c>
      <c r="P22" s="22">
        <f t="shared" si="1"/>
        <v>710595.15</v>
      </c>
      <c r="S22" s="10"/>
      <c r="U22" s="24" t="s">
        <v>75</v>
      </c>
      <c r="V22" s="13">
        <v>0.015</v>
      </c>
      <c r="Y22" s="10"/>
    </row>
    <row r="23" ht="15.75" customHeight="1">
      <c r="F23" s="8" t="s">
        <v>76</v>
      </c>
      <c r="H23" s="1" t="s">
        <v>77</v>
      </c>
      <c r="I23" s="25">
        <v>1.56E7</v>
      </c>
      <c r="J23" s="25">
        <f>I23/12</f>
        <v>1300000</v>
      </c>
      <c r="K23" s="2">
        <f t="shared" si="2"/>
        <v>8125</v>
      </c>
      <c r="L23" s="10"/>
      <c r="O23" s="8"/>
      <c r="S23" s="10"/>
      <c r="U23" s="21" t="s">
        <v>78</v>
      </c>
      <c r="V23" s="22">
        <f>V20*V22</f>
        <v>6008147.295</v>
      </c>
      <c r="W23" s="26">
        <f>(V22*V19)*2340</f>
        <v>6008147.295</v>
      </c>
      <c r="Y23" s="10"/>
    </row>
    <row r="24" ht="15.75" customHeight="1">
      <c r="B24" s="1" t="s">
        <v>19</v>
      </c>
      <c r="C24" s="2">
        <v>330649.73504273506</v>
      </c>
      <c r="D24" s="2"/>
      <c r="F24" s="8" t="s">
        <v>79</v>
      </c>
      <c r="H24" s="1" t="s">
        <v>80</v>
      </c>
      <c r="K24" s="2">
        <f>K34*L24</f>
        <v>11686.875</v>
      </c>
      <c r="L24" s="10">
        <v>12.5</v>
      </c>
      <c r="O24" s="27" t="s">
        <v>81</v>
      </c>
      <c r="P24" s="28">
        <f>I32</f>
        <v>-17154462.6</v>
      </c>
      <c r="S24" s="10"/>
      <c r="U24" s="8"/>
      <c r="Y24" s="10"/>
    </row>
    <row r="25" ht="15.75" customHeight="1">
      <c r="B25" s="1" t="s">
        <v>82</v>
      </c>
      <c r="C25" s="2">
        <f>V18-C24</f>
        <v>74374.79573</v>
      </c>
      <c r="D25" s="2">
        <f>W18-C24</f>
        <v>12037.89957</v>
      </c>
      <c r="F25" s="8"/>
      <c r="H25" s="1" t="s">
        <v>83</v>
      </c>
      <c r="K25" s="2">
        <f>AVERAGE(K22:K24)</f>
        <v>9582.163646</v>
      </c>
      <c r="L25" s="10"/>
      <c r="O25" s="27" t="s">
        <v>84</v>
      </c>
      <c r="P25" s="28">
        <f>P21+P22-I13-I15</f>
        <v>496183.8552</v>
      </c>
      <c r="S25" s="10"/>
      <c r="U25" s="27" t="s">
        <v>81</v>
      </c>
      <c r="V25" s="28">
        <f>I32</f>
        <v>-17154462.6</v>
      </c>
      <c r="Y25" s="10"/>
    </row>
    <row r="26" ht="15.75" customHeight="1">
      <c r="F26" s="8"/>
      <c r="L26" s="10"/>
      <c r="O26" s="27" t="s">
        <v>85</v>
      </c>
      <c r="P26" s="28">
        <f t="shared" ref="P26:P29" si="3">0.03*P25 + P25</f>
        <v>511069.3709</v>
      </c>
      <c r="S26" s="10"/>
      <c r="U26" s="27" t="s">
        <v>86</v>
      </c>
      <c r="V26" s="28">
        <f>V23-I13-I15</f>
        <v>5115475.3</v>
      </c>
      <c r="Y26" s="10"/>
    </row>
    <row r="27" ht="15.75" customHeight="1">
      <c r="F27" s="8"/>
      <c r="H27" s="1" t="s">
        <v>87</v>
      </c>
      <c r="I27" s="2">
        <f>K22*K19</f>
        <v>5718154.2</v>
      </c>
      <c r="L27" s="10"/>
      <c r="O27" s="27" t="s">
        <v>88</v>
      </c>
      <c r="P27" s="28">
        <f t="shared" si="3"/>
        <v>526401.452</v>
      </c>
      <c r="S27" s="10"/>
      <c r="U27" s="27" t="s">
        <v>85</v>
      </c>
      <c r="V27" s="28">
        <f t="shared" ref="V27:V30" si="4">0.03*V26 + V26</f>
        <v>5268939.559</v>
      </c>
      <c r="Y27" s="10"/>
    </row>
    <row r="28" ht="15.75" customHeight="1">
      <c r="F28" s="8"/>
      <c r="H28" s="1" t="s">
        <v>89</v>
      </c>
      <c r="I28" s="2">
        <f>K22*15*4*8</f>
        <v>4288615.65</v>
      </c>
      <c r="L28" s="10"/>
      <c r="O28" s="27" t="s">
        <v>90</v>
      </c>
      <c r="P28" s="28">
        <f t="shared" si="3"/>
        <v>542193.4955</v>
      </c>
      <c r="S28" s="10"/>
      <c r="U28" s="27" t="s">
        <v>88</v>
      </c>
      <c r="V28" s="28">
        <f t="shared" si="4"/>
        <v>5427007.746</v>
      </c>
      <c r="Y28" s="10"/>
    </row>
    <row r="29" ht="15.75" customHeight="1">
      <c r="F29" s="8"/>
      <c r="H29" s="1" t="s">
        <v>91</v>
      </c>
      <c r="I29" s="2">
        <f>K22*10*4*8</f>
        <v>2859077.1</v>
      </c>
      <c r="L29" s="10"/>
      <c r="O29" s="29" t="s">
        <v>92</v>
      </c>
      <c r="P29" s="30">
        <f t="shared" si="3"/>
        <v>558459.3004</v>
      </c>
      <c r="Q29" s="31"/>
      <c r="R29" s="31"/>
      <c r="S29" s="32"/>
      <c r="U29" s="27" t="s">
        <v>90</v>
      </c>
      <c r="V29" s="28">
        <f t="shared" si="4"/>
        <v>5589817.978</v>
      </c>
      <c r="Y29" s="10"/>
    </row>
    <row r="30" ht="15.75" customHeight="1">
      <c r="E30" s="1"/>
      <c r="F30" s="8"/>
      <c r="L30" s="10"/>
      <c r="O30" s="8"/>
      <c r="U30" s="29" t="s">
        <v>92</v>
      </c>
      <c r="V30" s="30">
        <f t="shared" si="4"/>
        <v>5757512.518</v>
      </c>
      <c r="W30" s="31"/>
      <c r="X30" s="31"/>
      <c r="Y30" s="32"/>
    </row>
    <row r="31" ht="15.75" customHeight="1">
      <c r="F31" s="8"/>
      <c r="H31" s="33" t="s">
        <v>93</v>
      </c>
      <c r="I31" s="16">
        <f t="shared" ref="I31:I32" si="5">-I28*6</f>
        <v>-25731693.9</v>
      </c>
      <c r="L31" s="10"/>
      <c r="O31" s="34"/>
      <c r="Y31" s="10"/>
    </row>
    <row r="32" ht="15.75" customHeight="1">
      <c r="F32" s="8"/>
      <c r="H32" s="33" t="s">
        <v>94</v>
      </c>
      <c r="I32" s="16">
        <f t="shared" si="5"/>
        <v>-17154462.6</v>
      </c>
      <c r="L32" s="10"/>
      <c r="O32" s="8"/>
      <c r="V32" s="35"/>
      <c r="Y32" s="10"/>
    </row>
    <row r="33" ht="15.75" customHeight="1">
      <c r="F33" s="8"/>
      <c r="L33" s="10"/>
      <c r="O33" s="8"/>
      <c r="V33" s="2"/>
      <c r="Y33" s="10"/>
    </row>
    <row r="34" ht="15.75" customHeight="1">
      <c r="F34" s="36"/>
      <c r="G34" s="31"/>
      <c r="H34" s="31"/>
      <c r="I34" s="31">
        <v>1.0</v>
      </c>
      <c r="J34" s="31" t="s">
        <v>95</v>
      </c>
      <c r="K34" s="31">
        <v>934.95</v>
      </c>
      <c r="L34" s="32" t="s">
        <v>96</v>
      </c>
      <c r="O34" s="8"/>
      <c r="Y34" s="10"/>
    </row>
    <row r="35" ht="15.75" customHeight="1">
      <c r="O35" s="8"/>
      <c r="Y35" s="10"/>
    </row>
    <row r="36" ht="15.75" customHeight="1">
      <c r="B36" s="37" t="s">
        <v>97</v>
      </c>
      <c r="O36" s="8"/>
      <c r="Y36" s="10"/>
    </row>
    <row r="37" ht="15.75" customHeight="1">
      <c r="B37" s="38">
        <v>41275.0</v>
      </c>
      <c r="C37" s="38">
        <v>41640.0</v>
      </c>
      <c r="D37" s="38">
        <v>42005.0</v>
      </c>
      <c r="E37" s="38">
        <v>42370.0</v>
      </c>
      <c r="F37" s="38">
        <v>42736.0</v>
      </c>
      <c r="G37" s="38">
        <v>43101.0</v>
      </c>
      <c r="H37" s="38">
        <v>43466.0</v>
      </c>
      <c r="I37" s="38">
        <v>43831.0</v>
      </c>
      <c r="J37" s="38">
        <v>44197.0</v>
      </c>
      <c r="K37" s="38">
        <v>44562.0</v>
      </c>
      <c r="L37" s="38">
        <v>44927.0</v>
      </c>
      <c r="M37" s="38"/>
      <c r="N37" s="38">
        <v>45292.0</v>
      </c>
      <c r="O37" s="8"/>
      <c r="S37" s="39" t="s">
        <v>98</v>
      </c>
      <c r="T37" s="40"/>
      <c r="U37" s="40"/>
      <c r="V37" s="40"/>
      <c r="W37" s="41"/>
      <c r="Y37" s="10"/>
    </row>
    <row r="38" ht="15.75" customHeight="1">
      <c r="B38" s="42">
        <v>18227.05</v>
      </c>
      <c r="C38" s="42">
        <v>18870.41</v>
      </c>
      <c r="D38" s="42">
        <v>18151.5</v>
      </c>
      <c r="E38" s="42">
        <v>20734.17</v>
      </c>
      <c r="F38" s="42">
        <v>27980.78</v>
      </c>
      <c r="G38" s="42">
        <v>25949.84</v>
      </c>
      <c r="H38" s="42">
        <v>23393.53</v>
      </c>
      <c r="I38" s="42">
        <v>21007.46</v>
      </c>
      <c r="J38" s="42">
        <v>21566.81</v>
      </c>
      <c r="K38" s="42">
        <v>27606.58</v>
      </c>
      <c r="L38" s="42">
        <v>31437.03</v>
      </c>
      <c r="M38" s="42"/>
      <c r="N38" s="42">
        <v>33683.91</v>
      </c>
      <c r="O38" s="8"/>
      <c r="Q38" s="1" t="s">
        <v>99</v>
      </c>
      <c r="S38" s="43"/>
      <c r="T38" s="43" t="s">
        <v>100</v>
      </c>
      <c r="U38" s="44"/>
      <c r="V38" s="39"/>
      <c r="W38" s="41"/>
      <c r="Y38" s="10"/>
    </row>
    <row r="39" ht="15.75" customHeight="1">
      <c r="B39" s="37" t="s">
        <v>101</v>
      </c>
      <c r="C39" s="7">
        <f t="shared" ref="C39:L39" si="6">100*(C38-B38)/B38</f>
        <v>3.529698991</v>
      </c>
      <c r="D39" s="7">
        <f t="shared" si="6"/>
        <v>-3.809721145</v>
      </c>
      <c r="E39" s="7">
        <f t="shared" si="6"/>
        <v>14.22841088</v>
      </c>
      <c r="F39" s="7">
        <f t="shared" si="6"/>
        <v>34.95008481</v>
      </c>
      <c r="G39" s="7">
        <f t="shared" si="6"/>
        <v>-7.258339474</v>
      </c>
      <c r="H39" s="7">
        <f t="shared" si="6"/>
        <v>-9.850966326</v>
      </c>
      <c r="I39" s="7">
        <f t="shared" si="6"/>
        <v>-10.19970052</v>
      </c>
      <c r="J39" s="7">
        <f t="shared" si="6"/>
        <v>2.662625563</v>
      </c>
      <c r="K39" s="7">
        <f t="shared" si="6"/>
        <v>28.0049298</v>
      </c>
      <c r="L39" s="7">
        <f t="shared" si="6"/>
        <v>13.87513412</v>
      </c>
      <c r="M39" s="7"/>
      <c r="N39" s="7">
        <f>100*(N38-L38)/L38</f>
        <v>7.147240054</v>
      </c>
      <c r="O39" s="8"/>
      <c r="S39" s="43" t="s">
        <v>102</v>
      </c>
      <c r="T39" s="45">
        <v>-1.71544626E7</v>
      </c>
      <c r="U39" s="46"/>
      <c r="V39" s="43" t="s">
        <v>103</v>
      </c>
      <c r="W39" s="47">
        <f>IRR(T39:T44)</f>
        <v>0.2824560333</v>
      </c>
      <c r="Y39" s="10"/>
    </row>
    <row r="40" ht="15.75" customHeight="1">
      <c r="B40" s="37" t="s">
        <v>104</v>
      </c>
      <c r="O40" s="8"/>
      <c r="S40" s="43" t="s">
        <v>105</v>
      </c>
      <c r="T40" s="45">
        <f>V23-I13-I15+P22+P21</f>
        <v>6504331.15</v>
      </c>
      <c r="U40" s="46"/>
      <c r="V40" s="43" t="s">
        <v>106</v>
      </c>
      <c r="W40" s="45">
        <f t="array" ref="W40">NPV(B13,T40:T44)+T39</f>
        <v>10358148.74</v>
      </c>
      <c r="Y40" s="10"/>
    </row>
    <row r="41" ht="15.75" customHeight="1">
      <c r="O41" s="8"/>
      <c r="S41" s="43" t="s">
        <v>107</v>
      </c>
      <c r="T41" s="45">
        <f t="shared" ref="T41:T44" si="7">0.03*T40 + T40</f>
        <v>6699461.085</v>
      </c>
      <c r="U41" s="46"/>
      <c r="V41" s="48"/>
      <c r="W41" s="49"/>
      <c r="Y41" s="10"/>
    </row>
    <row r="42" ht="15.75" customHeight="1"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1"/>
      <c r="P42" s="50"/>
      <c r="Q42" s="50"/>
      <c r="S42" s="43" t="s">
        <v>108</v>
      </c>
      <c r="T42" s="45">
        <f t="shared" si="7"/>
        <v>6900444.917</v>
      </c>
      <c r="U42" s="46"/>
      <c r="V42" s="52"/>
      <c r="W42" s="53"/>
      <c r="Y42" s="10"/>
    </row>
    <row r="43" ht="15.0" customHeight="1"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5"/>
      <c r="P43" s="54"/>
      <c r="Q43" s="54"/>
      <c r="S43" s="43" t="s">
        <v>109</v>
      </c>
      <c r="T43" s="45">
        <f t="shared" si="7"/>
        <v>7107458.265</v>
      </c>
      <c r="U43" s="46"/>
      <c r="V43" s="52"/>
      <c r="W43" s="53"/>
      <c r="Y43" s="10"/>
    </row>
    <row r="44" ht="15.75" customHeight="1">
      <c r="O44" s="8"/>
      <c r="S44" s="43" t="s">
        <v>110</v>
      </c>
      <c r="T44" s="45">
        <f t="shared" si="7"/>
        <v>7320682.013</v>
      </c>
      <c r="U44" s="56"/>
      <c r="V44" s="57"/>
      <c r="W44" s="58"/>
      <c r="Y44" s="10"/>
    </row>
    <row r="45" ht="15.75" customHeight="1">
      <c r="O45" s="36"/>
      <c r="P45" s="31"/>
      <c r="Q45" s="31"/>
      <c r="R45" s="31"/>
      <c r="S45" s="31"/>
      <c r="T45" s="31"/>
      <c r="U45" s="31"/>
      <c r="V45" s="31"/>
      <c r="W45" s="31"/>
      <c r="X45" s="31"/>
      <c r="Y45" s="32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S37:W37"/>
    <mergeCell ref="U38:U44"/>
    <mergeCell ref="V38:W38"/>
    <mergeCell ref="V41:W44"/>
    <mergeCell ref="G3:H4"/>
    <mergeCell ref="S5:U6"/>
  </mergeCells>
  <hyperlinks>
    <hyperlink r:id="rId1" ref="E4"/>
    <hyperlink r:id="rId2" ref="L12"/>
    <hyperlink r:id="rId3" ref="L13"/>
    <hyperlink r:id="rId4" ref="L14"/>
    <hyperlink r:id="rId5" ref="F22"/>
  </hyperlinks>
  <printOptions/>
  <pageMargins bottom="0.75" footer="0.0" header="0.0" left="0.7" right="0.7" top="0.75"/>
  <pageSetup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2025-04-23T21:20:27Z</dcterms:created>
  <dc:creator>TORRES MORALES FRANCISCO J</dc:creator>
</cp:coreProperties>
</file>